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885" yWindow="45" windowWidth="8175" windowHeight="11385" tabRatio="892"/>
  </bookViews>
  <sheets>
    <sheet name="Exh 4.16" sheetId="5" r:id="rId1"/>
    <sheet name="Alliant" sheetId="2" r:id="rId2"/>
    <sheet name="DTE" sheetId="8" r:id="rId3"/>
    <sheet name="Edison Int" sheetId="28" r:id="rId4"/>
    <sheet name="Entergy" sheetId="25" r:id="rId5"/>
    <sheet name="PG &amp; E" sheetId="29" r:id="rId6"/>
    <sheet name="SCANA" sheetId="16" r:id="rId7"/>
    <sheet name="Southern" sheetId="17" r:id="rId8"/>
    <sheet name="Wisconsin" sheetId="18" r:id="rId9"/>
    <sheet name="XCEL" sheetId="19" r:id="rId10"/>
    <sheet name="PacifiCorp" sheetId="22" r:id="rId11"/>
  </sheets>
  <definedNames>
    <definedName name="_xlnm.Print_Area" localSheetId="1">Alliant!$A$1:$Y$155</definedName>
    <definedName name="_xlnm.Print_Area" localSheetId="2">DTE!$A$107:$L$155</definedName>
    <definedName name="_xlnm.Print_Area" localSheetId="4">Entergy!$A$107:$L$155</definedName>
    <definedName name="_xlnm.Print_Area" localSheetId="6">SCANA!$A$107:$L$155</definedName>
    <definedName name="_xlnm.Print_Area" localSheetId="7">Southern!$A$107:$L$155</definedName>
    <definedName name="_xlnm.Print_Area" localSheetId="8">Wisconsin!$A$107:$L$155</definedName>
    <definedName name="_xlnm.Print_Area" localSheetId="9">XCEL!$A$107:$L$155</definedName>
  </definedNames>
  <calcPr calcId="125725"/>
</workbook>
</file>

<file path=xl/calcChain.xml><?xml version="1.0" encoding="utf-8"?>
<calcChain xmlns="http://schemas.openxmlformats.org/spreadsheetml/2006/main">
  <c r="G26" i="5"/>
  <c r="F26"/>
  <c r="G19"/>
  <c r="F19"/>
  <c r="G18"/>
  <c r="F18"/>
  <c r="G17"/>
  <c r="F17"/>
  <c r="G16"/>
  <c r="F16"/>
  <c r="G15"/>
  <c r="F15"/>
  <c r="G14"/>
  <c r="F14"/>
  <c r="G13"/>
  <c r="F13"/>
  <c r="S88" i="28"/>
  <c r="T88"/>
  <c r="U88"/>
  <c r="V88"/>
  <c r="W88"/>
  <c r="X88"/>
  <c r="S89"/>
  <c r="T89"/>
  <c r="U89"/>
  <c r="V89"/>
  <c r="W89"/>
  <c r="X89"/>
  <c r="S90"/>
  <c r="T90"/>
  <c r="U90"/>
  <c r="V90"/>
  <c r="W90"/>
  <c r="X90"/>
  <c r="F11" i="5"/>
  <c r="V96" i="22"/>
  <c r="W96"/>
  <c r="X96"/>
  <c r="Y96"/>
  <c r="Z96"/>
  <c r="V97"/>
  <c r="W97"/>
  <c r="X97"/>
  <c r="Y97"/>
  <c r="Z97"/>
  <c r="U96"/>
  <c r="U97"/>
  <c r="AA97"/>
  <c r="AA96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3"/>
  <c r="AA72"/>
  <c r="Y104" i="19"/>
  <c r="Y103"/>
  <c r="Y101"/>
  <c r="Y100"/>
  <c r="Y99"/>
  <c r="Y98"/>
  <c r="Y96"/>
  <c r="Y95"/>
  <c r="Y94"/>
  <c r="Y93"/>
  <c r="Y92"/>
  <c r="Y90"/>
  <c r="Y89"/>
  <c r="Y88"/>
  <c r="Y87"/>
  <c r="Y86"/>
  <c r="Y85"/>
  <c r="Y84"/>
  <c r="Y83"/>
  <c r="Y82"/>
  <c r="Y81"/>
  <c r="N88"/>
  <c r="O88"/>
  <c r="P88"/>
  <c r="Q88"/>
  <c r="R88"/>
  <c r="S88"/>
  <c r="T88"/>
  <c r="U88"/>
  <c r="V88"/>
  <c r="W88"/>
  <c r="X88"/>
  <c r="N89"/>
  <c r="O89"/>
  <c r="P89"/>
  <c r="Q89"/>
  <c r="R89"/>
  <c r="S89"/>
  <c r="T89"/>
  <c r="U89"/>
  <c r="V89"/>
  <c r="W89"/>
  <c r="X89"/>
  <c r="N90"/>
  <c r="O90"/>
  <c r="P90"/>
  <c r="Q90"/>
  <c r="R90"/>
  <c r="S90"/>
  <c r="T90"/>
  <c r="U90"/>
  <c r="V90"/>
  <c r="W90"/>
  <c r="X90"/>
  <c r="Y75"/>
  <c r="Y76"/>
  <c r="Y77"/>
  <c r="Y78"/>
  <c r="N78"/>
  <c r="N74"/>
  <c r="N75"/>
  <c r="N76"/>
  <c r="Y104" i="18"/>
  <c r="Y103"/>
  <c r="N88"/>
  <c r="O88"/>
  <c r="P88"/>
  <c r="Q88"/>
  <c r="R88"/>
  <c r="S88"/>
  <c r="T88"/>
  <c r="U88"/>
  <c r="V88"/>
  <c r="W88"/>
  <c r="X88"/>
  <c r="N89"/>
  <c r="O89"/>
  <c r="P89"/>
  <c r="Q89"/>
  <c r="R89"/>
  <c r="S89"/>
  <c r="T89"/>
  <c r="U89"/>
  <c r="V89"/>
  <c r="W89"/>
  <c r="X89"/>
  <c r="N90"/>
  <c r="O90"/>
  <c r="P90"/>
  <c r="Q90"/>
  <c r="R90"/>
  <c r="S90"/>
  <c r="T90"/>
  <c r="U90"/>
  <c r="V90"/>
  <c r="W90"/>
  <c r="X90"/>
  <c r="Y101"/>
  <c r="Y100"/>
  <c r="Y99"/>
  <c r="Y98"/>
  <c r="Y96"/>
  <c r="Y95"/>
  <c r="Y94"/>
  <c r="Y93"/>
  <c r="Y92"/>
  <c r="Y90"/>
  <c r="Y89"/>
  <c r="Y88"/>
  <c r="Y87"/>
  <c r="Y86"/>
  <c r="Y85"/>
  <c r="Y84"/>
  <c r="Y83"/>
  <c r="Y82"/>
  <c r="Y81"/>
  <c r="S75"/>
  <c r="T75"/>
  <c r="U75"/>
  <c r="V75"/>
  <c r="W75"/>
  <c r="X75"/>
  <c r="S77"/>
  <c r="T77"/>
  <c r="U77"/>
  <c r="V77"/>
  <c r="W77"/>
  <c r="X77"/>
  <c r="S78"/>
  <c r="T78"/>
  <c r="U78"/>
  <c r="V78"/>
  <c r="W78"/>
  <c r="X78"/>
  <c r="T76"/>
  <c r="U76"/>
  <c r="V76"/>
  <c r="W76"/>
  <c r="X76"/>
  <c r="S76"/>
  <c r="Y76"/>
  <c r="Y77"/>
  <c r="Y78"/>
  <c r="Y75"/>
  <c r="N78"/>
  <c r="N77"/>
  <c r="N74"/>
  <c r="N75"/>
  <c r="N37"/>
  <c r="O37"/>
  <c r="P37"/>
  <c r="Q37"/>
  <c r="R37"/>
  <c r="S37"/>
  <c r="T37"/>
  <c r="U37"/>
  <c r="V37"/>
  <c r="W37"/>
  <c r="X37"/>
  <c r="Y37"/>
  <c r="Y104" i="17"/>
  <c r="Y103"/>
  <c r="Y101"/>
  <c r="Y100"/>
  <c r="Y99"/>
  <c r="Y98"/>
  <c r="Y96"/>
  <c r="Y95"/>
  <c r="Y94"/>
  <c r="Y93"/>
  <c r="Y92"/>
  <c r="Y90"/>
  <c r="Y89"/>
  <c r="Y88"/>
  <c r="Y87"/>
  <c r="Y86"/>
  <c r="Y85"/>
  <c r="Y84"/>
  <c r="Y83"/>
  <c r="Y82"/>
  <c r="Y81"/>
  <c r="N88"/>
  <c r="O88"/>
  <c r="P88"/>
  <c r="Q88"/>
  <c r="R88"/>
  <c r="S88"/>
  <c r="T88"/>
  <c r="U88"/>
  <c r="V88"/>
  <c r="W88"/>
  <c r="X88"/>
  <c r="N89"/>
  <c r="O89"/>
  <c r="P89"/>
  <c r="Q89"/>
  <c r="R89"/>
  <c r="S89"/>
  <c r="T89"/>
  <c r="U89"/>
  <c r="V89"/>
  <c r="W89"/>
  <c r="X89"/>
  <c r="N90"/>
  <c r="O90"/>
  <c r="P90"/>
  <c r="Q90"/>
  <c r="R90"/>
  <c r="S90"/>
  <c r="T90"/>
  <c r="U90"/>
  <c r="V90"/>
  <c r="W90"/>
  <c r="X90"/>
  <c r="S76"/>
  <c r="T76"/>
  <c r="U76"/>
  <c r="V76"/>
  <c r="W76"/>
  <c r="X76"/>
  <c r="Y76"/>
  <c r="S77"/>
  <c r="T77"/>
  <c r="U77"/>
  <c r="V77"/>
  <c r="W77"/>
  <c r="X77"/>
  <c r="Y77"/>
  <c r="S78"/>
  <c r="T78"/>
  <c r="U78"/>
  <c r="V78"/>
  <c r="W78"/>
  <c r="X78"/>
  <c r="Y78"/>
  <c r="Y75"/>
  <c r="N74"/>
  <c r="N75"/>
  <c r="N77"/>
  <c r="N78"/>
  <c r="N37"/>
  <c r="O37"/>
  <c r="P37"/>
  <c r="Q37"/>
  <c r="R37"/>
  <c r="S37"/>
  <c r="T37"/>
  <c r="U37"/>
  <c r="V37"/>
  <c r="W37"/>
  <c r="X37"/>
  <c r="Y37"/>
  <c r="Y104" i="16"/>
  <c r="Y103"/>
  <c r="Y91"/>
  <c r="Y92"/>
  <c r="Y93"/>
  <c r="Y94"/>
  <c r="Y95"/>
  <c r="Y96"/>
  <c r="Y98"/>
  <c r="Y99"/>
  <c r="Y100"/>
  <c r="Y101"/>
  <c r="S88"/>
  <c r="T88"/>
  <c r="U88"/>
  <c r="V88"/>
  <c r="W88"/>
  <c r="X88"/>
  <c r="S89"/>
  <c r="T89"/>
  <c r="U89"/>
  <c r="V89"/>
  <c r="W89"/>
  <c r="X89"/>
  <c r="S90"/>
  <c r="T90"/>
  <c r="U90"/>
  <c r="V90"/>
  <c r="W90"/>
  <c r="X90"/>
  <c r="Y90"/>
  <c r="Y89"/>
  <c r="Y88"/>
  <c r="Y87"/>
  <c r="Y86"/>
  <c r="Y85"/>
  <c r="Y84"/>
  <c r="Y83"/>
  <c r="Y82"/>
  <c r="Y81"/>
  <c r="N89"/>
  <c r="O89"/>
  <c r="P89"/>
  <c r="Q89"/>
  <c r="R89"/>
  <c r="N90"/>
  <c r="O90"/>
  <c r="P90"/>
  <c r="Q90"/>
  <c r="R90"/>
  <c r="Y75"/>
  <c r="Y76"/>
  <c r="Y77"/>
  <c r="Y78"/>
  <c r="N75"/>
  <c r="N76"/>
  <c r="N77"/>
  <c r="N78"/>
  <c r="Y104" i="29"/>
  <c r="Y103"/>
  <c r="S92"/>
  <c r="T92"/>
  <c r="U92"/>
  <c r="V92"/>
  <c r="W92"/>
  <c r="X92"/>
  <c r="Y92"/>
  <c r="S93"/>
  <c r="T93"/>
  <c r="U93"/>
  <c r="V93"/>
  <c r="W93"/>
  <c r="X93"/>
  <c r="Y93"/>
  <c r="S94"/>
  <c r="T94"/>
  <c r="U94"/>
  <c r="V94"/>
  <c r="W94"/>
  <c r="X94"/>
  <c r="Y94"/>
  <c r="S95"/>
  <c r="T95"/>
  <c r="U95"/>
  <c r="V95"/>
  <c r="W95"/>
  <c r="X95"/>
  <c r="Y95"/>
  <c r="S96"/>
  <c r="T96"/>
  <c r="U96"/>
  <c r="V96"/>
  <c r="W96"/>
  <c r="X96"/>
  <c r="Y96"/>
  <c r="S98"/>
  <c r="T98"/>
  <c r="U98"/>
  <c r="V98"/>
  <c r="W98"/>
  <c r="X98"/>
  <c r="Y98"/>
  <c r="S99"/>
  <c r="T99"/>
  <c r="U99"/>
  <c r="V99"/>
  <c r="W99"/>
  <c r="X99"/>
  <c r="Y99"/>
  <c r="S100"/>
  <c r="T100"/>
  <c r="U100"/>
  <c r="V100"/>
  <c r="W100"/>
  <c r="X100"/>
  <c r="Y100"/>
  <c r="S101"/>
  <c r="T101"/>
  <c r="U101"/>
  <c r="V101"/>
  <c r="W101"/>
  <c r="X101"/>
  <c r="Y101"/>
  <c r="N89"/>
  <c r="O89"/>
  <c r="P89"/>
  <c r="Q89"/>
  <c r="R89"/>
  <c r="S89"/>
  <c r="T89"/>
  <c r="U89"/>
  <c r="V89"/>
  <c r="W89"/>
  <c r="X89"/>
  <c r="Y89"/>
  <c r="N90"/>
  <c r="O90"/>
  <c r="P90"/>
  <c r="Q90"/>
  <c r="R90"/>
  <c r="S90"/>
  <c r="T90"/>
  <c r="U90"/>
  <c r="V90"/>
  <c r="W90"/>
  <c r="X90"/>
  <c r="Y90"/>
  <c r="Y88"/>
  <c r="X88"/>
  <c r="W88"/>
  <c r="V88"/>
  <c r="U88"/>
  <c r="T88"/>
  <c r="S88"/>
  <c r="Y87"/>
  <c r="X87"/>
  <c r="W87"/>
  <c r="V87"/>
  <c r="U87"/>
  <c r="T87"/>
  <c r="S87"/>
  <c r="Y86"/>
  <c r="X86"/>
  <c r="W86"/>
  <c r="V86"/>
  <c r="U86"/>
  <c r="T86"/>
  <c r="S86"/>
  <c r="Y85"/>
  <c r="X85"/>
  <c r="W85"/>
  <c r="V85"/>
  <c r="U85"/>
  <c r="T85"/>
  <c r="S85"/>
  <c r="Y84"/>
  <c r="X84"/>
  <c r="W84"/>
  <c r="V84"/>
  <c r="U84"/>
  <c r="T84"/>
  <c r="S84"/>
  <c r="Y83"/>
  <c r="X83"/>
  <c r="W83"/>
  <c r="V83"/>
  <c r="U83"/>
  <c r="T83"/>
  <c r="S83"/>
  <c r="Y82"/>
  <c r="X82"/>
  <c r="W82"/>
  <c r="V82"/>
  <c r="U82"/>
  <c r="T82"/>
  <c r="S82"/>
  <c r="Y81"/>
  <c r="X81"/>
  <c r="W81"/>
  <c r="V81"/>
  <c r="U81"/>
  <c r="T81"/>
  <c r="S81"/>
  <c r="S75"/>
  <c r="T75"/>
  <c r="U75"/>
  <c r="V75"/>
  <c r="W75"/>
  <c r="X75"/>
  <c r="Y75"/>
  <c r="S76"/>
  <c r="T76"/>
  <c r="U76"/>
  <c r="V76"/>
  <c r="W76"/>
  <c r="X76"/>
  <c r="Y76"/>
  <c r="S77"/>
  <c r="T77"/>
  <c r="U77"/>
  <c r="V77"/>
  <c r="W77"/>
  <c r="X77"/>
  <c r="Y77"/>
  <c r="Y78"/>
  <c r="N76"/>
  <c r="N77"/>
  <c r="N78"/>
  <c r="N74"/>
  <c r="N37"/>
  <c r="O37"/>
  <c r="P37"/>
  <c r="Q37"/>
  <c r="R37"/>
  <c r="S37"/>
  <c r="T37"/>
  <c r="U37"/>
  <c r="V37"/>
  <c r="W37"/>
  <c r="X37"/>
  <c r="Y37"/>
  <c r="Y104" i="25"/>
  <c r="Y103"/>
  <c r="S90"/>
  <c r="T90"/>
  <c r="U90"/>
  <c r="V90"/>
  <c r="W90"/>
  <c r="X90"/>
  <c r="S88"/>
  <c r="T88"/>
  <c r="U88"/>
  <c r="V88"/>
  <c r="W88"/>
  <c r="X88"/>
  <c r="Y88"/>
  <c r="S89"/>
  <c r="T89"/>
  <c r="U89"/>
  <c r="V89"/>
  <c r="W89"/>
  <c r="X89"/>
  <c r="Y89"/>
  <c r="Y81"/>
  <c r="Y82"/>
  <c r="Y83"/>
  <c r="Y84"/>
  <c r="Y85"/>
  <c r="Y86"/>
  <c r="Y87"/>
  <c r="Y90"/>
  <c r="Y92"/>
  <c r="Y93"/>
  <c r="Y94"/>
  <c r="Y95"/>
  <c r="Y96"/>
  <c r="Y97"/>
  <c r="Y98"/>
  <c r="Y99"/>
  <c r="Y100"/>
  <c r="Y101"/>
  <c r="Y75"/>
  <c r="Y76"/>
  <c r="Y77"/>
  <c r="Y78"/>
  <c r="N75"/>
  <c r="N76"/>
  <c r="N77"/>
  <c r="N78"/>
  <c r="N80"/>
  <c r="N81"/>
  <c r="N82"/>
  <c r="N83"/>
  <c r="N84"/>
  <c r="N85"/>
  <c r="N86"/>
  <c r="N87"/>
  <c r="N88"/>
  <c r="N89"/>
  <c r="N90"/>
  <c r="N92"/>
  <c r="N93"/>
  <c r="N94"/>
  <c r="N95"/>
  <c r="N96"/>
  <c r="N98"/>
  <c r="N99"/>
  <c r="N100"/>
  <c r="N101"/>
  <c r="N103"/>
  <c r="N104"/>
  <c r="N74"/>
  <c r="N89" i="28"/>
  <c r="O89"/>
  <c r="P89"/>
  <c r="Q89"/>
  <c r="R89"/>
  <c r="Y89"/>
  <c r="N90"/>
  <c r="O90"/>
  <c r="P90"/>
  <c r="Q90"/>
  <c r="R90"/>
  <c r="Y90"/>
  <c r="Y81"/>
  <c r="Y82"/>
  <c r="Y83"/>
  <c r="Y84"/>
  <c r="Y85"/>
  <c r="Y86"/>
  <c r="Y87"/>
  <c r="Y88"/>
  <c r="Y92"/>
  <c r="Y93"/>
  <c r="Y94"/>
  <c r="Y95"/>
  <c r="Y96"/>
  <c r="Y98"/>
  <c r="Y99"/>
  <c r="Y100"/>
  <c r="Y101"/>
  <c r="Y104"/>
  <c r="Y103"/>
  <c r="L77"/>
  <c r="S75"/>
  <c r="T75"/>
  <c r="U75"/>
  <c r="V75"/>
  <c r="W75"/>
  <c r="X75"/>
  <c r="Y75"/>
  <c r="S76"/>
  <c r="T76"/>
  <c r="U76"/>
  <c r="V76"/>
  <c r="W76"/>
  <c r="X76"/>
  <c r="Y76"/>
  <c r="S77"/>
  <c r="T77"/>
  <c r="U77"/>
  <c r="V77"/>
  <c r="W77"/>
  <c r="X77"/>
  <c r="Y77"/>
  <c r="N74"/>
  <c r="N75"/>
  <c r="N76"/>
  <c r="N77"/>
  <c r="N78"/>
  <c r="Y78"/>
  <c r="Y104" i="8"/>
  <c r="Y103"/>
  <c r="Y103" i="2"/>
  <c r="Y104"/>
  <c r="Y82" i="8"/>
  <c r="Y83"/>
  <c r="Y84"/>
  <c r="Y85"/>
  <c r="Y86"/>
  <c r="Y87"/>
  <c r="Y90"/>
  <c r="Y92"/>
  <c r="Y93"/>
  <c r="Y94"/>
  <c r="Y95"/>
  <c r="Y96"/>
  <c r="Y98"/>
  <c r="Y99"/>
  <c r="Y100"/>
  <c r="Y101"/>
  <c r="Y81"/>
  <c r="S75"/>
  <c r="T75"/>
  <c r="U75"/>
  <c r="V75"/>
  <c r="W75"/>
  <c r="X75"/>
  <c r="Y75"/>
  <c r="S76"/>
  <c r="T76"/>
  <c r="U76"/>
  <c r="V76"/>
  <c r="W76"/>
  <c r="X76"/>
  <c r="Y76"/>
  <c r="T77"/>
  <c r="U77"/>
  <c r="V77"/>
  <c r="W77"/>
  <c r="X77"/>
  <c r="S77"/>
  <c r="Y77"/>
  <c r="Y78"/>
  <c r="N77"/>
  <c r="N75"/>
  <c r="Y101" i="2"/>
  <c r="Y100"/>
  <c r="Y99"/>
  <c r="Y98"/>
  <c r="Y96"/>
  <c r="Y95"/>
  <c r="Y94"/>
  <c r="Y93"/>
  <c r="Y92"/>
  <c r="Y90"/>
  <c r="Y82"/>
  <c r="Y83"/>
  <c r="Y84"/>
  <c r="Y85"/>
  <c r="Y86"/>
  <c r="Y87"/>
  <c r="Y81"/>
  <c r="Y75"/>
  <c r="Y76"/>
  <c r="S75"/>
  <c r="T75"/>
  <c r="U75"/>
  <c r="V75"/>
  <c r="W75"/>
  <c r="X75"/>
  <c r="S77"/>
  <c r="T77"/>
  <c r="U77"/>
  <c r="V77"/>
  <c r="W77"/>
  <c r="X77"/>
  <c r="T76"/>
  <c r="U76"/>
  <c r="V76"/>
  <c r="W76"/>
  <c r="X76"/>
  <c r="S76"/>
  <c r="Y77"/>
  <c r="N75"/>
  <c r="N77"/>
  <c r="Y78"/>
  <c r="K130"/>
  <c r="K129"/>
  <c r="K128"/>
  <c r="K125"/>
  <c r="K124"/>
  <c r="K122"/>
  <c r="K119"/>
  <c r="K118"/>
  <c r="K117"/>
  <c r="AA60" i="22"/>
  <c r="AA59"/>
  <c r="AA58"/>
  <c r="AA57"/>
  <c r="AA54"/>
  <c r="AA52"/>
  <c r="AA50"/>
  <c r="AA49"/>
  <c r="AA48"/>
  <c r="AA47"/>
  <c r="AA45"/>
  <c r="AA44"/>
  <c r="AA43"/>
  <c r="AA42"/>
  <c r="AA41"/>
  <c r="AA40"/>
  <c r="AA39"/>
  <c r="AA36"/>
  <c r="AA35"/>
  <c r="AA34"/>
  <c r="AA33"/>
  <c r="AA32"/>
  <c r="AA31"/>
  <c r="AA30"/>
  <c r="AA29"/>
  <c r="AA26"/>
  <c r="AA24"/>
  <c r="AA22"/>
  <c r="AA21"/>
  <c r="AA20"/>
  <c r="AA19"/>
  <c r="AA18"/>
  <c r="AA15"/>
  <c r="AA14"/>
  <c r="AA13"/>
  <c r="AA12"/>
  <c r="AA11"/>
  <c r="Y63" i="19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18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17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16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29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25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28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8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Y63" i="2"/>
  <c r="Y62"/>
  <c r="Y61"/>
  <c r="Y60"/>
  <c r="Y57"/>
  <c r="Y55"/>
  <c r="Y53"/>
  <c r="Y52"/>
  <c r="Y51"/>
  <c r="Y50"/>
  <c r="Y48"/>
  <c r="Y47"/>
  <c r="Y46"/>
  <c r="Y45"/>
  <c r="Y44"/>
  <c r="Y43"/>
  <c r="Y42"/>
  <c r="Y38"/>
  <c r="Y36"/>
  <c r="Y35"/>
  <c r="Y34"/>
  <c r="Y33"/>
  <c r="Y32"/>
  <c r="Y31"/>
  <c r="Y30"/>
  <c r="Y29"/>
  <c r="Y26"/>
  <c r="Y24"/>
  <c r="Y22"/>
  <c r="Y21"/>
  <c r="Y20"/>
  <c r="Y19"/>
  <c r="Y18"/>
  <c r="Y15"/>
  <c r="Y14"/>
  <c r="Y13"/>
  <c r="Y12"/>
  <c r="Y11"/>
  <c r="G133" i="19"/>
  <c r="H133"/>
  <c r="I133"/>
  <c r="J133"/>
  <c r="K133"/>
  <c r="G134"/>
  <c r="H134"/>
  <c r="I134"/>
  <c r="J134"/>
  <c r="K134"/>
  <c r="G135"/>
  <c r="H135"/>
  <c r="I135"/>
  <c r="J135"/>
  <c r="K135"/>
  <c r="G136"/>
  <c r="H136"/>
  <c r="I136"/>
  <c r="J136"/>
  <c r="K136"/>
  <c r="G137"/>
  <c r="H137"/>
  <c r="I137"/>
  <c r="J137"/>
  <c r="K137"/>
  <c r="G128"/>
  <c r="H128"/>
  <c r="I128"/>
  <c r="J128"/>
  <c r="K128"/>
  <c r="G129"/>
  <c r="H129"/>
  <c r="I129"/>
  <c r="J129"/>
  <c r="K129"/>
  <c r="G130"/>
  <c r="H130"/>
  <c r="I130"/>
  <c r="J130"/>
  <c r="K130"/>
  <c r="F129"/>
  <c r="G129" i="18"/>
  <c r="H129"/>
  <c r="I129"/>
  <c r="J129"/>
  <c r="K129"/>
  <c r="F129"/>
  <c r="G133"/>
  <c r="H133"/>
  <c r="I133"/>
  <c r="J133"/>
  <c r="K133"/>
  <c r="G134"/>
  <c r="H134"/>
  <c r="I134"/>
  <c r="J134"/>
  <c r="K134"/>
  <c r="G135"/>
  <c r="H135"/>
  <c r="I135"/>
  <c r="J135"/>
  <c r="K135"/>
  <c r="G136"/>
  <c r="H136"/>
  <c r="I136"/>
  <c r="J136"/>
  <c r="K136"/>
  <c r="G137"/>
  <c r="H137"/>
  <c r="I137"/>
  <c r="J137"/>
  <c r="K137"/>
  <c r="G128"/>
  <c r="H128"/>
  <c r="I128"/>
  <c r="J128"/>
  <c r="K128"/>
  <c r="G130"/>
  <c r="H130"/>
  <c r="I130"/>
  <c r="J130"/>
  <c r="K130"/>
  <c r="G133" i="17"/>
  <c r="H133"/>
  <c r="I133"/>
  <c r="J133"/>
  <c r="K133"/>
  <c r="G134"/>
  <c r="H134"/>
  <c r="I134"/>
  <c r="J134"/>
  <c r="K134"/>
  <c r="G135"/>
  <c r="H135"/>
  <c r="I135"/>
  <c r="J135"/>
  <c r="K135"/>
  <c r="G136"/>
  <c r="H136"/>
  <c r="I136"/>
  <c r="J136"/>
  <c r="K136"/>
  <c r="G137"/>
  <c r="H137"/>
  <c r="I137"/>
  <c r="J137"/>
  <c r="K137"/>
  <c r="G128"/>
  <c r="H128"/>
  <c r="I128"/>
  <c r="J128"/>
  <c r="K128"/>
  <c r="G129"/>
  <c r="H129"/>
  <c r="I129"/>
  <c r="J129"/>
  <c r="K129"/>
  <c r="G130"/>
  <c r="H130"/>
  <c r="I130"/>
  <c r="J130"/>
  <c r="K130"/>
  <c r="F130"/>
  <c r="F129"/>
  <c r="F128"/>
  <c r="G133" i="16"/>
  <c r="H133"/>
  <c r="I133"/>
  <c r="J133"/>
  <c r="K133"/>
  <c r="G134"/>
  <c r="H134"/>
  <c r="I134"/>
  <c r="J134"/>
  <c r="K134"/>
  <c r="G135"/>
  <c r="H135"/>
  <c r="I135"/>
  <c r="J135"/>
  <c r="K135"/>
  <c r="G136"/>
  <c r="H136"/>
  <c r="I136"/>
  <c r="J136"/>
  <c r="K136"/>
  <c r="G137"/>
  <c r="H137"/>
  <c r="I137"/>
  <c r="J137"/>
  <c r="K137"/>
  <c r="G128"/>
  <c r="H128"/>
  <c r="I128"/>
  <c r="J128"/>
  <c r="K128"/>
  <c r="G129"/>
  <c r="H129"/>
  <c r="I129"/>
  <c r="J129"/>
  <c r="K129"/>
  <c r="G130"/>
  <c r="H130"/>
  <c r="I130"/>
  <c r="J130"/>
  <c r="K130"/>
  <c r="F130"/>
  <c r="F129"/>
  <c r="F137"/>
  <c r="H133" i="25"/>
  <c r="I133"/>
  <c r="J133"/>
  <c r="K133"/>
  <c r="H134"/>
  <c r="I134"/>
  <c r="J134"/>
  <c r="K134"/>
  <c r="H135"/>
  <c r="I135"/>
  <c r="J135"/>
  <c r="K135"/>
  <c r="H136"/>
  <c r="I136"/>
  <c r="J136"/>
  <c r="K136"/>
  <c r="H137"/>
  <c r="I137"/>
  <c r="J137"/>
  <c r="K137"/>
  <c r="H133" i="2"/>
  <c r="I133"/>
  <c r="J133"/>
  <c r="K133"/>
  <c r="H134"/>
  <c r="I134"/>
  <c r="J134"/>
  <c r="K134"/>
  <c r="H135"/>
  <c r="I135"/>
  <c r="J135"/>
  <c r="K135"/>
  <c r="H136"/>
  <c r="I136"/>
  <c r="J136"/>
  <c r="K136"/>
  <c r="H137"/>
  <c r="I137"/>
  <c r="J137"/>
  <c r="K137"/>
  <c r="H133" i="8"/>
  <c r="I133"/>
  <c r="J133"/>
  <c r="K133"/>
  <c r="H134"/>
  <c r="I134"/>
  <c r="J134"/>
  <c r="K134"/>
  <c r="H135"/>
  <c r="I135"/>
  <c r="J135"/>
  <c r="K135"/>
  <c r="H136"/>
  <c r="I136"/>
  <c r="J136"/>
  <c r="K136"/>
  <c r="H137"/>
  <c r="I137"/>
  <c r="J137"/>
  <c r="K137"/>
  <c r="H133" i="28"/>
  <c r="I133"/>
  <c r="J133"/>
  <c r="K133"/>
  <c r="H134"/>
  <c r="I134"/>
  <c r="J134"/>
  <c r="K134"/>
  <c r="H135"/>
  <c r="I135"/>
  <c r="J135"/>
  <c r="K135"/>
  <c r="H136"/>
  <c r="I136"/>
  <c r="J136"/>
  <c r="K136"/>
  <c r="H137"/>
  <c r="I137"/>
  <c r="J137"/>
  <c r="K137"/>
  <c r="F137"/>
  <c r="F136"/>
  <c r="F135"/>
  <c r="F134"/>
  <c r="F133"/>
  <c r="H128" i="29"/>
  <c r="I128"/>
  <c r="J128"/>
  <c r="K128"/>
  <c r="H129"/>
  <c r="I129"/>
  <c r="J129"/>
  <c r="K129"/>
  <c r="H130"/>
  <c r="I130"/>
  <c r="J130"/>
  <c r="K130"/>
  <c r="F137"/>
  <c r="F136"/>
  <c r="F135"/>
  <c r="F134"/>
  <c r="F133"/>
  <c r="G133"/>
  <c r="H133"/>
  <c r="I133"/>
  <c r="J133"/>
  <c r="K133"/>
  <c r="G134"/>
  <c r="H134"/>
  <c r="I134"/>
  <c r="J134"/>
  <c r="K134"/>
  <c r="G135"/>
  <c r="H135"/>
  <c r="I135"/>
  <c r="J135"/>
  <c r="K135"/>
  <c r="G136"/>
  <c r="H136"/>
  <c r="I136"/>
  <c r="J136"/>
  <c r="K136"/>
  <c r="G137"/>
  <c r="H137"/>
  <c r="I137"/>
  <c r="J137"/>
  <c r="K137"/>
  <c r="F130"/>
  <c r="F129"/>
  <c r="F128"/>
  <c r="F119"/>
  <c r="G128"/>
  <c r="G129"/>
  <c r="G130"/>
  <c r="K130" i="25"/>
  <c r="J130"/>
  <c r="I130"/>
  <c r="H130"/>
  <c r="G130"/>
  <c r="K129"/>
  <c r="J129"/>
  <c r="I129"/>
  <c r="H129"/>
  <c r="G129"/>
  <c r="K128"/>
  <c r="J128"/>
  <c r="I128"/>
  <c r="H128"/>
  <c r="G128"/>
  <c r="F129"/>
  <c r="F130" i="28"/>
  <c r="G130"/>
  <c r="H130"/>
  <c r="I130"/>
  <c r="J130"/>
  <c r="K130"/>
  <c r="F129"/>
  <c r="F128"/>
  <c r="G129"/>
  <c r="H129"/>
  <c r="I129"/>
  <c r="J129"/>
  <c r="K129"/>
  <c r="G128"/>
  <c r="H128"/>
  <c r="I128"/>
  <c r="J128"/>
  <c r="K128"/>
  <c r="H122" i="22"/>
  <c r="I122"/>
  <c r="J122"/>
  <c r="K122"/>
  <c r="L122"/>
  <c r="H123"/>
  <c r="I123"/>
  <c r="J123"/>
  <c r="K123"/>
  <c r="L123"/>
  <c r="H124"/>
  <c r="I124"/>
  <c r="J124"/>
  <c r="K124"/>
  <c r="L124"/>
  <c r="G123"/>
  <c r="G122"/>
  <c r="G130" i="8"/>
  <c r="H130"/>
  <c r="I130"/>
  <c r="J130"/>
  <c r="K130"/>
  <c r="G129"/>
  <c r="H129"/>
  <c r="I129"/>
  <c r="J129"/>
  <c r="K129"/>
  <c r="F129"/>
  <c r="G128"/>
  <c r="H128"/>
  <c r="I128"/>
  <c r="J128"/>
  <c r="K128"/>
  <c r="F130" i="2"/>
  <c r="J129"/>
  <c r="I129"/>
  <c r="G129"/>
  <c r="F128"/>
  <c r="F129"/>
  <c r="I130" i="22"/>
  <c r="J130"/>
  <c r="I131"/>
  <c r="J131"/>
  <c r="I129"/>
  <c r="J129"/>
  <c r="I128"/>
  <c r="I127"/>
  <c r="I113"/>
  <c r="R19" i="5"/>
  <c r="P19"/>
  <c r="N19"/>
  <c r="L19"/>
  <c r="J19"/>
  <c r="H19"/>
  <c r="D19"/>
  <c r="B19"/>
  <c r="L155" i="19"/>
  <c r="L154"/>
  <c r="L153"/>
  <c r="L152"/>
  <c r="L151"/>
  <c r="L148"/>
  <c r="L147"/>
  <c r="L146"/>
  <c r="L145"/>
  <c r="L130"/>
  <c r="L129"/>
  <c r="L128"/>
  <c r="L137"/>
  <c r="L136"/>
  <c r="L135"/>
  <c r="L134"/>
  <c r="L133"/>
  <c r="L125"/>
  <c r="L124"/>
  <c r="L123"/>
  <c r="L122"/>
  <c r="L119"/>
  <c r="L118"/>
  <c r="L117"/>
  <c r="L104"/>
  <c r="L103"/>
  <c r="L101"/>
  <c r="L100"/>
  <c r="L99"/>
  <c r="L98"/>
  <c r="L96"/>
  <c r="L93"/>
  <c r="L92"/>
  <c r="L90"/>
  <c r="L87"/>
  <c r="L86"/>
  <c r="L85"/>
  <c r="L84"/>
  <c r="L83"/>
  <c r="L82"/>
  <c r="L81"/>
  <c r="L78"/>
  <c r="L77"/>
  <c r="L76"/>
  <c r="L75"/>
  <c r="L63"/>
  <c r="L62"/>
  <c r="L61"/>
  <c r="L60"/>
  <c r="L57"/>
  <c r="L55"/>
  <c r="L53"/>
  <c r="L52"/>
  <c r="L51"/>
  <c r="L50"/>
  <c r="L48"/>
  <c r="L47"/>
  <c r="L46"/>
  <c r="L44"/>
  <c r="L43"/>
  <c r="L42"/>
  <c r="L38"/>
  <c r="L35"/>
  <c r="L34"/>
  <c r="L33"/>
  <c r="L32"/>
  <c r="L31"/>
  <c r="L29"/>
  <c r="L26"/>
  <c r="L24"/>
  <c r="L22"/>
  <c r="L21"/>
  <c r="L20"/>
  <c r="L19"/>
  <c r="L18"/>
  <c r="L15"/>
  <c r="L14"/>
  <c r="L13"/>
  <c r="L12"/>
  <c r="L11"/>
  <c r="K60"/>
  <c r="J60"/>
  <c r="K46"/>
  <c r="J46"/>
  <c r="K21"/>
  <c r="J21"/>
  <c r="K14"/>
  <c r="J14"/>
  <c r="K62"/>
  <c r="K154" s="1"/>
  <c r="K53"/>
  <c r="K55" s="1"/>
  <c r="K48"/>
  <c r="K34"/>
  <c r="K22"/>
  <c r="K26" s="1"/>
  <c r="K15"/>
  <c r="K117" s="1"/>
  <c r="K93"/>
  <c r="J93"/>
  <c r="K92"/>
  <c r="J92"/>
  <c r="K96"/>
  <c r="K98" s="1"/>
  <c r="K101" s="1"/>
  <c r="K90"/>
  <c r="K83"/>
  <c r="J83"/>
  <c r="K87"/>
  <c r="K78"/>
  <c r="X76"/>
  <c r="V76"/>
  <c r="U76"/>
  <c r="T76"/>
  <c r="S76"/>
  <c r="X75"/>
  <c r="V75"/>
  <c r="U75"/>
  <c r="T75"/>
  <c r="S75"/>
  <c r="N77"/>
  <c r="X100"/>
  <c r="X99"/>
  <c r="X95"/>
  <c r="X94"/>
  <c r="X93"/>
  <c r="X92"/>
  <c r="X87"/>
  <c r="X86"/>
  <c r="X85"/>
  <c r="X84"/>
  <c r="X83"/>
  <c r="X82"/>
  <c r="X81"/>
  <c r="X78"/>
  <c r="X77"/>
  <c r="X73"/>
  <c r="X8"/>
  <c r="K152"/>
  <c r="K147"/>
  <c r="K146"/>
  <c r="K145"/>
  <c r="K118"/>
  <c r="K114"/>
  <c r="K73"/>
  <c r="R18" i="5"/>
  <c r="P18"/>
  <c r="N18"/>
  <c r="L18"/>
  <c r="J18"/>
  <c r="H18"/>
  <c r="D18"/>
  <c r="B18"/>
  <c r="L155" i="18"/>
  <c r="L154"/>
  <c r="L153"/>
  <c r="L152"/>
  <c r="L151"/>
  <c r="L148"/>
  <c r="L147"/>
  <c r="L146"/>
  <c r="L145"/>
  <c r="L130"/>
  <c r="L129"/>
  <c r="L128"/>
  <c r="L137"/>
  <c r="L136"/>
  <c r="L135"/>
  <c r="L134"/>
  <c r="L133"/>
  <c r="L119"/>
  <c r="L118"/>
  <c r="L117"/>
  <c r="L125"/>
  <c r="L124"/>
  <c r="L123"/>
  <c r="L122"/>
  <c r="L104"/>
  <c r="L101"/>
  <c r="L100"/>
  <c r="L99"/>
  <c r="L98"/>
  <c r="L96"/>
  <c r="L95"/>
  <c r="L92"/>
  <c r="L90"/>
  <c r="L87"/>
  <c r="L85"/>
  <c r="L84"/>
  <c r="L83"/>
  <c r="L82"/>
  <c r="L81"/>
  <c r="L78"/>
  <c r="L75"/>
  <c r="L63"/>
  <c r="L62"/>
  <c r="L60"/>
  <c r="L57"/>
  <c r="L55"/>
  <c r="L53"/>
  <c r="L52"/>
  <c r="L51"/>
  <c r="L50"/>
  <c r="L48"/>
  <c r="L47"/>
  <c r="L46"/>
  <c r="L44"/>
  <c r="L43"/>
  <c r="L42"/>
  <c r="L38"/>
  <c r="L35"/>
  <c r="L34"/>
  <c r="L33"/>
  <c r="L32"/>
  <c r="L30"/>
  <c r="L29"/>
  <c r="L26"/>
  <c r="L24"/>
  <c r="L22"/>
  <c r="L21"/>
  <c r="L19"/>
  <c r="L18"/>
  <c r="L15"/>
  <c r="L14"/>
  <c r="L13"/>
  <c r="L12"/>
  <c r="L11"/>
  <c r="X104"/>
  <c r="X103"/>
  <c r="X101"/>
  <c r="X100"/>
  <c r="X99"/>
  <c r="X98"/>
  <c r="X96"/>
  <c r="X95"/>
  <c r="X94"/>
  <c r="X93"/>
  <c r="X92"/>
  <c r="X87"/>
  <c r="X86"/>
  <c r="X85"/>
  <c r="X84"/>
  <c r="X83"/>
  <c r="X82"/>
  <c r="X81"/>
  <c r="X63"/>
  <c r="X62"/>
  <c r="X61"/>
  <c r="X60"/>
  <c r="X57"/>
  <c r="X55"/>
  <c r="X53"/>
  <c r="X52"/>
  <c r="X51"/>
  <c r="X50"/>
  <c r="X48"/>
  <c r="X47"/>
  <c r="X46"/>
  <c r="X45"/>
  <c r="X44"/>
  <c r="X43"/>
  <c r="X42"/>
  <c r="X38"/>
  <c r="X36"/>
  <c r="X35"/>
  <c r="X34"/>
  <c r="X33"/>
  <c r="X32"/>
  <c r="X31"/>
  <c r="X30"/>
  <c r="X29"/>
  <c r="X26"/>
  <c r="X24"/>
  <c r="X22"/>
  <c r="X21"/>
  <c r="X20"/>
  <c r="X19"/>
  <c r="X18"/>
  <c r="X15"/>
  <c r="X14"/>
  <c r="X13"/>
  <c r="X12"/>
  <c r="X11"/>
  <c r="K154"/>
  <c r="K153"/>
  <c r="K152"/>
  <c r="K151"/>
  <c r="K155" s="1"/>
  <c r="K147"/>
  <c r="K146"/>
  <c r="K145"/>
  <c r="K148" s="1"/>
  <c r="K125"/>
  <c r="K124"/>
  <c r="K123"/>
  <c r="K122"/>
  <c r="K119"/>
  <c r="K118"/>
  <c r="K117"/>
  <c r="K62"/>
  <c r="K53"/>
  <c r="K55" s="1"/>
  <c r="K48"/>
  <c r="K14"/>
  <c r="J14"/>
  <c r="K11"/>
  <c r="J11"/>
  <c r="K15"/>
  <c r="K35"/>
  <c r="K34"/>
  <c r="K38" s="1"/>
  <c r="K22"/>
  <c r="K26"/>
  <c r="I95"/>
  <c r="K96"/>
  <c r="K90"/>
  <c r="K87"/>
  <c r="K78"/>
  <c r="X73"/>
  <c r="X8"/>
  <c r="K114"/>
  <c r="K73"/>
  <c r="K151" i="19" l="1"/>
  <c r="K153"/>
  <c r="K155" s="1"/>
  <c r="K148"/>
  <c r="K123"/>
  <c r="K38"/>
  <c r="K35"/>
  <c r="X35" s="1"/>
  <c r="X26"/>
  <c r="K124"/>
  <c r="K63"/>
  <c r="X55"/>
  <c r="K122"/>
  <c r="X103"/>
  <c r="X104"/>
  <c r="X101"/>
  <c r="X98"/>
  <c r="K125"/>
  <c r="X96"/>
  <c r="K63" i="18"/>
  <c r="K98"/>
  <c r="K101" s="1"/>
  <c r="R17" i="5"/>
  <c r="P17"/>
  <c r="N17"/>
  <c r="L17"/>
  <c r="J17"/>
  <c r="H17"/>
  <c r="D17"/>
  <c r="B17"/>
  <c r="L155" i="17"/>
  <c r="L154"/>
  <c r="L153"/>
  <c r="L152"/>
  <c r="L151"/>
  <c r="L148"/>
  <c r="L147"/>
  <c r="L146"/>
  <c r="L145"/>
  <c r="L130"/>
  <c r="L129"/>
  <c r="L128"/>
  <c r="L137"/>
  <c r="L136"/>
  <c r="L135"/>
  <c r="L134"/>
  <c r="L133"/>
  <c r="L125"/>
  <c r="L124"/>
  <c r="L123"/>
  <c r="L122"/>
  <c r="L119"/>
  <c r="L118"/>
  <c r="L117"/>
  <c r="L103"/>
  <c r="L104"/>
  <c r="L101"/>
  <c r="L100"/>
  <c r="L98"/>
  <c r="L96"/>
  <c r="L93"/>
  <c r="L92"/>
  <c r="L90"/>
  <c r="L87"/>
  <c r="L85"/>
  <c r="L84"/>
  <c r="L83"/>
  <c r="L82"/>
  <c r="L81"/>
  <c r="L78"/>
  <c r="L77"/>
  <c r="L76"/>
  <c r="L75"/>
  <c r="L63"/>
  <c r="L62"/>
  <c r="L61"/>
  <c r="L60"/>
  <c r="L57"/>
  <c r="L55"/>
  <c r="L53"/>
  <c r="L52"/>
  <c r="L51"/>
  <c r="L50"/>
  <c r="L48"/>
  <c r="L46"/>
  <c r="L45"/>
  <c r="L44"/>
  <c r="L43"/>
  <c r="L42"/>
  <c r="L38"/>
  <c r="L35"/>
  <c r="L34"/>
  <c r="L33"/>
  <c r="L31"/>
  <c r="L30"/>
  <c r="L29"/>
  <c r="L26"/>
  <c r="L24"/>
  <c r="L22"/>
  <c r="L21"/>
  <c r="L20"/>
  <c r="L19"/>
  <c r="L18"/>
  <c r="L15"/>
  <c r="L14"/>
  <c r="L13"/>
  <c r="L12"/>
  <c r="L11"/>
  <c r="X104"/>
  <c r="X103"/>
  <c r="X101"/>
  <c r="X100"/>
  <c r="X99"/>
  <c r="X98"/>
  <c r="X96"/>
  <c r="X95"/>
  <c r="X94"/>
  <c r="X93"/>
  <c r="X92"/>
  <c r="X87"/>
  <c r="X86"/>
  <c r="X85"/>
  <c r="X84"/>
  <c r="X83"/>
  <c r="X82"/>
  <c r="X81"/>
  <c r="X75"/>
  <c r="W75"/>
  <c r="V75"/>
  <c r="U75"/>
  <c r="T75"/>
  <c r="S75"/>
  <c r="X73"/>
  <c r="V73"/>
  <c r="V81"/>
  <c r="V82"/>
  <c r="V83"/>
  <c r="V84"/>
  <c r="V85"/>
  <c r="V86"/>
  <c r="V87"/>
  <c r="V92"/>
  <c r="V93"/>
  <c r="V94"/>
  <c r="V95"/>
  <c r="V96"/>
  <c r="V98"/>
  <c r="V99"/>
  <c r="V100"/>
  <c r="V101"/>
  <c r="V103"/>
  <c r="V104"/>
  <c r="X63"/>
  <c r="X62"/>
  <c r="X61"/>
  <c r="X60"/>
  <c r="X57"/>
  <c r="X55"/>
  <c r="X53"/>
  <c r="X52"/>
  <c r="X51"/>
  <c r="X50"/>
  <c r="X48"/>
  <c r="X47"/>
  <c r="X46"/>
  <c r="X45"/>
  <c r="X44"/>
  <c r="X43"/>
  <c r="X42"/>
  <c r="X38"/>
  <c r="X36"/>
  <c r="X35"/>
  <c r="X34"/>
  <c r="X33"/>
  <c r="X32"/>
  <c r="X31"/>
  <c r="X30"/>
  <c r="X29"/>
  <c r="X26"/>
  <c r="X24"/>
  <c r="X22"/>
  <c r="X21"/>
  <c r="X20"/>
  <c r="X19"/>
  <c r="X18"/>
  <c r="X15"/>
  <c r="X14"/>
  <c r="X13"/>
  <c r="X12"/>
  <c r="X11"/>
  <c r="K52"/>
  <c r="J52"/>
  <c r="K46"/>
  <c r="J46"/>
  <c r="K33"/>
  <c r="J33"/>
  <c r="K14"/>
  <c r="J14"/>
  <c r="K13"/>
  <c r="J13"/>
  <c r="K12"/>
  <c r="J12"/>
  <c r="K11"/>
  <c r="J11"/>
  <c r="K62"/>
  <c r="K152" s="1"/>
  <c r="K53"/>
  <c r="K48"/>
  <c r="K118" s="1"/>
  <c r="K34"/>
  <c r="K22"/>
  <c r="K26" s="1"/>
  <c r="K15"/>
  <c r="K154"/>
  <c r="K125"/>
  <c r="K119"/>
  <c r="J83"/>
  <c r="K75"/>
  <c r="J75"/>
  <c r="K96"/>
  <c r="K87"/>
  <c r="K78"/>
  <c r="X8"/>
  <c r="K114"/>
  <c r="K73"/>
  <c r="R16" i="5"/>
  <c r="P16"/>
  <c r="N16"/>
  <c r="L16"/>
  <c r="J16"/>
  <c r="H16"/>
  <c r="D16"/>
  <c r="B16"/>
  <c r="X77" i="16"/>
  <c r="W77"/>
  <c r="V77"/>
  <c r="U77"/>
  <c r="T77"/>
  <c r="X76"/>
  <c r="W76"/>
  <c r="V76"/>
  <c r="U76"/>
  <c r="T76"/>
  <c r="X75"/>
  <c r="W75"/>
  <c r="V75"/>
  <c r="U75"/>
  <c r="T75"/>
  <c r="S77"/>
  <c r="S76"/>
  <c r="S75"/>
  <c r="N74"/>
  <c r="L155"/>
  <c r="L154"/>
  <c r="L153"/>
  <c r="L152"/>
  <c r="L151"/>
  <c r="L148"/>
  <c r="L147"/>
  <c r="L146"/>
  <c r="L145"/>
  <c r="L130"/>
  <c r="L129"/>
  <c r="L128"/>
  <c r="L137"/>
  <c r="L136"/>
  <c r="L135"/>
  <c r="L134"/>
  <c r="L133"/>
  <c r="L125"/>
  <c r="L124"/>
  <c r="L123"/>
  <c r="L122"/>
  <c r="L119"/>
  <c r="L118"/>
  <c r="L117"/>
  <c r="L104"/>
  <c r="L101"/>
  <c r="L100"/>
  <c r="L98"/>
  <c r="L96"/>
  <c r="L95"/>
  <c r="L92"/>
  <c r="L90"/>
  <c r="L87"/>
  <c r="L85"/>
  <c r="L84"/>
  <c r="L83"/>
  <c r="L82"/>
  <c r="L81"/>
  <c r="L78"/>
  <c r="L77"/>
  <c r="L76"/>
  <c r="L75"/>
  <c r="L63"/>
  <c r="L62"/>
  <c r="L60"/>
  <c r="L55"/>
  <c r="L53"/>
  <c r="L52"/>
  <c r="L51"/>
  <c r="L50"/>
  <c r="L48"/>
  <c r="L47"/>
  <c r="L46"/>
  <c r="L45"/>
  <c r="L44"/>
  <c r="L43"/>
  <c r="L42"/>
  <c r="L38"/>
  <c r="L35"/>
  <c r="L34"/>
  <c r="L33"/>
  <c r="L31"/>
  <c r="L29"/>
  <c r="L26"/>
  <c r="L24"/>
  <c r="L22"/>
  <c r="L20"/>
  <c r="L19"/>
  <c r="L18"/>
  <c r="L15"/>
  <c r="L14"/>
  <c r="L13"/>
  <c r="L12"/>
  <c r="L11"/>
  <c r="K60"/>
  <c r="J60"/>
  <c r="K52"/>
  <c r="J52"/>
  <c r="K47"/>
  <c r="J47"/>
  <c r="K62"/>
  <c r="K53"/>
  <c r="K123" s="1"/>
  <c r="K46"/>
  <c r="K48" s="1"/>
  <c r="K118" s="1"/>
  <c r="K14"/>
  <c r="K15" s="1"/>
  <c r="K13"/>
  <c r="J13"/>
  <c r="K20"/>
  <c r="J20"/>
  <c r="K34"/>
  <c r="K22"/>
  <c r="K26" s="1"/>
  <c r="K95"/>
  <c r="K96" s="1"/>
  <c r="X96" s="1"/>
  <c r="J95"/>
  <c r="I95"/>
  <c r="K81"/>
  <c r="J81"/>
  <c r="K90"/>
  <c r="K87"/>
  <c r="K78"/>
  <c r="X100"/>
  <c r="X99"/>
  <c r="X95"/>
  <c r="X94"/>
  <c r="X93"/>
  <c r="X92"/>
  <c r="X87"/>
  <c r="X86"/>
  <c r="X85"/>
  <c r="X84"/>
  <c r="X83"/>
  <c r="X82"/>
  <c r="X81"/>
  <c r="X78"/>
  <c r="K154"/>
  <c r="K153"/>
  <c r="K152"/>
  <c r="K151"/>
  <c r="K147"/>
  <c r="K146"/>
  <c r="K145"/>
  <c r="X73"/>
  <c r="X8"/>
  <c r="K114"/>
  <c r="K73"/>
  <c r="S15" i="5"/>
  <c r="R15"/>
  <c r="P15"/>
  <c r="N15"/>
  <c r="L15"/>
  <c r="J15"/>
  <c r="H15"/>
  <c r="E15"/>
  <c r="D15"/>
  <c r="B15"/>
  <c r="G52" i="29"/>
  <c r="F52"/>
  <c r="G46"/>
  <c r="F46"/>
  <c r="G44"/>
  <c r="F44"/>
  <c r="X63" i="19" l="1"/>
  <c r="X62"/>
  <c r="X60"/>
  <c r="X52"/>
  <c r="X50"/>
  <c r="X47"/>
  <c r="X45"/>
  <c r="X43"/>
  <c r="X38"/>
  <c r="X33"/>
  <c r="X31"/>
  <c r="X29"/>
  <c r="X24"/>
  <c r="X21"/>
  <c r="X19"/>
  <c r="X15"/>
  <c r="X13"/>
  <c r="X11"/>
  <c r="X61"/>
  <c r="X57"/>
  <c r="X53"/>
  <c r="X51"/>
  <c r="X48"/>
  <c r="X46"/>
  <c r="X44"/>
  <c r="X42"/>
  <c r="X36"/>
  <c r="X34"/>
  <c r="X32"/>
  <c r="X30"/>
  <c r="X22"/>
  <c r="X20"/>
  <c r="X18"/>
  <c r="X14"/>
  <c r="X12"/>
  <c r="K147" i="17"/>
  <c r="K145"/>
  <c r="K117"/>
  <c r="K55"/>
  <c r="K122" s="1"/>
  <c r="K38"/>
  <c r="K124"/>
  <c r="K35"/>
  <c r="K63"/>
  <c r="K123"/>
  <c r="K146"/>
  <c r="K148" s="1"/>
  <c r="K151"/>
  <c r="K153"/>
  <c r="K90"/>
  <c r="K98" s="1"/>
  <c r="K101" s="1"/>
  <c r="K55" i="16"/>
  <c r="K122" s="1"/>
  <c r="K148"/>
  <c r="K63"/>
  <c r="K155"/>
  <c r="K117"/>
  <c r="K35"/>
  <c r="K124"/>
  <c r="K38"/>
  <c r="X62"/>
  <c r="X60"/>
  <c r="X55"/>
  <c r="X52"/>
  <c r="X50"/>
  <c r="X47"/>
  <c r="X45"/>
  <c r="X43"/>
  <c r="X38"/>
  <c r="X33"/>
  <c r="X31"/>
  <c r="X29"/>
  <c r="X24"/>
  <c r="X21"/>
  <c r="X19"/>
  <c r="X15"/>
  <c r="X13"/>
  <c r="X11"/>
  <c r="X63"/>
  <c r="X61"/>
  <c r="X57"/>
  <c r="X53"/>
  <c r="X51"/>
  <c r="X48"/>
  <c r="X46"/>
  <c r="X44"/>
  <c r="X42"/>
  <c r="X36"/>
  <c r="X34"/>
  <c r="X32"/>
  <c r="X30"/>
  <c r="X26"/>
  <c r="X22"/>
  <c r="X20"/>
  <c r="X18"/>
  <c r="X14"/>
  <c r="X12"/>
  <c r="X35"/>
  <c r="K98"/>
  <c r="X98"/>
  <c r="K101"/>
  <c r="K125"/>
  <c r="G14" i="29"/>
  <c r="F14"/>
  <c r="G13"/>
  <c r="F13"/>
  <c r="G11"/>
  <c r="F11"/>
  <c r="F83"/>
  <c r="L76"/>
  <c r="K52"/>
  <c r="J52"/>
  <c r="I52"/>
  <c r="H52"/>
  <c r="I51"/>
  <c r="H51"/>
  <c r="I46"/>
  <c r="H46"/>
  <c r="H44"/>
  <c r="I44"/>
  <c r="I31"/>
  <c r="H31"/>
  <c r="I14"/>
  <c r="H14"/>
  <c r="I13"/>
  <c r="H13"/>
  <c r="I11"/>
  <c r="H11"/>
  <c r="K46"/>
  <c r="J46"/>
  <c r="K44"/>
  <c r="J44"/>
  <c r="K33"/>
  <c r="J33"/>
  <c r="K14"/>
  <c r="J14"/>
  <c r="K13"/>
  <c r="J13"/>
  <c r="K11"/>
  <c r="J11"/>
  <c r="N75"/>
  <c r="R14" i="5"/>
  <c r="P14"/>
  <c r="N14"/>
  <c r="L14"/>
  <c r="J14"/>
  <c r="H14"/>
  <c r="D14"/>
  <c r="B14"/>
  <c r="X76" i="25"/>
  <c r="W76"/>
  <c r="V76"/>
  <c r="U76"/>
  <c r="T76"/>
  <c r="S76"/>
  <c r="X75"/>
  <c r="W75"/>
  <c r="V75"/>
  <c r="U75"/>
  <c r="T75"/>
  <c r="S75"/>
  <c r="L155"/>
  <c r="L154"/>
  <c r="L153"/>
  <c r="L152"/>
  <c r="L151"/>
  <c r="L148"/>
  <c r="L147"/>
  <c r="L146"/>
  <c r="L145"/>
  <c r="L130"/>
  <c r="L129"/>
  <c r="L128"/>
  <c r="L137"/>
  <c r="L136"/>
  <c r="L135"/>
  <c r="L134"/>
  <c r="L133"/>
  <c r="L125"/>
  <c r="L124"/>
  <c r="L123"/>
  <c r="L122"/>
  <c r="L119"/>
  <c r="L118"/>
  <c r="L117"/>
  <c r="L104"/>
  <c r="L103"/>
  <c r="L101"/>
  <c r="L100"/>
  <c r="L98"/>
  <c r="L96"/>
  <c r="L95"/>
  <c r="L93"/>
  <c r="L92"/>
  <c r="L90"/>
  <c r="L87"/>
  <c r="L86"/>
  <c r="L85"/>
  <c r="L84"/>
  <c r="L83"/>
  <c r="L82"/>
  <c r="L81"/>
  <c r="L78"/>
  <c r="L77"/>
  <c r="L76"/>
  <c r="L75"/>
  <c r="L63"/>
  <c r="L62"/>
  <c r="L61"/>
  <c r="L57"/>
  <c r="L55"/>
  <c r="L53"/>
  <c r="L52"/>
  <c r="L51"/>
  <c r="L50"/>
  <c r="L48"/>
  <c r="L47"/>
  <c r="L46"/>
  <c r="L44"/>
  <c r="L43"/>
  <c r="L42"/>
  <c r="L38"/>
  <c r="L35"/>
  <c r="L34"/>
  <c r="L33"/>
  <c r="L32"/>
  <c r="L31"/>
  <c r="L30"/>
  <c r="L29"/>
  <c r="L26"/>
  <c r="L24"/>
  <c r="L22"/>
  <c r="L21"/>
  <c r="L20"/>
  <c r="L19"/>
  <c r="L18"/>
  <c r="L15"/>
  <c r="L14"/>
  <c r="L13"/>
  <c r="L12"/>
  <c r="L11"/>
  <c r="X104"/>
  <c r="X103"/>
  <c r="X101"/>
  <c r="X100"/>
  <c r="X99"/>
  <c r="X98"/>
  <c r="X96"/>
  <c r="X95"/>
  <c r="X94"/>
  <c r="X93"/>
  <c r="X92"/>
  <c r="X87"/>
  <c r="X86"/>
  <c r="X85"/>
  <c r="X84"/>
  <c r="X83"/>
  <c r="X82"/>
  <c r="X81"/>
  <c r="X78"/>
  <c r="X77"/>
  <c r="X73"/>
  <c r="X63"/>
  <c r="X62"/>
  <c r="X61"/>
  <c r="X60"/>
  <c r="X57"/>
  <c r="X55"/>
  <c r="X53"/>
  <c r="X52"/>
  <c r="X51"/>
  <c r="X50"/>
  <c r="X48"/>
  <c r="X47"/>
  <c r="X46"/>
  <c r="X45"/>
  <c r="X44"/>
  <c r="X43"/>
  <c r="X42"/>
  <c r="X38"/>
  <c r="X36"/>
  <c r="X35"/>
  <c r="X34"/>
  <c r="X33"/>
  <c r="X32"/>
  <c r="X31"/>
  <c r="X30"/>
  <c r="X29"/>
  <c r="X26"/>
  <c r="X24"/>
  <c r="X22"/>
  <c r="X21"/>
  <c r="X20"/>
  <c r="X19"/>
  <c r="X18"/>
  <c r="X15"/>
  <c r="X14"/>
  <c r="X13"/>
  <c r="X12"/>
  <c r="X11"/>
  <c r="K154"/>
  <c r="K153"/>
  <c r="K152"/>
  <c r="K151"/>
  <c r="K155" s="1"/>
  <c r="K147"/>
  <c r="K146"/>
  <c r="K145"/>
  <c r="K148" s="1"/>
  <c r="K125"/>
  <c r="K124"/>
  <c r="K123"/>
  <c r="K122"/>
  <c r="K119"/>
  <c r="K118"/>
  <c r="K117"/>
  <c r="K52"/>
  <c r="J52"/>
  <c r="K57"/>
  <c r="J57"/>
  <c r="K46"/>
  <c r="J46"/>
  <c r="K44"/>
  <c r="J44"/>
  <c r="K32"/>
  <c r="J32"/>
  <c r="K29"/>
  <c r="J29"/>
  <c r="K20"/>
  <c r="J20"/>
  <c r="K15"/>
  <c r="K14"/>
  <c r="J14"/>
  <c r="K13"/>
  <c r="J13"/>
  <c r="K62"/>
  <c r="K53"/>
  <c r="K48"/>
  <c r="K34"/>
  <c r="K22"/>
  <c r="K26" s="1"/>
  <c r="K93"/>
  <c r="J93"/>
  <c r="K86"/>
  <c r="J86"/>
  <c r="K96"/>
  <c r="K87"/>
  <c r="K90" s="1"/>
  <c r="K98" s="1"/>
  <c r="K101" s="1"/>
  <c r="K82"/>
  <c r="J82"/>
  <c r="K78"/>
  <c r="M96" i="22"/>
  <c r="M93"/>
  <c r="M86"/>
  <c r="M85"/>
  <c r="M80"/>
  <c r="M79"/>
  <c r="M78"/>
  <c r="M77"/>
  <c r="M72"/>
  <c r="M58"/>
  <c r="M48"/>
  <c r="M47"/>
  <c r="M44"/>
  <c r="M41"/>
  <c r="M40"/>
  <c r="M39"/>
  <c r="M33"/>
  <c r="M24"/>
  <c r="M19"/>
  <c r="M12"/>
  <c r="M11"/>
  <c r="L88"/>
  <c r="K88"/>
  <c r="L89"/>
  <c r="L82"/>
  <c r="Z82" s="1"/>
  <c r="L73"/>
  <c r="L49"/>
  <c r="K49"/>
  <c r="L43"/>
  <c r="L45" s="1"/>
  <c r="K43"/>
  <c r="L59"/>
  <c r="L14"/>
  <c r="K14"/>
  <c r="L13"/>
  <c r="L15" s="1"/>
  <c r="L111" s="1"/>
  <c r="K13"/>
  <c r="L34"/>
  <c r="L22"/>
  <c r="L26" s="1"/>
  <c r="Z8"/>
  <c r="L70"/>
  <c r="Z70" s="1"/>
  <c r="X8" i="25"/>
  <c r="K114"/>
  <c r="K73"/>
  <c r="S13" i="5"/>
  <c r="R13"/>
  <c r="Q14"/>
  <c r="P13"/>
  <c r="N13"/>
  <c r="L13"/>
  <c r="J13"/>
  <c r="H13"/>
  <c r="E13"/>
  <c r="D13"/>
  <c r="C13"/>
  <c r="B13"/>
  <c r="F52" i="28"/>
  <c r="F46"/>
  <c r="F30"/>
  <c r="F18"/>
  <c r="F14"/>
  <c r="F13"/>
  <c r="F11"/>
  <c r="I52"/>
  <c r="I46"/>
  <c r="I30"/>
  <c r="I18"/>
  <c r="K32"/>
  <c r="J32"/>
  <c r="I14"/>
  <c r="I13"/>
  <c r="I11"/>
  <c r="K18"/>
  <c r="J18"/>
  <c r="H52"/>
  <c r="G52"/>
  <c r="H46"/>
  <c r="G46"/>
  <c r="H30"/>
  <c r="G30"/>
  <c r="H18"/>
  <c r="G18"/>
  <c r="H13"/>
  <c r="G13"/>
  <c r="H11"/>
  <c r="G11"/>
  <c r="K104"/>
  <c r="J104"/>
  <c r="I104"/>
  <c r="H104"/>
  <c r="G104"/>
  <c r="F104"/>
  <c r="H95"/>
  <c r="G95"/>
  <c r="F95"/>
  <c r="H83"/>
  <c r="G83"/>
  <c r="F83"/>
  <c r="L82"/>
  <c r="T78"/>
  <c r="H77"/>
  <c r="G77"/>
  <c r="F77"/>
  <c r="K14"/>
  <c r="J14"/>
  <c r="K95"/>
  <c r="J95"/>
  <c r="I95"/>
  <c r="L113" i="29"/>
  <c r="A111"/>
  <c r="A109"/>
  <c r="L104"/>
  <c r="N100"/>
  <c r="L100"/>
  <c r="N99"/>
  <c r="N96"/>
  <c r="K96"/>
  <c r="J96"/>
  <c r="I96"/>
  <c r="H96"/>
  <c r="G96"/>
  <c r="F96"/>
  <c r="E96"/>
  <c r="D96"/>
  <c r="C96"/>
  <c r="B96"/>
  <c r="N95"/>
  <c r="N94"/>
  <c r="N93"/>
  <c r="L93"/>
  <c r="N92"/>
  <c r="L92"/>
  <c r="N88"/>
  <c r="N87"/>
  <c r="K87"/>
  <c r="J87"/>
  <c r="I87"/>
  <c r="H87"/>
  <c r="G87"/>
  <c r="F87"/>
  <c r="E87"/>
  <c r="D87"/>
  <c r="C87"/>
  <c r="B87"/>
  <c r="N86"/>
  <c r="L86"/>
  <c r="N85"/>
  <c r="N84"/>
  <c r="L84"/>
  <c r="O83"/>
  <c r="N83"/>
  <c r="L83"/>
  <c r="N82"/>
  <c r="Q81"/>
  <c r="O81"/>
  <c r="N81"/>
  <c r="L81"/>
  <c r="K78"/>
  <c r="J78"/>
  <c r="W78" s="1"/>
  <c r="I78"/>
  <c r="H78"/>
  <c r="G78"/>
  <c r="F78"/>
  <c r="E78"/>
  <c r="R84" s="1"/>
  <c r="D78"/>
  <c r="C78"/>
  <c r="P82" s="1"/>
  <c r="B78"/>
  <c r="Q77"/>
  <c r="O77"/>
  <c r="R76"/>
  <c r="Q76"/>
  <c r="P76"/>
  <c r="O76"/>
  <c r="L75"/>
  <c r="X73"/>
  <c r="W73"/>
  <c r="K73"/>
  <c r="J73"/>
  <c r="C73"/>
  <c r="P73" s="1"/>
  <c r="B73"/>
  <c r="O73" s="1"/>
  <c r="Y72"/>
  <c r="N71"/>
  <c r="L71"/>
  <c r="A70"/>
  <c r="N68"/>
  <c r="A68"/>
  <c r="N62"/>
  <c r="K62"/>
  <c r="J62"/>
  <c r="I62"/>
  <c r="H62"/>
  <c r="G62"/>
  <c r="F62"/>
  <c r="E62"/>
  <c r="D62"/>
  <c r="C62"/>
  <c r="B62"/>
  <c r="N61"/>
  <c r="L61"/>
  <c r="N60"/>
  <c r="L60"/>
  <c r="N59"/>
  <c r="N53"/>
  <c r="K53"/>
  <c r="J53"/>
  <c r="I53"/>
  <c r="H53"/>
  <c r="G53"/>
  <c r="F53"/>
  <c r="E53"/>
  <c r="D53"/>
  <c r="C53"/>
  <c r="B53"/>
  <c r="N52"/>
  <c r="L52"/>
  <c r="N51"/>
  <c r="L51"/>
  <c r="N50"/>
  <c r="L50"/>
  <c r="K48"/>
  <c r="K118" s="1"/>
  <c r="J48"/>
  <c r="J118" s="1"/>
  <c r="I48"/>
  <c r="I118" s="1"/>
  <c r="H48"/>
  <c r="H118" s="1"/>
  <c r="G48"/>
  <c r="G118" s="1"/>
  <c r="F48"/>
  <c r="F118" s="1"/>
  <c r="E48"/>
  <c r="E118" s="1"/>
  <c r="D48"/>
  <c r="D118" s="1"/>
  <c r="C48"/>
  <c r="C118" s="1"/>
  <c r="B48"/>
  <c r="B118" s="1"/>
  <c r="N47"/>
  <c r="L47"/>
  <c r="N46"/>
  <c r="L46"/>
  <c r="N45"/>
  <c r="N44"/>
  <c r="L44"/>
  <c r="N43"/>
  <c r="L43"/>
  <c r="N42"/>
  <c r="N36"/>
  <c r="N35"/>
  <c r="N34"/>
  <c r="K34"/>
  <c r="J34"/>
  <c r="I34"/>
  <c r="H34"/>
  <c r="G34"/>
  <c r="F34"/>
  <c r="E34"/>
  <c r="D34"/>
  <c r="C34"/>
  <c r="B34"/>
  <c r="N33"/>
  <c r="L33"/>
  <c r="N32"/>
  <c r="N31"/>
  <c r="L31"/>
  <c r="N30"/>
  <c r="L29"/>
  <c r="E26"/>
  <c r="E35" s="1"/>
  <c r="C26"/>
  <c r="C35" s="1"/>
  <c r="N24"/>
  <c r="L24"/>
  <c r="K22"/>
  <c r="K26" s="1"/>
  <c r="J22"/>
  <c r="J26" s="1"/>
  <c r="I22"/>
  <c r="I26" s="1"/>
  <c r="I35" s="1"/>
  <c r="H22"/>
  <c r="H26" s="1"/>
  <c r="G22"/>
  <c r="G26" s="1"/>
  <c r="F22"/>
  <c r="E22"/>
  <c r="D22"/>
  <c r="D26" s="1"/>
  <c r="C22"/>
  <c r="B22"/>
  <c r="B26" s="1"/>
  <c r="N21"/>
  <c r="N20"/>
  <c r="N19"/>
  <c r="N18"/>
  <c r="L18"/>
  <c r="N15"/>
  <c r="K15"/>
  <c r="K117" s="1"/>
  <c r="J15"/>
  <c r="I15"/>
  <c r="I117" s="1"/>
  <c r="H15"/>
  <c r="G15"/>
  <c r="G117" s="1"/>
  <c r="F15"/>
  <c r="E15"/>
  <c r="E117" s="1"/>
  <c r="D15"/>
  <c r="C15"/>
  <c r="C117" s="1"/>
  <c r="B15"/>
  <c r="N14"/>
  <c r="L14"/>
  <c r="N13"/>
  <c r="L13"/>
  <c r="N12"/>
  <c r="L12"/>
  <c r="N11"/>
  <c r="L11"/>
  <c r="X8"/>
  <c r="K114" s="1"/>
  <c r="W8"/>
  <c r="J114" s="1"/>
  <c r="O8"/>
  <c r="B114" s="1"/>
  <c r="D8"/>
  <c r="E8" s="1"/>
  <c r="F8" s="1"/>
  <c r="G8" s="1"/>
  <c r="H8" s="1"/>
  <c r="I8" s="1"/>
  <c r="C8"/>
  <c r="Y7"/>
  <c r="N6"/>
  <c r="N3"/>
  <c r="L113" i="28"/>
  <c r="A111"/>
  <c r="A109"/>
  <c r="L104"/>
  <c r="N100"/>
  <c r="N99"/>
  <c r="N96"/>
  <c r="K96"/>
  <c r="J96"/>
  <c r="I96"/>
  <c r="H96"/>
  <c r="G96"/>
  <c r="F96"/>
  <c r="B96"/>
  <c r="N95"/>
  <c r="N94"/>
  <c r="N93"/>
  <c r="L93"/>
  <c r="N92"/>
  <c r="L92"/>
  <c r="E96"/>
  <c r="D96"/>
  <c r="C96"/>
  <c r="N88"/>
  <c r="N87"/>
  <c r="K87"/>
  <c r="J87"/>
  <c r="I87"/>
  <c r="H87"/>
  <c r="B87"/>
  <c r="N86"/>
  <c r="N85"/>
  <c r="N84"/>
  <c r="L84"/>
  <c r="N83"/>
  <c r="L83"/>
  <c r="N82"/>
  <c r="N81"/>
  <c r="G87"/>
  <c r="E87"/>
  <c r="D87"/>
  <c r="C87"/>
  <c r="K78"/>
  <c r="X78" s="1"/>
  <c r="J78"/>
  <c r="W84" s="1"/>
  <c r="I78"/>
  <c r="V78" s="1"/>
  <c r="H78"/>
  <c r="U85" s="1"/>
  <c r="G78"/>
  <c r="F78"/>
  <c r="S84" s="1"/>
  <c r="B78"/>
  <c r="O84" s="1"/>
  <c r="O76"/>
  <c r="L75"/>
  <c r="E78"/>
  <c r="D78"/>
  <c r="C78"/>
  <c r="X73"/>
  <c r="W73"/>
  <c r="K73"/>
  <c r="J73"/>
  <c r="C73"/>
  <c r="P73" s="1"/>
  <c r="B73"/>
  <c r="O73" s="1"/>
  <c r="Y72"/>
  <c r="N71"/>
  <c r="L71"/>
  <c r="A70"/>
  <c r="N68"/>
  <c r="A68"/>
  <c r="N62"/>
  <c r="J62"/>
  <c r="H62"/>
  <c r="B62"/>
  <c r="N61"/>
  <c r="F62"/>
  <c r="N60"/>
  <c r="L60"/>
  <c r="I62"/>
  <c r="G62"/>
  <c r="E62"/>
  <c r="C62"/>
  <c r="N59"/>
  <c r="N53"/>
  <c r="K53"/>
  <c r="I53"/>
  <c r="H53"/>
  <c r="B53"/>
  <c r="N52"/>
  <c r="N51"/>
  <c r="N50"/>
  <c r="G53"/>
  <c r="F53"/>
  <c r="E53"/>
  <c r="D53"/>
  <c r="C53"/>
  <c r="J48"/>
  <c r="H48"/>
  <c r="F48"/>
  <c r="D48"/>
  <c r="B48"/>
  <c r="B118" s="1"/>
  <c r="N47"/>
  <c r="N46"/>
  <c r="N45"/>
  <c r="N44"/>
  <c r="N43"/>
  <c r="K48"/>
  <c r="N42"/>
  <c r="G48"/>
  <c r="E48"/>
  <c r="C48"/>
  <c r="N36"/>
  <c r="N35"/>
  <c r="N34"/>
  <c r="B34"/>
  <c r="N33"/>
  <c r="N32"/>
  <c r="N31"/>
  <c r="N30"/>
  <c r="J34"/>
  <c r="H34"/>
  <c r="F34"/>
  <c r="D34"/>
  <c r="N24"/>
  <c r="K22"/>
  <c r="K26" s="1"/>
  <c r="J22"/>
  <c r="J26" s="1"/>
  <c r="I22"/>
  <c r="I26" s="1"/>
  <c r="H22"/>
  <c r="H26" s="1"/>
  <c r="G22"/>
  <c r="G26" s="1"/>
  <c r="E22"/>
  <c r="E26" s="1"/>
  <c r="C22"/>
  <c r="C26" s="1"/>
  <c r="B22"/>
  <c r="B26" s="1"/>
  <c r="N21"/>
  <c r="N20"/>
  <c r="N19"/>
  <c r="N18"/>
  <c r="N15"/>
  <c r="B15"/>
  <c r="N14"/>
  <c r="N13"/>
  <c r="N12"/>
  <c r="J119"/>
  <c r="H119"/>
  <c r="F119"/>
  <c r="N11"/>
  <c r="K118"/>
  <c r="J118"/>
  <c r="I15"/>
  <c r="H118"/>
  <c r="G118"/>
  <c r="F118"/>
  <c r="E118"/>
  <c r="D118"/>
  <c r="C118"/>
  <c r="X8"/>
  <c r="K114" s="1"/>
  <c r="W8"/>
  <c r="J114" s="1"/>
  <c r="O8"/>
  <c r="B114" s="1"/>
  <c r="D8"/>
  <c r="E8" s="1"/>
  <c r="F8" s="1"/>
  <c r="G8" s="1"/>
  <c r="H8" s="1"/>
  <c r="I8" s="1"/>
  <c r="C8"/>
  <c r="Y7"/>
  <c r="N6"/>
  <c r="N3"/>
  <c r="R12" i="5"/>
  <c r="P12"/>
  <c r="N12"/>
  <c r="L12"/>
  <c r="J12"/>
  <c r="H12"/>
  <c r="F12"/>
  <c r="D12"/>
  <c r="B12"/>
  <c r="X14" i="8"/>
  <c r="W14"/>
  <c r="X104"/>
  <c r="X103"/>
  <c r="X101"/>
  <c r="X100"/>
  <c r="X99"/>
  <c r="X98"/>
  <c r="X96"/>
  <c r="X95"/>
  <c r="X94"/>
  <c r="X93"/>
  <c r="X92"/>
  <c r="X90"/>
  <c r="X87"/>
  <c r="X86"/>
  <c r="X85"/>
  <c r="X84"/>
  <c r="X83"/>
  <c r="X82"/>
  <c r="X81"/>
  <c r="X78"/>
  <c r="X73"/>
  <c r="X63"/>
  <c r="X62"/>
  <c r="X61"/>
  <c r="X60"/>
  <c r="X57"/>
  <c r="X55"/>
  <c r="X53"/>
  <c r="X52"/>
  <c r="X51"/>
  <c r="X50"/>
  <c r="X48"/>
  <c r="X47"/>
  <c r="X46"/>
  <c r="X45"/>
  <c r="X44"/>
  <c r="X43"/>
  <c r="X42"/>
  <c r="X38"/>
  <c r="X36"/>
  <c r="X35"/>
  <c r="X34"/>
  <c r="X33"/>
  <c r="X32"/>
  <c r="X31"/>
  <c r="X30"/>
  <c r="X29"/>
  <c r="X26"/>
  <c r="X24"/>
  <c r="X22"/>
  <c r="X21"/>
  <c r="X20"/>
  <c r="X19"/>
  <c r="X18"/>
  <c r="X15"/>
  <c r="X13"/>
  <c r="X12"/>
  <c r="X11"/>
  <c r="L155"/>
  <c r="L154"/>
  <c r="L153"/>
  <c r="L152"/>
  <c r="L151"/>
  <c r="L148"/>
  <c r="L147"/>
  <c r="L146"/>
  <c r="L145"/>
  <c r="L130"/>
  <c r="L129"/>
  <c r="L128"/>
  <c r="L137"/>
  <c r="L136"/>
  <c r="L135"/>
  <c r="L134"/>
  <c r="L133"/>
  <c r="L125"/>
  <c r="L124"/>
  <c r="L123"/>
  <c r="L122"/>
  <c r="L119"/>
  <c r="L118"/>
  <c r="L117"/>
  <c r="K114"/>
  <c r="J114"/>
  <c r="L104"/>
  <c r="L101"/>
  <c r="L100"/>
  <c r="L99"/>
  <c r="L98"/>
  <c r="L96"/>
  <c r="L95"/>
  <c r="L94"/>
  <c r="L93"/>
  <c r="L92"/>
  <c r="L90"/>
  <c r="L87"/>
  <c r="L86"/>
  <c r="L85"/>
  <c r="L84"/>
  <c r="L83"/>
  <c r="L81"/>
  <c r="L78"/>
  <c r="J73"/>
  <c r="L75"/>
  <c r="L63"/>
  <c r="L62"/>
  <c r="L61"/>
  <c r="L60"/>
  <c r="L55"/>
  <c r="L53"/>
  <c r="L52"/>
  <c r="L51"/>
  <c r="L50"/>
  <c r="L48"/>
  <c r="L47"/>
  <c r="L46"/>
  <c r="L44"/>
  <c r="L43"/>
  <c r="L42"/>
  <c r="L38"/>
  <c r="L35"/>
  <c r="L34"/>
  <c r="L33"/>
  <c r="L32"/>
  <c r="L31"/>
  <c r="L30"/>
  <c r="L29"/>
  <c r="L26"/>
  <c r="L24"/>
  <c r="L22"/>
  <c r="L18"/>
  <c r="L15"/>
  <c r="L14"/>
  <c r="L13"/>
  <c r="L12"/>
  <c r="L11"/>
  <c r="K154"/>
  <c r="K153"/>
  <c r="K152"/>
  <c r="K151"/>
  <c r="K155" s="1"/>
  <c r="K147"/>
  <c r="K146"/>
  <c r="K145"/>
  <c r="K148" s="1"/>
  <c r="K125"/>
  <c r="K124"/>
  <c r="K123"/>
  <c r="K122"/>
  <c r="K119"/>
  <c r="K118"/>
  <c r="K117"/>
  <c r="K61"/>
  <c r="J61"/>
  <c r="K52"/>
  <c r="J52"/>
  <c r="K46"/>
  <c r="J46"/>
  <c r="K43"/>
  <c r="J43"/>
  <c r="K31"/>
  <c r="J31"/>
  <c r="K30"/>
  <c r="J30"/>
  <c r="K29"/>
  <c r="J29"/>
  <c r="Z89" i="22" l="1"/>
  <c r="Z88"/>
  <c r="L108"/>
  <c r="L50"/>
  <c r="L112"/>
  <c r="L118"/>
  <c r="L128"/>
  <c r="Z73"/>
  <c r="Z77"/>
  <c r="Z79"/>
  <c r="Z81"/>
  <c r="Z86"/>
  <c r="Z93"/>
  <c r="L117"/>
  <c r="L127"/>
  <c r="L137"/>
  <c r="Z72"/>
  <c r="Z76"/>
  <c r="Z78"/>
  <c r="Z80"/>
  <c r="Z85"/>
  <c r="Z87"/>
  <c r="Z92"/>
  <c r="K155" i="17"/>
  <c r="X104" i="16"/>
  <c r="X101"/>
  <c r="L118" i="29"/>
  <c r="G35"/>
  <c r="S78"/>
  <c r="U78"/>
  <c r="K35"/>
  <c r="L22"/>
  <c r="K55" i="25"/>
  <c r="K63" s="1"/>
  <c r="K38"/>
  <c r="K35"/>
  <c r="L134" i="22"/>
  <c r="L83"/>
  <c r="L36"/>
  <c r="Z22" s="1"/>
  <c r="L35"/>
  <c r="Z35" s="1"/>
  <c r="H55" i="28"/>
  <c r="B117" i="29"/>
  <c r="B38"/>
  <c r="D117"/>
  <c r="D38"/>
  <c r="F117"/>
  <c r="L117" s="1"/>
  <c r="H117"/>
  <c r="H38"/>
  <c r="J117"/>
  <c r="J38"/>
  <c r="W22" s="1"/>
  <c r="P8"/>
  <c r="L15"/>
  <c r="O15"/>
  <c r="W15"/>
  <c r="B35"/>
  <c r="O35" s="1"/>
  <c r="O26"/>
  <c r="D35"/>
  <c r="Q35" s="1"/>
  <c r="Q26"/>
  <c r="H35"/>
  <c r="U26"/>
  <c r="J35"/>
  <c r="W26"/>
  <c r="O34"/>
  <c r="Q34"/>
  <c r="W34"/>
  <c r="O53"/>
  <c r="Q53"/>
  <c r="W53"/>
  <c r="C153"/>
  <c r="C151"/>
  <c r="C155" s="1"/>
  <c r="C147"/>
  <c r="C145"/>
  <c r="C148" s="1"/>
  <c r="C124"/>
  <c r="C154"/>
  <c r="C152"/>
  <c r="C146"/>
  <c r="C123"/>
  <c r="E153"/>
  <c r="E151"/>
  <c r="E155" s="1"/>
  <c r="E147"/>
  <c r="E145"/>
  <c r="E148" s="1"/>
  <c r="E124"/>
  <c r="E154"/>
  <c r="E152"/>
  <c r="E146"/>
  <c r="E123"/>
  <c r="G153"/>
  <c r="G151"/>
  <c r="G147"/>
  <c r="G145"/>
  <c r="G124"/>
  <c r="G154"/>
  <c r="G152"/>
  <c r="G146"/>
  <c r="G123"/>
  <c r="I153"/>
  <c r="I151"/>
  <c r="I147"/>
  <c r="I145"/>
  <c r="I124"/>
  <c r="I154"/>
  <c r="I152"/>
  <c r="I146"/>
  <c r="I123"/>
  <c r="K153"/>
  <c r="K151"/>
  <c r="K147"/>
  <c r="K145"/>
  <c r="K124"/>
  <c r="K154"/>
  <c r="K152"/>
  <c r="K146"/>
  <c r="K123"/>
  <c r="B137"/>
  <c r="B135"/>
  <c r="B133"/>
  <c r="B119"/>
  <c r="O99"/>
  <c r="O95"/>
  <c r="O93"/>
  <c r="B90"/>
  <c r="O86"/>
  <c r="O84"/>
  <c r="O82"/>
  <c r="B136"/>
  <c r="B134"/>
  <c r="C119"/>
  <c r="O100"/>
  <c r="O94"/>
  <c r="O92"/>
  <c r="O85"/>
  <c r="D135"/>
  <c r="D133"/>
  <c r="Q99"/>
  <c r="Q95"/>
  <c r="Q93"/>
  <c r="D90"/>
  <c r="Q86"/>
  <c r="Q84"/>
  <c r="Q82"/>
  <c r="D136"/>
  <c r="D134"/>
  <c r="E119"/>
  <c r="Q100"/>
  <c r="Q94"/>
  <c r="Q92"/>
  <c r="Q85"/>
  <c r="F90"/>
  <c r="G119"/>
  <c r="H90"/>
  <c r="I119"/>
  <c r="J90"/>
  <c r="K119"/>
  <c r="O22"/>
  <c r="Q22"/>
  <c r="U22"/>
  <c r="F26"/>
  <c r="L34"/>
  <c r="O48"/>
  <c r="Q48"/>
  <c r="W48"/>
  <c r="L53"/>
  <c r="C55"/>
  <c r="E55"/>
  <c r="E122" s="1"/>
  <c r="G55"/>
  <c r="I55"/>
  <c r="I122" s="1"/>
  <c r="K55"/>
  <c r="D73"/>
  <c r="P77"/>
  <c r="R77"/>
  <c r="T78"/>
  <c r="V78"/>
  <c r="X78"/>
  <c r="L78"/>
  <c r="P81"/>
  <c r="R81"/>
  <c r="Q83"/>
  <c r="O87"/>
  <c r="Q87"/>
  <c r="O96"/>
  <c r="Q96"/>
  <c r="B154"/>
  <c r="B152"/>
  <c r="B146"/>
  <c r="B123"/>
  <c r="B153"/>
  <c r="B151"/>
  <c r="B155" s="1"/>
  <c r="B147"/>
  <c r="B145"/>
  <c r="B148" s="1"/>
  <c r="B124"/>
  <c r="D154"/>
  <c r="D152"/>
  <c r="D146"/>
  <c r="D123"/>
  <c r="D153"/>
  <c r="D151"/>
  <c r="D155" s="1"/>
  <c r="D147"/>
  <c r="D145"/>
  <c r="D148" s="1"/>
  <c r="D124"/>
  <c r="F154"/>
  <c r="L154" s="1"/>
  <c r="F152"/>
  <c r="F146"/>
  <c r="L146" s="1"/>
  <c r="F123"/>
  <c r="L123" s="1"/>
  <c r="F153"/>
  <c r="F151"/>
  <c r="F147"/>
  <c r="F145"/>
  <c r="F124"/>
  <c r="H154"/>
  <c r="H152"/>
  <c r="H146"/>
  <c r="H123"/>
  <c r="H153"/>
  <c r="H151"/>
  <c r="H147"/>
  <c r="H145"/>
  <c r="H124"/>
  <c r="J154"/>
  <c r="J152"/>
  <c r="J146"/>
  <c r="J123"/>
  <c r="J153"/>
  <c r="J151"/>
  <c r="J147"/>
  <c r="J145"/>
  <c r="J124"/>
  <c r="C136"/>
  <c r="C134"/>
  <c r="D119"/>
  <c r="P100"/>
  <c r="P94"/>
  <c r="P92"/>
  <c r="P85"/>
  <c r="P83"/>
  <c r="C135"/>
  <c r="C133"/>
  <c r="P99"/>
  <c r="P95"/>
  <c r="P93"/>
  <c r="C90"/>
  <c r="P86"/>
  <c r="E136"/>
  <c r="E134"/>
  <c r="R100"/>
  <c r="R94"/>
  <c r="R92"/>
  <c r="R85"/>
  <c r="R83"/>
  <c r="E135"/>
  <c r="E133"/>
  <c r="R99"/>
  <c r="R95"/>
  <c r="R93"/>
  <c r="E90"/>
  <c r="R86"/>
  <c r="H119"/>
  <c r="G90"/>
  <c r="J119"/>
  <c r="I90"/>
  <c r="K90"/>
  <c r="C38"/>
  <c r="E38"/>
  <c r="R34" s="1"/>
  <c r="G38"/>
  <c r="I38"/>
  <c r="K38"/>
  <c r="L48"/>
  <c r="B55"/>
  <c r="O55" s="1"/>
  <c r="D55"/>
  <c r="Q55" s="1"/>
  <c r="F55"/>
  <c r="H55"/>
  <c r="U55" s="1"/>
  <c r="J55"/>
  <c r="W55" s="1"/>
  <c r="L62"/>
  <c r="O62"/>
  <c r="Q62"/>
  <c r="U62"/>
  <c r="W62"/>
  <c r="R82"/>
  <c r="P84"/>
  <c r="P87"/>
  <c r="R87"/>
  <c r="P96"/>
  <c r="R96"/>
  <c r="L87"/>
  <c r="L96"/>
  <c r="S81" i="28"/>
  <c r="U87"/>
  <c r="W87"/>
  <c r="Q83"/>
  <c r="Q85"/>
  <c r="B35"/>
  <c r="H35"/>
  <c r="J35"/>
  <c r="L33"/>
  <c r="D55"/>
  <c r="F55"/>
  <c r="F122" s="1"/>
  <c r="L53"/>
  <c r="L52"/>
  <c r="E147"/>
  <c r="E124"/>
  <c r="E154"/>
  <c r="E123"/>
  <c r="G147"/>
  <c r="G124"/>
  <c r="G154"/>
  <c r="G123"/>
  <c r="D133"/>
  <c r="Q100"/>
  <c r="D90"/>
  <c r="D134"/>
  <c r="Q99"/>
  <c r="Q94"/>
  <c r="Q84"/>
  <c r="Q82"/>
  <c r="Q76"/>
  <c r="Q78"/>
  <c r="P8"/>
  <c r="L11"/>
  <c r="E119"/>
  <c r="G119"/>
  <c r="I119"/>
  <c r="K119"/>
  <c r="L12"/>
  <c r="L13"/>
  <c r="L14"/>
  <c r="C15"/>
  <c r="C135" s="1"/>
  <c r="E15"/>
  <c r="G15"/>
  <c r="K15"/>
  <c r="D22"/>
  <c r="F22"/>
  <c r="C34"/>
  <c r="E34"/>
  <c r="G34"/>
  <c r="I34"/>
  <c r="K34"/>
  <c r="L34" s="1"/>
  <c r="L30"/>
  <c r="L48"/>
  <c r="H63"/>
  <c r="Q87"/>
  <c r="D119"/>
  <c r="C119"/>
  <c r="B117"/>
  <c r="B38"/>
  <c r="C55"/>
  <c r="C122" s="1"/>
  <c r="E55"/>
  <c r="G55"/>
  <c r="C147"/>
  <c r="C124"/>
  <c r="C154"/>
  <c r="C123"/>
  <c r="C63"/>
  <c r="I153"/>
  <c r="I151"/>
  <c r="I147"/>
  <c r="I145"/>
  <c r="I124"/>
  <c r="I154"/>
  <c r="I152"/>
  <c r="I146"/>
  <c r="I123"/>
  <c r="F154"/>
  <c r="F123"/>
  <c r="F147"/>
  <c r="F63"/>
  <c r="C136"/>
  <c r="C134"/>
  <c r="C133"/>
  <c r="P100"/>
  <c r="C90"/>
  <c r="P86"/>
  <c r="P78"/>
  <c r="P82"/>
  <c r="P76"/>
  <c r="E134"/>
  <c r="R94"/>
  <c r="R82"/>
  <c r="E133"/>
  <c r="E90"/>
  <c r="R78"/>
  <c r="R86"/>
  <c r="R76"/>
  <c r="D15"/>
  <c r="E135" s="1"/>
  <c r="F15"/>
  <c r="H15"/>
  <c r="J15"/>
  <c r="O15"/>
  <c r="L18"/>
  <c r="L24"/>
  <c r="L29"/>
  <c r="L32"/>
  <c r="O53"/>
  <c r="F152"/>
  <c r="F146"/>
  <c r="F145"/>
  <c r="F153"/>
  <c r="F151"/>
  <c r="J152"/>
  <c r="J153"/>
  <c r="J151"/>
  <c r="G134"/>
  <c r="T95"/>
  <c r="T94"/>
  <c r="T85"/>
  <c r="T84"/>
  <c r="T83"/>
  <c r="T82"/>
  <c r="G135"/>
  <c r="G133"/>
  <c r="T93"/>
  <c r="T92"/>
  <c r="G90"/>
  <c r="V99"/>
  <c r="V95"/>
  <c r="V94"/>
  <c r="V85"/>
  <c r="V84"/>
  <c r="V83"/>
  <c r="V82"/>
  <c r="V100"/>
  <c r="V93"/>
  <c r="V92"/>
  <c r="I90"/>
  <c r="X99"/>
  <c r="X95"/>
  <c r="X94"/>
  <c r="X85"/>
  <c r="X84"/>
  <c r="X83"/>
  <c r="X82"/>
  <c r="X100"/>
  <c r="X93"/>
  <c r="X92"/>
  <c r="K90"/>
  <c r="L42"/>
  <c r="L44"/>
  <c r="L46"/>
  <c r="L47"/>
  <c r="I48"/>
  <c r="I55" s="1"/>
  <c r="I63" s="1"/>
  <c r="O48"/>
  <c r="L50"/>
  <c r="L51"/>
  <c r="J53"/>
  <c r="J123" s="1"/>
  <c r="K55"/>
  <c r="L61"/>
  <c r="K62"/>
  <c r="D73"/>
  <c r="O78"/>
  <c r="S78"/>
  <c r="U78"/>
  <c r="W78"/>
  <c r="P87"/>
  <c r="R87"/>
  <c r="T87"/>
  <c r="P81"/>
  <c r="R81"/>
  <c r="T81"/>
  <c r="V81"/>
  <c r="X81"/>
  <c r="S82"/>
  <c r="W82"/>
  <c r="P83"/>
  <c r="R83"/>
  <c r="U83"/>
  <c r="P85"/>
  <c r="R85"/>
  <c r="Q86"/>
  <c r="U86"/>
  <c r="V86"/>
  <c r="F87"/>
  <c r="V87"/>
  <c r="X87"/>
  <c r="P96"/>
  <c r="R96"/>
  <c r="Q93"/>
  <c r="P94"/>
  <c r="P95"/>
  <c r="R95"/>
  <c r="S96"/>
  <c r="U96"/>
  <c r="W96"/>
  <c r="R100"/>
  <c r="T100"/>
  <c r="C145"/>
  <c r="C152"/>
  <c r="C146"/>
  <c r="E145"/>
  <c r="E152"/>
  <c r="E146"/>
  <c r="G145"/>
  <c r="G152"/>
  <c r="G146"/>
  <c r="C153"/>
  <c r="C151"/>
  <c r="C155" s="1"/>
  <c r="E153"/>
  <c r="E151"/>
  <c r="E155" s="1"/>
  <c r="G153"/>
  <c r="G151"/>
  <c r="G155" s="1"/>
  <c r="K153"/>
  <c r="K151"/>
  <c r="K152"/>
  <c r="B154"/>
  <c r="B152"/>
  <c r="B146"/>
  <c r="B123"/>
  <c r="B153"/>
  <c r="B151"/>
  <c r="B155" s="1"/>
  <c r="B147"/>
  <c r="B145"/>
  <c r="B148" s="1"/>
  <c r="B124"/>
  <c r="H154"/>
  <c r="H152"/>
  <c r="H146"/>
  <c r="H123"/>
  <c r="H153"/>
  <c r="H151"/>
  <c r="H155" s="1"/>
  <c r="H147"/>
  <c r="H145"/>
  <c r="H148" s="1"/>
  <c r="H124"/>
  <c r="H122"/>
  <c r="J154"/>
  <c r="J146"/>
  <c r="J147"/>
  <c r="J145"/>
  <c r="J124"/>
  <c r="B137"/>
  <c r="B135"/>
  <c r="B133"/>
  <c r="B119"/>
  <c r="O100"/>
  <c r="O93"/>
  <c r="O92"/>
  <c r="B90"/>
  <c r="O86"/>
  <c r="B136"/>
  <c r="B134"/>
  <c r="O99"/>
  <c r="O95"/>
  <c r="O94"/>
  <c r="S93"/>
  <c r="S92"/>
  <c r="F90"/>
  <c r="S86"/>
  <c r="S99"/>
  <c r="S95"/>
  <c r="S94"/>
  <c r="U100"/>
  <c r="U93"/>
  <c r="U92"/>
  <c r="H90"/>
  <c r="U99"/>
  <c r="U95"/>
  <c r="U94"/>
  <c r="W100"/>
  <c r="W93"/>
  <c r="W92"/>
  <c r="J90"/>
  <c r="W86"/>
  <c r="W99"/>
  <c r="W95"/>
  <c r="W94"/>
  <c r="B55"/>
  <c r="O55" s="1"/>
  <c r="O62"/>
  <c r="L78"/>
  <c r="L81"/>
  <c r="O81"/>
  <c r="Q81"/>
  <c r="U81"/>
  <c r="W81"/>
  <c r="O82"/>
  <c r="U82"/>
  <c r="O83"/>
  <c r="S83"/>
  <c r="W83"/>
  <c r="P84"/>
  <c r="R84"/>
  <c r="U84"/>
  <c r="O85"/>
  <c r="S85"/>
  <c r="W85"/>
  <c r="T86"/>
  <c r="X86"/>
  <c r="O87"/>
  <c r="Q96"/>
  <c r="P93"/>
  <c r="R93"/>
  <c r="Q95"/>
  <c r="O96"/>
  <c r="T96"/>
  <c r="V96"/>
  <c r="X96"/>
  <c r="P99"/>
  <c r="R99"/>
  <c r="T99"/>
  <c r="S100"/>
  <c r="P92"/>
  <c r="R92"/>
  <c r="Q92"/>
  <c r="L96"/>
  <c r="L100"/>
  <c r="K14" i="8"/>
  <c r="J14"/>
  <c r="K62"/>
  <c r="K53"/>
  <c r="K48"/>
  <c r="K34"/>
  <c r="K26"/>
  <c r="K22"/>
  <c r="K15"/>
  <c r="K38" s="1"/>
  <c r="K12"/>
  <c r="J12"/>
  <c r="K11"/>
  <c r="J11"/>
  <c r="K96"/>
  <c r="K87"/>
  <c r="K90" s="1"/>
  <c r="K78"/>
  <c r="R11" i="5"/>
  <c r="P11"/>
  <c r="N11"/>
  <c r="L11"/>
  <c r="J11"/>
  <c r="H11"/>
  <c r="D11"/>
  <c r="B11"/>
  <c r="K73" i="8"/>
  <c r="X8"/>
  <c r="L155" i="2"/>
  <c r="L154"/>
  <c r="L153"/>
  <c r="L152"/>
  <c r="L151"/>
  <c r="L148"/>
  <c r="L147"/>
  <c r="L146"/>
  <c r="L145"/>
  <c r="L137"/>
  <c r="L136"/>
  <c r="L135"/>
  <c r="L134"/>
  <c r="L133"/>
  <c r="L124"/>
  <c r="L123"/>
  <c r="L122"/>
  <c r="L119"/>
  <c r="L118"/>
  <c r="L117"/>
  <c r="L114"/>
  <c r="K114"/>
  <c r="J114"/>
  <c r="L104"/>
  <c r="L99"/>
  <c r="L98"/>
  <c r="L96"/>
  <c r="L93"/>
  <c r="L92"/>
  <c r="L90"/>
  <c r="L87"/>
  <c r="L86"/>
  <c r="L85"/>
  <c r="L84"/>
  <c r="L83"/>
  <c r="L81"/>
  <c r="L78"/>
  <c r="L77"/>
  <c r="L76"/>
  <c r="L75"/>
  <c r="L63"/>
  <c r="L62"/>
  <c r="L61"/>
  <c r="L60"/>
  <c r="L57"/>
  <c r="L55"/>
  <c r="L53"/>
  <c r="L52"/>
  <c r="L51"/>
  <c r="L50"/>
  <c r="L48"/>
  <c r="L47"/>
  <c r="L46"/>
  <c r="L44"/>
  <c r="L43"/>
  <c r="L42"/>
  <c r="L38"/>
  <c r="L35"/>
  <c r="L34"/>
  <c r="L33"/>
  <c r="L32"/>
  <c r="L29"/>
  <c r="L26"/>
  <c r="L24"/>
  <c r="L22"/>
  <c r="L21"/>
  <c r="L20"/>
  <c r="L19"/>
  <c r="L18"/>
  <c r="L15"/>
  <c r="L14"/>
  <c r="L13"/>
  <c r="L12"/>
  <c r="L11"/>
  <c r="X104"/>
  <c r="X103"/>
  <c r="X101"/>
  <c r="X100"/>
  <c r="X99"/>
  <c r="X98"/>
  <c r="X96"/>
  <c r="X95"/>
  <c r="X94"/>
  <c r="X93"/>
  <c r="X92"/>
  <c r="X90"/>
  <c r="X87"/>
  <c r="X86"/>
  <c r="X85"/>
  <c r="X84"/>
  <c r="X83"/>
  <c r="X82"/>
  <c r="X81"/>
  <c r="X78"/>
  <c r="X73"/>
  <c r="X63"/>
  <c r="X62"/>
  <c r="X61"/>
  <c r="X60"/>
  <c r="X57"/>
  <c r="X55"/>
  <c r="X53"/>
  <c r="X52"/>
  <c r="X51"/>
  <c r="X50"/>
  <c r="X48"/>
  <c r="X47"/>
  <c r="X46"/>
  <c r="X45"/>
  <c r="X44"/>
  <c r="X43"/>
  <c r="X42"/>
  <c r="X38"/>
  <c r="X36"/>
  <c r="X35"/>
  <c r="X34"/>
  <c r="X33"/>
  <c r="X32"/>
  <c r="X31"/>
  <c r="X30"/>
  <c r="X29"/>
  <c r="X26"/>
  <c r="X24"/>
  <c r="X22"/>
  <c r="X21"/>
  <c r="X20"/>
  <c r="X19"/>
  <c r="X18"/>
  <c r="X15"/>
  <c r="X14"/>
  <c r="X13"/>
  <c r="X12"/>
  <c r="X11"/>
  <c r="X8"/>
  <c r="K154"/>
  <c r="K153"/>
  <c r="K152"/>
  <c r="K151"/>
  <c r="K155" s="1"/>
  <c r="K147"/>
  <c r="K146"/>
  <c r="K145"/>
  <c r="K148" s="1"/>
  <c r="K123"/>
  <c r="K52"/>
  <c r="J52"/>
  <c r="J60"/>
  <c r="K60"/>
  <c r="K57"/>
  <c r="J57"/>
  <c r="K62"/>
  <c r="J62"/>
  <c r="K53"/>
  <c r="J53"/>
  <c r="K48"/>
  <c r="J48"/>
  <c r="K33"/>
  <c r="J33"/>
  <c r="K14"/>
  <c r="J14"/>
  <c r="K13"/>
  <c r="J13"/>
  <c r="J15" s="1"/>
  <c r="I13"/>
  <c r="K15"/>
  <c r="K12"/>
  <c r="J12"/>
  <c r="K34"/>
  <c r="J34"/>
  <c r="K21"/>
  <c r="J19"/>
  <c r="J22" s="1"/>
  <c r="J26" s="1"/>
  <c r="K22"/>
  <c r="K26" s="1"/>
  <c r="K20"/>
  <c r="J20"/>
  <c r="K95"/>
  <c r="J95"/>
  <c r="J99"/>
  <c r="J96"/>
  <c r="J98" s="1"/>
  <c r="I95"/>
  <c r="I83"/>
  <c r="I81"/>
  <c r="K96"/>
  <c r="K98" s="1"/>
  <c r="K101" s="1"/>
  <c r="K90"/>
  <c r="J90"/>
  <c r="K87"/>
  <c r="J87"/>
  <c r="K83"/>
  <c r="J83"/>
  <c r="K81"/>
  <c r="J81"/>
  <c r="K76"/>
  <c r="K78"/>
  <c r="J78"/>
  <c r="J76"/>
  <c r="K73"/>
  <c r="O28" i="22"/>
  <c r="R26" i="5" l="1"/>
  <c r="L52" i="22"/>
  <c r="Z50"/>
  <c r="Z15"/>
  <c r="Z45"/>
  <c r="Z49"/>
  <c r="Z59"/>
  <c r="Z13"/>
  <c r="Z57"/>
  <c r="Z47"/>
  <c r="Z44"/>
  <c r="Z42"/>
  <c r="Z40"/>
  <c r="Z36"/>
  <c r="Z32"/>
  <c r="Z30"/>
  <c r="Z20"/>
  <c r="Z18"/>
  <c r="Z12"/>
  <c r="Z58"/>
  <c r="Z54"/>
  <c r="Z48"/>
  <c r="Z41"/>
  <c r="Z39"/>
  <c r="Z33"/>
  <c r="Z31"/>
  <c r="Z29"/>
  <c r="Z24"/>
  <c r="Z21"/>
  <c r="Z19"/>
  <c r="Z11"/>
  <c r="L91"/>
  <c r="Z83"/>
  <c r="L136"/>
  <c r="L135"/>
  <c r="Z26"/>
  <c r="Z43"/>
  <c r="Z14"/>
  <c r="Z34"/>
  <c r="L124" i="29"/>
  <c r="L147"/>
  <c r="L153"/>
  <c r="L152"/>
  <c r="G148"/>
  <c r="G155"/>
  <c r="L136"/>
  <c r="O15" i="5" s="1"/>
  <c r="L119" i="29"/>
  <c r="C15" i="5" s="1"/>
  <c r="L134" i="29"/>
  <c r="L133"/>
  <c r="L135"/>
  <c r="H148"/>
  <c r="I148"/>
  <c r="I155"/>
  <c r="H155"/>
  <c r="U48"/>
  <c r="V35"/>
  <c r="U53"/>
  <c r="U34"/>
  <c r="U35"/>
  <c r="K148"/>
  <c r="J148"/>
  <c r="K155"/>
  <c r="J155"/>
  <c r="W35"/>
  <c r="L119" i="28"/>
  <c r="L55" i="29"/>
  <c r="X61"/>
  <c r="X51"/>
  <c r="X48"/>
  <c r="X47"/>
  <c r="X45"/>
  <c r="X44"/>
  <c r="X42"/>
  <c r="X32"/>
  <c r="X30"/>
  <c r="X22"/>
  <c r="X21"/>
  <c r="X20"/>
  <c r="X19"/>
  <c r="X60"/>
  <c r="X57"/>
  <c r="X52"/>
  <c r="X50"/>
  <c r="X46"/>
  <c r="X43"/>
  <c r="X38"/>
  <c r="X36"/>
  <c r="X33"/>
  <c r="X31"/>
  <c r="X29"/>
  <c r="X24"/>
  <c r="X14"/>
  <c r="X12"/>
  <c r="X18"/>
  <c r="X13"/>
  <c r="X11"/>
  <c r="T61"/>
  <c r="T51"/>
  <c r="T48"/>
  <c r="T47"/>
  <c r="T45"/>
  <c r="T44"/>
  <c r="T42"/>
  <c r="T32"/>
  <c r="T30"/>
  <c r="T22"/>
  <c r="T21"/>
  <c r="T20"/>
  <c r="T60"/>
  <c r="T57"/>
  <c r="T52"/>
  <c r="T50"/>
  <c r="T46"/>
  <c r="T43"/>
  <c r="T38"/>
  <c r="T36"/>
  <c r="T33"/>
  <c r="T31"/>
  <c r="T29"/>
  <c r="T24"/>
  <c r="T14"/>
  <c r="T12"/>
  <c r="T19"/>
  <c r="T18"/>
  <c r="T13"/>
  <c r="T11"/>
  <c r="P61"/>
  <c r="P51"/>
  <c r="P48"/>
  <c r="P47"/>
  <c r="P45"/>
  <c r="P44"/>
  <c r="P42"/>
  <c r="P32"/>
  <c r="P30"/>
  <c r="P22"/>
  <c r="P21"/>
  <c r="P20"/>
  <c r="P60"/>
  <c r="P57"/>
  <c r="P52"/>
  <c r="P50"/>
  <c r="P46"/>
  <c r="P43"/>
  <c r="P38"/>
  <c r="P36"/>
  <c r="P33"/>
  <c r="P31"/>
  <c r="P29"/>
  <c r="P24"/>
  <c r="P14"/>
  <c r="P12"/>
  <c r="P19"/>
  <c r="P18"/>
  <c r="P13"/>
  <c r="P11"/>
  <c r="K98"/>
  <c r="F148"/>
  <c r="L148" s="1"/>
  <c r="L145"/>
  <c r="F155"/>
  <c r="L151"/>
  <c r="E73"/>
  <c r="Q73"/>
  <c r="K63"/>
  <c r="X55"/>
  <c r="G63"/>
  <c r="T63" s="1"/>
  <c r="T55"/>
  <c r="C63"/>
  <c r="P63" s="1"/>
  <c r="P55"/>
  <c r="F98"/>
  <c r="L90"/>
  <c r="B98"/>
  <c r="O88"/>
  <c r="C114"/>
  <c r="Q8"/>
  <c r="J122"/>
  <c r="H122"/>
  <c r="F122"/>
  <c r="D122"/>
  <c r="B122"/>
  <c r="V62"/>
  <c r="R62"/>
  <c r="X26"/>
  <c r="T26"/>
  <c r="P26"/>
  <c r="V15"/>
  <c r="R15"/>
  <c r="K122"/>
  <c r="G122"/>
  <c r="C122"/>
  <c r="J63"/>
  <c r="F63"/>
  <c r="B63"/>
  <c r="O63" s="1"/>
  <c r="T35"/>
  <c r="X53"/>
  <c r="T53"/>
  <c r="P53"/>
  <c r="V34"/>
  <c r="V61"/>
  <c r="V51"/>
  <c r="V48"/>
  <c r="V47"/>
  <c r="V45"/>
  <c r="V44"/>
  <c r="V42"/>
  <c r="V32"/>
  <c r="V30"/>
  <c r="V22"/>
  <c r="V21"/>
  <c r="V20"/>
  <c r="V19"/>
  <c r="V60"/>
  <c r="V57"/>
  <c r="V52"/>
  <c r="V50"/>
  <c r="V46"/>
  <c r="V43"/>
  <c r="V38"/>
  <c r="V36"/>
  <c r="V33"/>
  <c r="V31"/>
  <c r="V29"/>
  <c r="V24"/>
  <c r="V18"/>
  <c r="V12"/>
  <c r="V14"/>
  <c r="V13"/>
  <c r="V11"/>
  <c r="R61"/>
  <c r="R51"/>
  <c r="R48"/>
  <c r="R47"/>
  <c r="R45"/>
  <c r="R44"/>
  <c r="R42"/>
  <c r="R32"/>
  <c r="R30"/>
  <c r="R22"/>
  <c r="R21"/>
  <c r="R20"/>
  <c r="R60"/>
  <c r="R57"/>
  <c r="R52"/>
  <c r="R50"/>
  <c r="R46"/>
  <c r="R43"/>
  <c r="R38"/>
  <c r="R36"/>
  <c r="R33"/>
  <c r="R31"/>
  <c r="R29"/>
  <c r="R24"/>
  <c r="R19"/>
  <c r="R18"/>
  <c r="R14"/>
  <c r="R12"/>
  <c r="R13"/>
  <c r="R11"/>
  <c r="I98"/>
  <c r="G98"/>
  <c r="R88"/>
  <c r="E98"/>
  <c r="P88"/>
  <c r="C98"/>
  <c r="I63"/>
  <c r="V55"/>
  <c r="E63"/>
  <c r="R63" s="1"/>
  <c r="R55"/>
  <c r="F35"/>
  <c r="L26"/>
  <c r="J98"/>
  <c r="H98"/>
  <c r="D98"/>
  <c r="Q88"/>
  <c r="W60"/>
  <c r="W57"/>
  <c r="W52"/>
  <c r="W50"/>
  <c r="W46"/>
  <c r="W43"/>
  <c r="W38"/>
  <c r="W36"/>
  <c r="W33"/>
  <c r="W31"/>
  <c r="W29"/>
  <c r="W24"/>
  <c r="W61"/>
  <c r="W51"/>
  <c r="W47"/>
  <c r="W45"/>
  <c r="W44"/>
  <c r="W42"/>
  <c r="W32"/>
  <c r="W30"/>
  <c r="W21"/>
  <c r="W20"/>
  <c r="W19"/>
  <c r="W18"/>
  <c r="W14"/>
  <c r="W13"/>
  <c r="W11"/>
  <c r="W12"/>
  <c r="U60"/>
  <c r="U57"/>
  <c r="U52"/>
  <c r="U50"/>
  <c r="U46"/>
  <c r="U43"/>
  <c r="U38"/>
  <c r="U36"/>
  <c r="U33"/>
  <c r="U31"/>
  <c r="U29"/>
  <c r="U24"/>
  <c r="U61"/>
  <c r="U51"/>
  <c r="U47"/>
  <c r="U45"/>
  <c r="U44"/>
  <c r="U42"/>
  <c r="U32"/>
  <c r="U30"/>
  <c r="U21"/>
  <c r="U20"/>
  <c r="U19"/>
  <c r="U18"/>
  <c r="U14"/>
  <c r="U15"/>
  <c r="U13"/>
  <c r="U11"/>
  <c r="U12"/>
  <c r="Q60"/>
  <c r="Q57"/>
  <c r="Q52"/>
  <c r="Q50"/>
  <c r="Q46"/>
  <c r="Q43"/>
  <c r="Q38"/>
  <c r="Q36"/>
  <c r="Q33"/>
  <c r="Q31"/>
  <c r="Q29"/>
  <c r="Q24"/>
  <c r="Q61"/>
  <c r="Q51"/>
  <c r="Q47"/>
  <c r="Q45"/>
  <c r="Q44"/>
  <c r="Q42"/>
  <c r="Q32"/>
  <c r="Q30"/>
  <c r="Q21"/>
  <c r="Q20"/>
  <c r="Q19"/>
  <c r="Q18"/>
  <c r="Q15"/>
  <c r="Q13"/>
  <c r="Q11"/>
  <c r="Q14"/>
  <c r="Q12"/>
  <c r="O60"/>
  <c r="O57"/>
  <c r="O52"/>
  <c r="O50"/>
  <c r="O46"/>
  <c r="O43"/>
  <c r="O38"/>
  <c r="O36"/>
  <c r="O33"/>
  <c r="O31"/>
  <c r="O29"/>
  <c r="O24"/>
  <c r="O61"/>
  <c r="O51"/>
  <c r="O47"/>
  <c r="O45"/>
  <c r="O44"/>
  <c r="O42"/>
  <c r="O32"/>
  <c r="O30"/>
  <c r="O21"/>
  <c r="O20"/>
  <c r="O19"/>
  <c r="O18"/>
  <c r="O13"/>
  <c r="O11"/>
  <c r="O14"/>
  <c r="O12"/>
  <c r="E137"/>
  <c r="C137"/>
  <c r="X62"/>
  <c r="T62"/>
  <c r="P62"/>
  <c r="V26"/>
  <c r="R26"/>
  <c r="X15"/>
  <c r="T15"/>
  <c r="P15"/>
  <c r="D137"/>
  <c r="H63"/>
  <c r="D63"/>
  <c r="Q63" s="1"/>
  <c r="X35"/>
  <c r="P35"/>
  <c r="V53"/>
  <c r="R53"/>
  <c r="X34"/>
  <c r="T34"/>
  <c r="P34"/>
  <c r="R35"/>
  <c r="F38"/>
  <c r="I148" i="28"/>
  <c r="L90"/>
  <c r="F98"/>
  <c r="B98"/>
  <c r="O88"/>
  <c r="S87"/>
  <c r="L87"/>
  <c r="K147"/>
  <c r="K145"/>
  <c r="L145" s="1"/>
  <c r="K124"/>
  <c r="K122"/>
  <c r="K154"/>
  <c r="K146"/>
  <c r="K123"/>
  <c r="K63"/>
  <c r="J55"/>
  <c r="F155"/>
  <c r="L151"/>
  <c r="F148"/>
  <c r="J117"/>
  <c r="J38"/>
  <c r="W15" s="1"/>
  <c r="F117"/>
  <c r="L15"/>
  <c r="E98"/>
  <c r="R88"/>
  <c r="C98"/>
  <c r="P88"/>
  <c r="O60"/>
  <c r="O57"/>
  <c r="O52"/>
  <c r="O61"/>
  <c r="O51"/>
  <c r="O50"/>
  <c r="O47"/>
  <c r="O46"/>
  <c r="O45"/>
  <c r="O44"/>
  <c r="O43"/>
  <c r="O42"/>
  <c r="O38"/>
  <c r="O36"/>
  <c r="O33"/>
  <c r="O32"/>
  <c r="O24"/>
  <c r="O22"/>
  <c r="O21"/>
  <c r="O20"/>
  <c r="O19"/>
  <c r="O18"/>
  <c r="O31"/>
  <c r="O30"/>
  <c r="O29"/>
  <c r="O14"/>
  <c r="O13"/>
  <c r="O12"/>
  <c r="O11"/>
  <c r="D26"/>
  <c r="G117"/>
  <c r="G38"/>
  <c r="C117"/>
  <c r="C38"/>
  <c r="P15" s="1"/>
  <c r="C114"/>
  <c r="Q8"/>
  <c r="L55"/>
  <c r="J148"/>
  <c r="K155"/>
  <c r="G148"/>
  <c r="C148"/>
  <c r="L135"/>
  <c r="L152"/>
  <c r="B63"/>
  <c r="O63" s="1"/>
  <c r="I118"/>
  <c r="L118" s="1"/>
  <c r="L62"/>
  <c r="L147"/>
  <c r="L154"/>
  <c r="D135"/>
  <c r="G122"/>
  <c r="E63"/>
  <c r="E35"/>
  <c r="O35"/>
  <c r="I117"/>
  <c r="J98"/>
  <c r="H98"/>
  <c r="E73"/>
  <c r="Q73"/>
  <c r="D62"/>
  <c r="K98"/>
  <c r="I98"/>
  <c r="G98"/>
  <c r="H117"/>
  <c r="H38"/>
  <c r="D117"/>
  <c r="D38"/>
  <c r="Q60" s="1"/>
  <c r="L63"/>
  <c r="F26"/>
  <c r="L22"/>
  <c r="K117"/>
  <c r="K38"/>
  <c r="X15" s="1"/>
  <c r="E117"/>
  <c r="E38"/>
  <c r="R55" s="1"/>
  <c r="D98"/>
  <c r="Q88"/>
  <c r="L134"/>
  <c r="L133"/>
  <c r="B122"/>
  <c r="E148"/>
  <c r="J155"/>
  <c r="L153"/>
  <c r="L146"/>
  <c r="L123"/>
  <c r="I122"/>
  <c r="I155"/>
  <c r="G63"/>
  <c r="E122"/>
  <c r="O34"/>
  <c r="O26"/>
  <c r="K35"/>
  <c r="X35" s="1"/>
  <c r="I35"/>
  <c r="G35"/>
  <c r="C35"/>
  <c r="I38"/>
  <c r="K55" i="8"/>
  <c r="K63"/>
  <c r="K35"/>
  <c r="K98"/>
  <c r="K101" s="1"/>
  <c r="K55" i="2"/>
  <c r="J55"/>
  <c r="K63"/>
  <c r="J63"/>
  <c r="K38"/>
  <c r="J38"/>
  <c r="K35"/>
  <c r="J35"/>
  <c r="J101"/>
  <c r="I90" i="17"/>
  <c r="I90" i="16"/>
  <c r="I147" i="18"/>
  <c r="F137" i="19"/>
  <c r="E137"/>
  <c r="F136"/>
  <c r="E136"/>
  <c r="F135"/>
  <c r="E135"/>
  <c r="F134"/>
  <c r="E134"/>
  <c r="F133"/>
  <c r="E133"/>
  <c r="F130"/>
  <c r="E130"/>
  <c r="E129"/>
  <c r="F128"/>
  <c r="E128"/>
  <c r="H125"/>
  <c r="G125"/>
  <c r="F125"/>
  <c r="E125"/>
  <c r="I124"/>
  <c r="H124"/>
  <c r="G124"/>
  <c r="F124"/>
  <c r="E124"/>
  <c r="I123"/>
  <c r="H123"/>
  <c r="G123"/>
  <c r="F123"/>
  <c r="E123"/>
  <c r="I122"/>
  <c r="H122"/>
  <c r="G122"/>
  <c r="F122"/>
  <c r="E122"/>
  <c r="I119"/>
  <c r="H119"/>
  <c r="G119"/>
  <c r="F119"/>
  <c r="E119"/>
  <c r="F137" i="18"/>
  <c r="E137"/>
  <c r="F136"/>
  <c r="E136"/>
  <c r="F135"/>
  <c r="E135"/>
  <c r="F134"/>
  <c r="E134"/>
  <c r="F133"/>
  <c r="E133"/>
  <c r="F130"/>
  <c r="E130"/>
  <c r="E129"/>
  <c r="F128"/>
  <c r="E128"/>
  <c r="H125"/>
  <c r="G125"/>
  <c r="F125"/>
  <c r="E125"/>
  <c r="I124"/>
  <c r="H124"/>
  <c r="G124"/>
  <c r="F124"/>
  <c r="E124"/>
  <c r="I123"/>
  <c r="H123"/>
  <c r="G123"/>
  <c r="F123"/>
  <c r="E123"/>
  <c r="I122"/>
  <c r="H122"/>
  <c r="G122"/>
  <c r="F122"/>
  <c r="E122"/>
  <c r="H119"/>
  <c r="G119"/>
  <c r="F119"/>
  <c r="E119"/>
  <c r="F137" i="17"/>
  <c r="E137"/>
  <c r="F136"/>
  <c r="E136"/>
  <c r="F135"/>
  <c r="E135"/>
  <c r="F134"/>
  <c r="E134"/>
  <c r="F133"/>
  <c r="E133"/>
  <c r="E130"/>
  <c r="E129"/>
  <c r="E128"/>
  <c r="H125"/>
  <c r="G125"/>
  <c r="F125"/>
  <c r="E125"/>
  <c r="I124"/>
  <c r="H124"/>
  <c r="G124"/>
  <c r="F124"/>
  <c r="E124"/>
  <c r="I123"/>
  <c r="H123"/>
  <c r="G123"/>
  <c r="F123"/>
  <c r="E123"/>
  <c r="I122"/>
  <c r="H122"/>
  <c r="G122"/>
  <c r="F122"/>
  <c r="E122"/>
  <c r="I119"/>
  <c r="H119"/>
  <c r="G119"/>
  <c r="F119"/>
  <c r="E119"/>
  <c r="E137" i="16"/>
  <c r="F136"/>
  <c r="E136"/>
  <c r="F135"/>
  <c r="E135"/>
  <c r="F134"/>
  <c r="E134"/>
  <c r="F133"/>
  <c r="E133"/>
  <c r="E130"/>
  <c r="E129"/>
  <c r="F128"/>
  <c r="E128"/>
  <c r="H125"/>
  <c r="G125"/>
  <c r="F125"/>
  <c r="E125"/>
  <c r="I124"/>
  <c r="H124"/>
  <c r="G124"/>
  <c r="F124"/>
  <c r="E124"/>
  <c r="I123"/>
  <c r="H123"/>
  <c r="G123"/>
  <c r="F123"/>
  <c r="E123"/>
  <c r="I122"/>
  <c r="H122"/>
  <c r="G122"/>
  <c r="F122"/>
  <c r="E122"/>
  <c r="I119"/>
  <c r="H119"/>
  <c r="G119"/>
  <c r="F119"/>
  <c r="E119"/>
  <c r="G137" i="25"/>
  <c r="F137"/>
  <c r="E137"/>
  <c r="G136"/>
  <c r="F136"/>
  <c r="E136"/>
  <c r="G135"/>
  <c r="F135"/>
  <c r="E135"/>
  <c r="G134"/>
  <c r="F134"/>
  <c r="E134"/>
  <c r="G133"/>
  <c r="F133"/>
  <c r="E133"/>
  <c r="F130"/>
  <c r="E130"/>
  <c r="E129"/>
  <c r="F128"/>
  <c r="E128"/>
  <c r="I125"/>
  <c r="H125"/>
  <c r="G125"/>
  <c r="F125"/>
  <c r="E125"/>
  <c r="I124"/>
  <c r="H124"/>
  <c r="G124"/>
  <c r="F124"/>
  <c r="E124"/>
  <c r="I123"/>
  <c r="H123"/>
  <c r="G123"/>
  <c r="F123"/>
  <c r="E123"/>
  <c r="I122"/>
  <c r="H122"/>
  <c r="G122"/>
  <c r="F122"/>
  <c r="E122"/>
  <c r="I119"/>
  <c r="H119"/>
  <c r="G119"/>
  <c r="F119"/>
  <c r="E119"/>
  <c r="G137" i="8"/>
  <c r="F137"/>
  <c r="E137"/>
  <c r="G136"/>
  <c r="F136"/>
  <c r="E136"/>
  <c r="G135"/>
  <c r="F135"/>
  <c r="E135"/>
  <c r="G134"/>
  <c r="F134"/>
  <c r="E134"/>
  <c r="G133"/>
  <c r="F133"/>
  <c r="E133"/>
  <c r="F130"/>
  <c r="E130"/>
  <c r="E129"/>
  <c r="F128"/>
  <c r="E128"/>
  <c r="I125"/>
  <c r="H125"/>
  <c r="G125"/>
  <c r="F125"/>
  <c r="E125"/>
  <c r="I124"/>
  <c r="H124"/>
  <c r="G124"/>
  <c r="F124"/>
  <c r="E124"/>
  <c r="I123"/>
  <c r="H123"/>
  <c r="G123"/>
  <c r="F123"/>
  <c r="E123"/>
  <c r="I122"/>
  <c r="H122"/>
  <c r="G122"/>
  <c r="F122"/>
  <c r="E122"/>
  <c r="I119"/>
  <c r="H119"/>
  <c r="G119"/>
  <c r="F119"/>
  <c r="E119"/>
  <c r="L94" i="22" l="1"/>
  <c r="L119"/>
  <c r="Z91"/>
  <c r="Z52"/>
  <c r="L116"/>
  <c r="L60"/>
  <c r="Z60" s="1"/>
  <c r="L122" i="29"/>
  <c r="L155"/>
  <c r="U63"/>
  <c r="V63"/>
  <c r="X63"/>
  <c r="W63"/>
  <c r="W35" i="28"/>
  <c r="V34"/>
  <c r="U63"/>
  <c r="T15"/>
  <c r="T35"/>
  <c r="T63"/>
  <c r="T55"/>
  <c r="S35" i="29"/>
  <c r="L35"/>
  <c r="D114"/>
  <c r="R8"/>
  <c r="F125"/>
  <c r="L125" s="1"/>
  <c r="F101"/>
  <c r="L98"/>
  <c r="R73"/>
  <c r="F73"/>
  <c r="S60"/>
  <c r="S57"/>
  <c r="S52"/>
  <c r="S50"/>
  <c r="S46"/>
  <c r="S43"/>
  <c r="S38"/>
  <c r="S36"/>
  <c r="S33"/>
  <c r="S31"/>
  <c r="S29"/>
  <c r="S24"/>
  <c r="S61"/>
  <c r="S51"/>
  <c r="S47"/>
  <c r="S45"/>
  <c r="S44"/>
  <c r="S42"/>
  <c r="L38"/>
  <c r="S32"/>
  <c r="S30"/>
  <c r="S21"/>
  <c r="S20"/>
  <c r="S19"/>
  <c r="S18"/>
  <c r="S13"/>
  <c r="S11"/>
  <c r="S14"/>
  <c r="S12"/>
  <c r="S15"/>
  <c r="S53"/>
  <c r="S34"/>
  <c r="S22"/>
  <c r="S48"/>
  <c r="S62"/>
  <c r="D125"/>
  <c r="D101"/>
  <c r="Q98"/>
  <c r="H125"/>
  <c r="H101"/>
  <c r="J125"/>
  <c r="J101"/>
  <c r="P98"/>
  <c r="C125"/>
  <c r="C101"/>
  <c r="R98"/>
  <c r="E125"/>
  <c r="E101"/>
  <c r="G125"/>
  <c r="G101"/>
  <c r="I125"/>
  <c r="I101"/>
  <c r="S63"/>
  <c r="L63"/>
  <c r="B125"/>
  <c r="B101"/>
  <c r="O98"/>
  <c r="K125"/>
  <c r="K101"/>
  <c r="S26"/>
  <c r="S55"/>
  <c r="T34" i="28"/>
  <c r="P35"/>
  <c r="V35"/>
  <c r="P34"/>
  <c r="X34"/>
  <c r="Q15"/>
  <c r="V48"/>
  <c r="Q22"/>
  <c r="P55"/>
  <c r="V51"/>
  <c r="V50"/>
  <c r="V47"/>
  <c r="V45"/>
  <c r="V44"/>
  <c r="V43"/>
  <c r="V42"/>
  <c r="V38"/>
  <c r="V36"/>
  <c r="V57"/>
  <c r="V32"/>
  <c r="V33"/>
  <c r="V29"/>
  <c r="V24"/>
  <c r="V21"/>
  <c r="V20"/>
  <c r="V19"/>
  <c r="V18"/>
  <c r="V13"/>
  <c r="V14"/>
  <c r="V22"/>
  <c r="V62"/>
  <c r="V30"/>
  <c r="V52"/>
  <c r="V60"/>
  <c r="V15"/>
  <c r="V26"/>
  <c r="V46"/>
  <c r="V11"/>
  <c r="V12"/>
  <c r="V31"/>
  <c r="V53"/>
  <c r="V61"/>
  <c r="X51"/>
  <c r="X50"/>
  <c r="X47"/>
  <c r="X45"/>
  <c r="X44"/>
  <c r="X42"/>
  <c r="X38"/>
  <c r="X36"/>
  <c r="X60"/>
  <c r="X57"/>
  <c r="X32"/>
  <c r="X29"/>
  <c r="X13"/>
  <c r="X33"/>
  <c r="X24"/>
  <c r="X21"/>
  <c r="X20"/>
  <c r="X19"/>
  <c r="X18"/>
  <c r="X12"/>
  <c r="X46"/>
  <c r="X11"/>
  <c r="X31"/>
  <c r="X61"/>
  <c r="X26"/>
  <c r="X14"/>
  <c r="X22"/>
  <c r="X53"/>
  <c r="X30"/>
  <c r="X48"/>
  <c r="X52"/>
  <c r="X43"/>
  <c r="Q57"/>
  <c r="Q45"/>
  <c r="Q38"/>
  <c r="Q36"/>
  <c r="Q31"/>
  <c r="Q21"/>
  <c r="Q20"/>
  <c r="Q19"/>
  <c r="Q14"/>
  <c r="Q18"/>
  <c r="Q32"/>
  <c r="Q53"/>
  <c r="Q11"/>
  <c r="Q33"/>
  <c r="Q44"/>
  <c r="Q52"/>
  <c r="E137"/>
  <c r="Q61"/>
  <c r="Q42"/>
  <c r="Q50"/>
  <c r="Q24"/>
  <c r="Q34"/>
  <c r="Q13"/>
  <c r="Q30"/>
  <c r="Q12"/>
  <c r="Q29"/>
  <c r="Q46"/>
  <c r="Q47"/>
  <c r="Q48"/>
  <c r="Q43"/>
  <c r="Q51"/>
  <c r="G101"/>
  <c r="G125"/>
  <c r="T98"/>
  <c r="I101"/>
  <c r="I125"/>
  <c r="V98"/>
  <c r="K101"/>
  <c r="K125"/>
  <c r="X98"/>
  <c r="D154"/>
  <c r="D123"/>
  <c r="D147"/>
  <c r="D124"/>
  <c r="D122"/>
  <c r="Q62"/>
  <c r="D63"/>
  <c r="Q63" s="1"/>
  <c r="D152"/>
  <c r="D145"/>
  <c r="D153"/>
  <c r="D146"/>
  <c r="D151"/>
  <c r="R73"/>
  <c r="F73"/>
  <c r="H125"/>
  <c r="U98"/>
  <c r="H101"/>
  <c r="J125"/>
  <c r="W98"/>
  <c r="J101"/>
  <c r="D114"/>
  <c r="R8"/>
  <c r="T61"/>
  <c r="T45"/>
  <c r="T38"/>
  <c r="T57"/>
  <c r="T29"/>
  <c r="T36"/>
  <c r="T33"/>
  <c r="T21"/>
  <c r="T20"/>
  <c r="T19"/>
  <c r="T18"/>
  <c r="T30"/>
  <c r="T24"/>
  <c r="T46"/>
  <c r="T53"/>
  <c r="T11"/>
  <c r="T12"/>
  <c r="T31"/>
  <c r="T48"/>
  <c r="T44"/>
  <c r="T43"/>
  <c r="T50"/>
  <c r="T26"/>
  <c r="T13"/>
  <c r="T14"/>
  <c r="T62"/>
  <c r="T22"/>
  <c r="T32"/>
  <c r="T47"/>
  <c r="T52"/>
  <c r="T60"/>
  <c r="T42"/>
  <c r="T51"/>
  <c r="D35"/>
  <c r="Q35" s="1"/>
  <c r="Q26"/>
  <c r="E136"/>
  <c r="D136"/>
  <c r="C101"/>
  <c r="C125"/>
  <c r="P98"/>
  <c r="E101"/>
  <c r="E125"/>
  <c r="R98"/>
  <c r="W60"/>
  <c r="W57"/>
  <c r="W51"/>
  <c r="W50"/>
  <c r="W47"/>
  <c r="W45"/>
  <c r="W44"/>
  <c r="W42"/>
  <c r="W38"/>
  <c r="W36"/>
  <c r="W33"/>
  <c r="W32"/>
  <c r="W30"/>
  <c r="W24"/>
  <c r="W22"/>
  <c r="W21"/>
  <c r="W20"/>
  <c r="W19"/>
  <c r="W18"/>
  <c r="W13"/>
  <c r="W26"/>
  <c r="W12"/>
  <c r="W29"/>
  <c r="W61"/>
  <c r="W46"/>
  <c r="W34"/>
  <c r="W14"/>
  <c r="W31"/>
  <c r="W11"/>
  <c r="W48"/>
  <c r="W52"/>
  <c r="W43"/>
  <c r="W62"/>
  <c r="B125"/>
  <c r="O98"/>
  <c r="B101"/>
  <c r="F125"/>
  <c r="L125" s="1"/>
  <c r="S98"/>
  <c r="F101"/>
  <c r="L98"/>
  <c r="V55"/>
  <c r="R15"/>
  <c r="U15"/>
  <c r="U35"/>
  <c r="Q55"/>
  <c r="R34"/>
  <c r="P63"/>
  <c r="X55"/>
  <c r="L117"/>
  <c r="W53"/>
  <c r="X62"/>
  <c r="V63"/>
  <c r="D125"/>
  <c r="Q98"/>
  <c r="D101"/>
  <c r="R61"/>
  <c r="R45"/>
  <c r="R38"/>
  <c r="R57"/>
  <c r="R36"/>
  <c r="R33"/>
  <c r="R29"/>
  <c r="R21"/>
  <c r="R20"/>
  <c r="R19"/>
  <c r="R13"/>
  <c r="R14"/>
  <c r="R26"/>
  <c r="R62"/>
  <c r="R22"/>
  <c r="R32"/>
  <c r="R47"/>
  <c r="R53"/>
  <c r="R52"/>
  <c r="R60"/>
  <c r="R42"/>
  <c r="R51"/>
  <c r="R18"/>
  <c r="R30"/>
  <c r="R24"/>
  <c r="R46"/>
  <c r="R11"/>
  <c r="R12"/>
  <c r="R31"/>
  <c r="R48"/>
  <c r="R44"/>
  <c r="R43"/>
  <c r="R50"/>
  <c r="F35"/>
  <c r="L26"/>
  <c r="F124"/>
  <c r="L124" s="1"/>
  <c r="G136"/>
  <c r="U60"/>
  <c r="U57"/>
  <c r="U52"/>
  <c r="U61"/>
  <c r="U51"/>
  <c r="U50"/>
  <c r="U47"/>
  <c r="U45"/>
  <c r="U44"/>
  <c r="U43"/>
  <c r="U42"/>
  <c r="U38"/>
  <c r="U36"/>
  <c r="U31"/>
  <c r="U24"/>
  <c r="U22"/>
  <c r="U21"/>
  <c r="U20"/>
  <c r="U19"/>
  <c r="U18"/>
  <c r="U32"/>
  <c r="U34"/>
  <c r="U26"/>
  <c r="U14"/>
  <c r="U11"/>
  <c r="U53"/>
  <c r="U55"/>
  <c r="U48"/>
  <c r="U62"/>
  <c r="U13"/>
  <c r="U30"/>
  <c r="U12"/>
  <c r="U29"/>
  <c r="U33"/>
  <c r="U46"/>
  <c r="P61"/>
  <c r="P45"/>
  <c r="P38"/>
  <c r="P57"/>
  <c r="P29"/>
  <c r="P36"/>
  <c r="P33"/>
  <c r="P21"/>
  <c r="P20"/>
  <c r="P19"/>
  <c r="P18"/>
  <c r="P30"/>
  <c r="P24"/>
  <c r="D137"/>
  <c r="P46"/>
  <c r="P53"/>
  <c r="P62"/>
  <c r="P11"/>
  <c r="P12"/>
  <c r="P31"/>
  <c r="P48"/>
  <c r="P44"/>
  <c r="P43"/>
  <c r="P50"/>
  <c r="P26"/>
  <c r="P13"/>
  <c r="P14"/>
  <c r="P22"/>
  <c r="P32"/>
  <c r="P47"/>
  <c r="C137"/>
  <c r="P52"/>
  <c r="P60"/>
  <c r="P42"/>
  <c r="P51"/>
  <c r="W55"/>
  <c r="J63"/>
  <c r="J122"/>
  <c r="L122" s="1"/>
  <c r="R35"/>
  <c r="R63"/>
  <c r="F38"/>
  <c r="L155"/>
  <c r="X63"/>
  <c r="K148"/>
  <c r="L148" s="1"/>
  <c r="S14" i="5"/>
  <c r="O14"/>
  <c r="M14"/>
  <c r="K14"/>
  <c r="I14"/>
  <c r="E14"/>
  <c r="C14"/>
  <c r="D52" i="25"/>
  <c r="E52"/>
  <c r="D60"/>
  <c r="D61"/>
  <c r="E60"/>
  <c r="E61"/>
  <c r="F52"/>
  <c r="G52"/>
  <c r="F60"/>
  <c r="F61"/>
  <c r="G60"/>
  <c r="G61"/>
  <c r="H82"/>
  <c r="I82"/>
  <c r="I52"/>
  <c r="H52"/>
  <c r="H46"/>
  <c r="I46"/>
  <c r="H60"/>
  <c r="H61"/>
  <c r="I60"/>
  <c r="I61"/>
  <c r="H14"/>
  <c r="H33"/>
  <c r="H32"/>
  <c r="H13"/>
  <c r="I33"/>
  <c r="I15"/>
  <c r="I14"/>
  <c r="I32"/>
  <c r="I13"/>
  <c r="J114"/>
  <c r="L113"/>
  <c r="A111"/>
  <c r="A109"/>
  <c r="J96"/>
  <c r="I96"/>
  <c r="H96"/>
  <c r="G96"/>
  <c r="F96"/>
  <c r="E96"/>
  <c r="D96"/>
  <c r="C96"/>
  <c r="P96" s="1"/>
  <c r="B96"/>
  <c r="J87"/>
  <c r="I87"/>
  <c r="H87"/>
  <c r="G87"/>
  <c r="F87"/>
  <c r="E87"/>
  <c r="D87"/>
  <c r="C87"/>
  <c r="P87" s="1"/>
  <c r="B87"/>
  <c r="J78"/>
  <c r="I78"/>
  <c r="H78"/>
  <c r="G78"/>
  <c r="F78"/>
  <c r="E78"/>
  <c r="R78" s="1"/>
  <c r="D78"/>
  <c r="Q77" s="1"/>
  <c r="C78"/>
  <c r="B78"/>
  <c r="V78"/>
  <c r="U78"/>
  <c r="T78"/>
  <c r="S78"/>
  <c r="Q78"/>
  <c r="P78"/>
  <c r="O78"/>
  <c r="U77"/>
  <c r="S77"/>
  <c r="O77"/>
  <c r="W73"/>
  <c r="O73"/>
  <c r="J73"/>
  <c r="C73"/>
  <c r="B73"/>
  <c r="Y72"/>
  <c r="N71"/>
  <c r="L71"/>
  <c r="A70"/>
  <c r="N68"/>
  <c r="A68"/>
  <c r="N62"/>
  <c r="J62"/>
  <c r="I62"/>
  <c r="H62"/>
  <c r="G62"/>
  <c r="F62"/>
  <c r="E62"/>
  <c r="D62"/>
  <c r="C62"/>
  <c r="B62"/>
  <c r="N61"/>
  <c r="N60"/>
  <c r="N59"/>
  <c r="N53"/>
  <c r="J53"/>
  <c r="J123" s="1"/>
  <c r="I53"/>
  <c r="H53"/>
  <c r="G53"/>
  <c r="F53"/>
  <c r="E53"/>
  <c r="D53"/>
  <c r="C53"/>
  <c r="C55" s="1"/>
  <c r="B53"/>
  <c r="B55" s="1"/>
  <c r="N52"/>
  <c r="N51"/>
  <c r="N50"/>
  <c r="J48"/>
  <c r="J118" s="1"/>
  <c r="I48"/>
  <c r="I118" s="1"/>
  <c r="H48"/>
  <c r="H118" s="1"/>
  <c r="G48"/>
  <c r="G118" s="1"/>
  <c r="F48"/>
  <c r="F118" s="1"/>
  <c r="E48"/>
  <c r="E118" s="1"/>
  <c r="D48"/>
  <c r="D118" s="1"/>
  <c r="C48"/>
  <c r="C118" s="1"/>
  <c r="B48"/>
  <c r="B118" s="1"/>
  <c r="N47"/>
  <c r="N46"/>
  <c r="N45"/>
  <c r="N44"/>
  <c r="N43"/>
  <c r="N42"/>
  <c r="N36"/>
  <c r="N35"/>
  <c r="N34"/>
  <c r="J34"/>
  <c r="I34"/>
  <c r="H34"/>
  <c r="G34"/>
  <c r="F34"/>
  <c r="E34"/>
  <c r="D34"/>
  <c r="C34"/>
  <c r="B34"/>
  <c r="N33"/>
  <c r="N32"/>
  <c r="N31"/>
  <c r="N30"/>
  <c r="N24"/>
  <c r="J22"/>
  <c r="J26" s="1"/>
  <c r="J124" s="1"/>
  <c r="I22"/>
  <c r="I26" s="1"/>
  <c r="H22"/>
  <c r="H26" s="1"/>
  <c r="G22"/>
  <c r="G26" s="1"/>
  <c r="F22"/>
  <c r="F26" s="1"/>
  <c r="E22"/>
  <c r="E26" s="1"/>
  <c r="D22"/>
  <c r="D26" s="1"/>
  <c r="C22"/>
  <c r="C26" s="1"/>
  <c r="B22"/>
  <c r="B26" s="1"/>
  <c r="N21"/>
  <c r="N20"/>
  <c r="N19"/>
  <c r="N18"/>
  <c r="N15"/>
  <c r="J15"/>
  <c r="J117" s="1"/>
  <c r="I117"/>
  <c r="H15"/>
  <c r="H117" s="1"/>
  <c r="G15"/>
  <c r="G117" s="1"/>
  <c r="F15"/>
  <c r="F117" s="1"/>
  <c r="E15"/>
  <c r="E117" s="1"/>
  <c r="D15"/>
  <c r="D117" s="1"/>
  <c r="C15"/>
  <c r="C117" s="1"/>
  <c r="B15"/>
  <c r="B117" s="1"/>
  <c r="N14"/>
  <c r="N13"/>
  <c r="N12"/>
  <c r="N11"/>
  <c r="W8"/>
  <c r="O8"/>
  <c r="B114" s="1"/>
  <c r="D8"/>
  <c r="E8" s="1"/>
  <c r="F8" s="1"/>
  <c r="G8" s="1"/>
  <c r="H8" s="1"/>
  <c r="I8" s="1"/>
  <c r="C8"/>
  <c r="Y7"/>
  <c r="N6"/>
  <c r="N3"/>
  <c r="Z94" i="22" l="1"/>
  <c r="D26" i="5"/>
  <c r="L137" i="29"/>
  <c r="Q15" i="5" s="1"/>
  <c r="W78" i="25"/>
  <c r="J119"/>
  <c r="S13" i="28"/>
  <c r="S19"/>
  <c r="S21"/>
  <c r="S24"/>
  <c r="S29"/>
  <c r="S31"/>
  <c r="S33"/>
  <c r="S35"/>
  <c r="S38"/>
  <c r="S43"/>
  <c r="S45"/>
  <c r="S47"/>
  <c r="S50"/>
  <c r="S52"/>
  <c r="S55"/>
  <c r="S60"/>
  <c r="S62"/>
  <c r="S12"/>
  <c r="S14"/>
  <c r="S18"/>
  <c r="S20"/>
  <c r="S22"/>
  <c r="S26"/>
  <c r="S30"/>
  <c r="S32"/>
  <c r="S34"/>
  <c r="S36"/>
  <c r="S42"/>
  <c r="S44"/>
  <c r="S46"/>
  <c r="S48"/>
  <c r="S51"/>
  <c r="S53"/>
  <c r="S57"/>
  <c r="S61"/>
  <c r="S63"/>
  <c r="S11"/>
  <c r="S15"/>
  <c r="W63"/>
  <c r="X104" i="29"/>
  <c r="X103"/>
  <c r="B129"/>
  <c r="O104"/>
  <c r="O103"/>
  <c r="B130"/>
  <c r="B128"/>
  <c r="O101"/>
  <c r="V104"/>
  <c r="V103"/>
  <c r="E130"/>
  <c r="E128"/>
  <c r="R101"/>
  <c r="E129"/>
  <c r="R104"/>
  <c r="R103"/>
  <c r="U104"/>
  <c r="U103"/>
  <c r="T104"/>
  <c r="T103"/>
  <c r="C130"/>
  <c r="C128"/>
  <c r="P101"/>
  <c r="C129"/>
  <c r="P104"/>
  <c r="P103"/>
  <c r="W104"/>
  <c r="W103"/>
  <c r="D129"/>
  <c r="Q104"/>
  <c r="Q103"/>
  <c r="D130"/>
  <c r="D128"/>
  <c r="Q101"/>
  <c r="G73"/>
  <c r="S73"/>
  <c r="S104"/>
  <c r="S103"/>
  <c r="L101"/>
  <c r="L128"/>
  <c r="I15" i="5" s="1"/>
  <c r="E114" i="29"/>
  <c r="S8"/>
  <c r="D129" i="28"/>
  <c r="Q104"/>
  <c r="Q101"/>
  <c r="D130"/>
  <c r="D128"/>
  <c r="Q103"/>
  <c r="S104"/>
  <c r="S101"/>
  <c r="S103"/>
  <c r="L101"/>
  <c r="E130"/>
  <c r="E128"/>
  <c r="R103"/>
  <c r="E129"/>
  <c r="R104"/>
  <c r="R101"/>
  <c r="E114"/>
  <c r="S8"/>
  <c r="W104"/>
  <c r="W101"/>
  <c r="W103"/>
  <c r="G73"/>
  <c r="S73"/>
  <c r="X103"/>
  <c r="X104"/>
  <c r="X101"/>
  <c r="T103"/>
  <c r="T104"/>
  <c r="T101"/>
  <c r="L136"/>
  <c r="O13" i="5" s="1"/>
  <c r="D155" i="28"/>
  <c r="L38"/>
  <c r="G137"/>
  <c r="L35"/>
  <c r="B129"/>
  <c r="O104"/>
  <c r="O101"/>
  <c r="B130"/>
  <c r="B128"/>
  <c r="O103"/>
  <c r="C130"/>
  <c r="C128"/>
  <c r="P103"/>
  <c r="C129"/>
  <c r="P104"/>
  <c r="P101"/>
  <c r="U104"/>
  <c r="U101"/>
  <c r="U103"/>
  <c r="V103"/>
  <c r="V104"/>
  <c r="V101"/>
  <c r="L137"/>
  <c r="Q13" i="5" s="1"/>
  <c r="D148" i="28"/>
  <c r="J55" i="25"/>
  <c r="J122" s="1"/>
  <c r="W77"/>
  <c r="D55"/>
  <c r="E55"/>
  <c r="E63" s="1"/>
  <c r="D119"/>
  <c r="R87"/>
  <c r="R96"/>
  <c r="F55"/>
  <c r="G55"/>
  <c r="T87"/>
  <c r="T96"/>
  <c r="H55"/>
  <c r="I55"/>
  <c r="I63" s="1"/>
  <c r="C35"/>
  <c r="E35"/>
  <c r="I35"/>
  <c r="B35"/>
  <c r="D35"/>
  <c r="F35"/>
  <c r="H35"/>
  <c r="J35"/>
  <c r="G35"/>
  <c r="B154"/>
  <c r="B153"/>
  <c r="B152"/>
  <c r="B151"/>
  <c r="B155" s="1"/>
  <c r="B147"/>
  <c r="B146"/>
  <c r="B145"/>
  <c r="B148" s="1"/>
  <c r="B124"/>
  <c r="B123"/>
  <c r="B122"/>
  <c r="B63"/>
  <c r="D154"/>
  <c r="D153"/>
  <c r="D152"/>
  <c r="D151"/>
  <c r="D147"/>
  <c r="D146"/>
  <c r="D145"/>
  <c r="D124"/>
  <c r="D123"/>
  <c r="D122"/>
  <c r="D63"/>
  <c r="F154"/>
  <c r="F153"/>
  <c r="F152"/>
  <c r="F151"/>
  <c r="F155" s="1"/>
  <c r="F147"/>
  <c r="F146"/>
  <c r="F145"/>
  <c r="F63"/>
  <c r="H154"/>
  <c r="H153"/>
  <c r="H152"/>
  <c r="H151"/>
  <c r="H155" s="1"/>
  <c r="H147"/>
  <c r="H146"/>
  <c r="H145"/>
  <c r="H63"/>
  <c r="J154"/>
  <c r="J153"/>
  <c r="J152"/>
  <c r="J151"/>
  <c r="J147"/>
  <c r="J146"/>
  <c r="J145"/>
  <c r="J63"/>
  <c r="P73"/>
  <c r="D73"/>
  <c r="P8"/>
  <c r="P22"/>
  <c r="C38"/>
  <c r="E38"/>
  <c r="R22" s="1"/>
  <c r="G38"/>
  <c r="T22" s="1"/>
  <c r="I38"/>
  <c r="V22" s="1"/>
  <c r="P48"/>
  <c r="R62"/>
  <c r="C154"/>
  <c r="C153"/>
  <c r="C152"/>
  <c r="C151"/>
  <c r="C155" s="1"/>
  <c r="C147"/>
  <c r="C146"/>
  <c r="C145"/>
  <c r="C148" s="1"/>
  <c r="C124"/>
  <c r="C123"/>
  <c r="C122"/>
  <c r="E154"/>
  <c r="E153"/>
  <c r="E152"/>
  <c r="E151"/>
  <c r="E147"/>
  <c r="E146"/>
  <c r="E145"/>
  <c r="G154"/>
  <c r="G153"/>
  <c r="G152"/>
  <c r="G151"/>
  <c r="G147"/>
  <c r="G146"/>
  <c r="G145"/>
  <c r="I154"/>
  <c r="I153"/>
  <c r="I152"/>
  <c r="I151"/>
  <c r="I147"/>
  <c r="I146"/>
  <c r="I145"/>
  <c r="B38"/>
  <c r="D38"/>
  <c r="Q22" s="1"/>
  <c r="F38"/>
  <c r="S48" s="1"/>
  <c r="H38"/>
  <c r="U26" s="1"/>
  <c r="J38"/>
  <c r="O48"/>
  <c r="W48"/>
  <c r="P53"/>
  <c r="R53"/>
  <c r="T53"/>
  <c r="O62"/>
  <c r="S62"/>
  <c r="C63"/>
  <c r="P63" s="1"/>
  <c r="G63"/>
  <c r="B137"/>
  <c r="P77"/>
  <c r="R77"/>
  <c r="T77"/>
  <c r="V77"/>
  <c r="O81"/>
  <c r="Q81"/>
  <c r="S81"/>
  <c r="U81"/>
  <c r="W81"/>
  <c r="O82"/>
  <c r="Q82"/>
  <c r="S82"/>
  <c r="U82"/>
  <c r="W82"/>
  <c r="O83"/>
  <c r="Q83"/>
  <c r="S83"/>
  <c r="U83"/>
  <c r="W83"/>
  <c r="O84"/>
  <c r="Q84"/>
  <c r="S84"/>
  <c r="U84"/>
  <c r="W84"/>
  <c r="O85"/>
  <c r="Q85"/>
  <c r="S85"/>
  <c r="U85"/>
  <c r="W85"/>
  <c r="O86"/>
  <c r="Q86"/>
  <c r="S86"/>
  <c r="U86"/>
  <c r="W86"/>
  <c r="V87"/>
  <c r="B90"/>
  <c r="D90"/>
  <c r="F90"/>
  <c r="H90"/>
  <c r="J90"/>
  <c r="O92"/>
  <c r="Q92"/>
  <c r="S92"/>
  <c r="U92"/>
  <c r="W92"/>
  <c r="O93"/>
  <c r="Q93"/>
  <c r="S93"/>
  <c r="U93"/>
  <c r="W93"/>
  <c r="O94"/>
  <c r="Q94"/>
  <c r="S94"/>
  <c r="U94"/>
  <c r="W94"/>
  <c r="O95"/>
  <c r="Q95"/>
  <c r="S95"/>
  <c r="U95"/>
  <c r="W95"/>
  <c r="V96"/>
  <c r="P99"/>
  <c r="R99"/>
  <c r="T99"/>
  <c r="V99"/>
  <c r="P100"/>
  <c r="R100"/>
  <c r="T100"/>
  <c r="V100"/>
  <c r="C119"/>
  <c r="C133"/>
  <c r="C134"/>
  <c r="C135"/>
  <c r="C136"/>
  <c r="C137"/>
  <c r="P81"/>
  <c r="R81"/>
  <c r="T81"/>
  <c r="V81"/>
  <c r="P82"/>
  <c r="R82"/>
  <c r="T82"/>
  <c r="V82"/>
  <c r="P83"/>
  <c r="R83"/>
  <c r="T83"/>
  <c r="V83"/>
  <c r="P84"/>
  <c r="R84"/>
  <c r="T84"/>
  <c r="V84"/>
  <c r="P85"/>
  <c r="R85"/>
  <c r="T85"/>
  <c r="V85"/>
  <c r="P86"/>
  <c r="R86"/>
  <c r="T86"/>
  <c r="V86"/>
  <c r="O87"/>
  <c r="Q87"/>
  <c r="S87"/>
  <c r="U87"/>
  <c r="W87"/>
  <c r="C90"/>
  <c r="E90"/>
  <c r="G90"/>
  <c r="I90"/>
  <c r="P92"/>
  <c r="R92"/>
  <c r="T92"/>
  <c r="V92"/>
  <c r="P93"/>
  <c r="R93"/>
  <c r="T93"/>
  <c r="V93"/>
  <c r="P94"/>
  <c r="R94"/>
  <c r="T94"/>
  <c r="V94"/>
  <c r="P95"/>
  <c r="R95"/>
  <c r="T95"/>
  <c r="V95"/>
  <c r="O96"/>
  <c r="Q96"/>
  <c r="S96"/>
  <c r="U96"/>
  <c r="W96"/>
  <c r="O99"/>
  <c r="Q99"/>
  <c r="S99"/>
  <c r="U99"/>
  <c r="W99"/>
  <c r="O100"/>
  <c r="Q100"/>
  <c r="S100"/>
  <c r="U100"/>
  <c r="W100"/>
  <c r="B119"/>
  <c r="B133"/>
  <c r="D133"/>
  <c r="B134"/>
  <c r="D134"/>
  <c r="B135"/>
  <c r="D135"/>
  <c r="B136"/>
  <c r="D136"/>
  <c r="S19" i="5"/>
  <c r="Q19"/>
  <c r="O19"/>
  <c r="S18"/>
  <c r="S17"/>
  <c r="Q17"/>
  <c r="O17"/>
  <c r="S16"/>
  <c r="Q16"/>
  <c r="O16"/>
  <c r="S12"/>
  <c r="O12"/>
  <c r="M12"/>
  <c r="K12"/>
  <c r="G12"/>
  <c r="E12"/>
  <c r="K89" i="22"/>
  <c r="K59"/>
  <c r="J49"/>
  <c r="K34"/>
  <c r="J88"/>
  <c r="J58"/>
  <c r="J50"/>
  <c r="I49"/>
  <c r="J43"/>
  <c r="J45" s="1"/>
  <c r="J112" s="1"/>
  <c r="J14"/>
  <c r="J13"/>
  <c r="I88"/>
  <c r="I58"/>
  <c r="I43"/>
  <c r="I14"/>
  <c r="I13"/>
  <c r="J89"/>
  <c r="J82"/>
  <c r="I82"/>
  <c r="J73"/>
  <c r="I73"/>
  <c r="G88"/>
  <c r="M88" s="1"/>
  <c r="H88"/>
  <c r="H89" s="1"/>
  <c r="I45"/>
  <c r="I112" s="1"/>
  <c r="J34"/>
  <c r="I34"/>
  <c r="J22"/>
  <c r="J26" s="1"/>
  <c r="J35" s="1"/>
  <c r="I22"/>
  <c r="I26" s="1"/>
  <c r="I35" s="1"/>
  <c r="H57"/>
  <c r="H58"/>
  <c r="H43"/>
  <c r="H41"/>
  <c r="J108"/>
  <c r="I108"/>
  <c r="J70"/>
  <c r="I70"/>
  <c r="X70"/>
  <c r="W70"/>
  <c r="X8"/>
  <c r="W8"/>
  <c r="M107"/>
  <c r="A105"/>
  <c r="A103"/>
  <c r="G97"/>
  <c r="E97"/>
  <c r="D97"/>
  <c r="C97"/>
  <c r="B97"/>
  <c r="D92"/>
  <c r="B92"/>
  <c r="D88"/>
  <c r="B88"/>
  <c r="G89"/>
  <c r="F85"/>
  <c r="F89" s="1"/>
  <c r="E85"/>
  <c r="E89" s="1"/>
  <c r="D85"/>
  <c r="C85"/>
  <c r="C89" s="1"/>
  <c r="B85"/>
  <c r="K82"/>
  <c r="H82"/>
  <c r="G82"/>
  <c r="M82" s="1"/>
  <c r="F82"/>
  <c r="E82"/>
  <c r="D82"/>
  <c r="C78"/>
  <c r="C82" s="1"/>
  <c r="B78"/>
  <c r="B82" s="1"/>
  <c r="K73"/>
  <c r="L113" s="1"/>
  <c r="H73"/>
  <c r="G73"/>
  <c r="U73" s="1"/>
  <c r="F73"/>
  <c r="E73"/>
  <c r="D73"/>
  <c r="C73"/>
  <c r="Q73" s="1"/>
  <c r="B73"/>
  <c r="S73"/>
  <c r="S72"/>
  <c r="B70"/>
  <c r="AA69"/>
  <c r="M68"/>
  <c r="A67"/>
  <c r="O67"/>
  <c r="A65"/>
  <c r="O64"/>
  <c r="B58"/>
  <c r="B59" s="1"/>
  <c r="G57"/>
  <c r="F57"/>
  <c r="F59" s="1"/>
  <c r="E57"/>
  <c r="D57"/>
  <c r="D59" s="1"/>
  <c r="C57"/>
  <c r="C59" s="1"/>
  <c r="H54"/>
  <c r="G54"/>
  <c r="M54" s="1"/>
  <c r="F54"/>
  <c r="E54"/>
  <c r="D54"/>
  <c r="C54"/>
  <c r="B54"/>
  <c r="K50"/>
  <c r="H49"/>
  <c r="H50" s="1"/>
  <c r="G49"/>
  <c r="F49"/>
  <c r="F50" s="1"/>
  <c r="E49"/>
  <c r="E50" s="1"/>
  <c r="D49"/>
  <c r="D50" s="1"/>
  <c r="C49"/>
  <c r="C50" s="1"/>
  <c r="B49"/>
  <c r="B47"/>
  <c r="O44"/>
  <c r="K45"/>
  <c r="H45"/>
  <c r="G43"/>
  <c r="F43"/>
  <c r="F45" s="1"/>
  <c r="E43"/>
  <c r="E45" s="1"/>
  <c r="D43"/>
  <c r="D45" s="1"/>
  <c r="C43"/>
  <c r="B43"/>
  <c r="O43"/>
  <c r="C42"/>
  <c r="B42"/>
  <c r="O42"/>
  <c r="O41"/>
  <c r="O40"/>
  <c r="O39"/>
  <c r="H34"/>
  <c r="G31"/>
  <c r="M31" s="1"/>
  <c r="F31"/>
  <c r="E31"/>
  <c r="D31"/>
  <c r="D34" s="1"/>
  <c r="C31"/>
  <c r="C34" s="1"/>
  <c r="B31"/>
  <c r="B34" s="1"/>
  <c r="G29"/>
  <c r="M29" s="1"/>
  <c r="F29"/>
  <c r="F34" s="1"/>
  <c r="K22"/>
  <c r="K26" s="1"/>
  <c r="L130" s="1"/>
  <c r="H22"/>
  <c r="H26" s="1"/>
  <c r="G18"/>
  <c r="F18"/>
  <c r="E18"/>
  <c r="E22" s="1"/>
  <c r="D18"/>
  <c r="C18"/>
  <c r="C22" s="1"/>
  <c r="B18"/>
  <c r="O15"/>
  <c r="O14"/>
  <c r="K15"/>
  <c r="L129" s="1"/>
  <c r="B15"/>
  <c r="O13"/>
  <c r="H14"/>
  <c r="G14"/>
  <c r="M14" s="1"/>
  <c r="F14"/>
  <c r="E14"/>
  <c r="D14"/>
  <c r="C14"/>
  <c r="C15" s="1"/>
  <c r="O12"/>
  <c r="H13"/>
  <c r="G13"/>
  <c r="M13" s="1"/>
  <c r="F13"/>
  <c r="E13"/>
  <c r="D13"/>
  <c r="O11"/>
  <c r="Y8"/>
  <c r="K70" s="1"/>
  <c r="Y70" s="1"/>
  <c r="K108" s="1"/>
  <c r="P8"/>
  <c r="B108" s="1"/>
  <c r="AA7"/>
  <c r="C8"/>
  <c r="D8" s="1"/>
  <c r="E8" s="1"/>
  <c r="F8" s="1"/>
  <c r="G8" s="1"/>
  <c r="O5"/>
  <c r="O2"/>
  <c r="I96" i="19"/>
  <c r="J96"/>
  <c r="J34"/>
  <c r="I34"/>
  <c r="I33"/>
  <c r="I26"/>
  <c r="I20"/>
  <c r="I14" i="18"/>
  <c r="C60" i="17"/>
  <c r="C61"/>
  <c r="D60"/>
  <c r="D61"/>
  <c r="E60"/>
  <c r="F61"/>
  <c r="E61"/>
  <c r="F60"/>
  <c r="G60"/>
  <c r="G61"/>
  <c r="H60"/>
  <c r="H61"/>
  <c r="I60"/>
  <c r="H101" i="16"/>
  <c r="G101"/>
  <c r="F101"/>
  <c r="J46"/>
  <c r="J15"/>
  <c r="I20"/>
  <c r="I60" i="8"/>
  <c r="I61"/>
  <c r="C19" i="5"/>
  <c r="C17"/>
  <c r="C16"/>
  <c r="C12"/>
  <c r="L71" i="19"/>
  <c r="L71" i="18"/>
  <c r="L71" i="17"/>
  <c r="L71" i="16"/>
  <c r="L71" i="8"/>
  <c r="L71" i="2"/>
  <c r="G10" i="5"/>
  <c r="F10"/>
  <c r="E10"/>
  <c r="I10" s="1"/>
  <c r="K10" s="1"/>
  <c r="M10" s="1"/>
  <c r="O10" s="1"/>
  <c r="Q10" s="1"/>
  <c r="S10" s="1"/>
  <c r="D10"/>
  <c r="R10" s="1"/>
  <c r="I60" i="19"/>
  <c r="I52"/>
  <c r="I46"/>
  <c r="I47"/>
  <c r="I14"/>
  <c r="I13"/>
  <c r="I93"/>
  <c r="I83"/>
  <c r="I52" i="18"/>
  <c r="I12"/>
  <c r="I11"/>
  <c r="I15" i="22" l="1"/>
  <c r="J26" i="5"/>
  <c r="Q72" i="22"/>
  <c r="U72"/>
  <c r="G22"/>
  <c r="M22" s="1"/>
  <c r="M18"/>
  <c r="N26" i="5"/>
  <c r="G45" i="22"/>
  <c r="M45" s="1"/>
  <c r="M43"/>
  <c r="G50"/>
  <c r="M50" s="1"/>
  <c r="M49"/>
  <c r="G59"/>
  <c r="M59" s="1"/>
  <c r="M57"/>
  <c r="U80"/>
  <c r="M73"/>
  <c r="B26" i="5"/>
  <c r="U89" i="22"/>
  <c r="M89"/>
  <c r="Q89"/>
  <c r="I36"/>
  <c r="W57" s="1"/>
  <c r="L130" i="29"/>
  <c r="M15" i="5" s="1"/>
  <c r="L129" i="29"/>
  <c r="K15" i="5" s="1"/>
  <c r="W62" i="25"/>
  <c r="F114" i="29"/>
  <c r="T8"/>
  <c r="T73"/>
  <c r="H73"/>
  <c r="F114" i="28"/>
  <c r="T8"/>
  <c r="L128"/>
  <c r="I13" i="5" s="1"/>
  <c r="L129" i="28"/>
  <c r="K13" i="5" s="1"/>
  <c r="T73" i="28"/>
  <c r="H73"/>
  <c r="L130"/>
  <c r="M13" i="5" s="1"/>
  <c r="Q78" i="22"/>
  <c r="Q80"/>
  <c r="H59"/>
  <c r="X82"/>
  <c r="Q8"/>
  <c r="C108" s="1"/>
  <c r="D15"/>
  <c r="F15"/>
  <c r="H15"/>
  <c r="H111" s="1"/>
  <c r="E34"/>
  <c r="B45"/>
  <c r="S78"/>
  <c r="D89"/>
  <c r="W35"/>
  <c r="J59"/>
  <c r="W82"/>
  <c r="X89"/>
  <c r="W13"/>
  <c r="W43"/>
  <c r="W88"/>
  <c r="J15"/>
  <c r="J36" s="1"/>
  <c r="W49"/>
  <c r="X88"/>
  <c r="F127"/>
  <c r="F128"/>
  <c r="H127"/>
  <c r="H128"/>
  <c r="K127"/>
  <c r="K130"/>
  <c r="K128"/>
  <c r="J83"/>
  <c r="J128"/>
  <c r="K113"/>
  <c r="J127"/>
  <c r="X72"/>
  <c r="X73"/>
  <c r="X76"/>
  <c r="X77"/>
  <c r="X78"/>
  <c r="X79"/>
  <c r="X80"/>
  <c r="X81"/>
  <c r="X86"/>
  <c r="X87"/>
  <c r="X92"/>
  <c r="X93"/>
  <c r="G128"/>
  <c r="G127"/>
  <c r="I83"/>
  <c r="C45"/>
  <c r="U78"/>
  <c r="Q82"/>
  <c r="S80"/>
  <c r="B89"/>
  <c r="I50"/>
  <c r="W50" s="1"/>
  <c r="J117"/>
  <c r="I89"/>
  <c r="W89" s="1"/>
  <c r="I59"/>
  <c r="W59" s="1"/>
  <c r="W11"/>
  <c r="W12"/>
  <c r="W15"/>
  <c r="W18"/>
  <c r="W19"/>
  <c r="W20"/>
  <c r="W21"/>
  <c r="W22"/>
  <c r="W24"/>
  <c r="W26"/>
  <c r="W29"/>
  <c r="W30"/>
  <c r="W31"/>
  <c r="W32"/>
  <c r="W33"/>
  <c r="W36"/>
  <c r="W39"/>
  <c r="W40"/>
  <c r="W41"/>
  <c r="W42"/>
  <c r="W44"/>
  <c r="W45"/>
  <c r="W47"/>
  <c r="W48"/>
  <c r="W54"/>
  <c r="W72"/>
  <c r="W73"/>
  <c r="W76"/>
  <c r="W77"/>
  <c r="W78"/>
  <c r="W79"/>
  <c r="W80"/>
  <c r="W81"/>
  <c r="W85"/>
  <c r="W86"/>
  <c r="W87"/>
  <c r="W92"/>
  <c r="W93"/>
  <c r="J155" i="25"/>
  <c r="J148"/>
  <c r="E155"/>
  <c r="E148"/>
  <c r="D137"/>
  <c r="Q62"/>
  <c r="Q48"/>
  <c r="R48"/>
  <c r="G155"/>
  <c r="F148"/>
  <c r="G148"/>
  <c r="T63"/>
  <c r="T48"/>
  <c r="H148"/>
  <c r="I148"/>
  <c r="I155"/>
  <c r="U62"/>
  <c r="U48"/>
  <c r="V53"/>
  <c r="V62"/>
  <c r="V48"/>
  <c r="G98"/>
  <c r="P88"/>
  <c r="C98"/>
  <c r="J98"/>
  <c r="J125" s="1"/>
  <c r="F98"/>
  <c r="B98"/>
  <c r="O88"/>
  <c r="W57"/>
  <c r="W52"/>
  <c r="W51"/>
  <c r="W50"/>
  <c r="W47"/>
  <c r="W46"/>
  <c r="W45"/>
  <c r="W44"/>
  <c r="W43"/>
  <c r="W42"/>
  <c r="W38"/>
  <c r="W36"/>
  <c r="W34"/>
  <c r="W24"/>
  <c r="W21"/>
  <c r="W20"/>
  <c r="W19"/>
  <c r="W18"/>
  <c r="W15"/>
  <c r="W61"/>
  <c r="W60"/>
  <c r="W53"/>
  <c r="W33"/>
  <c r="W32"/>
  <c r="W31"/>
  <c r="W30"/>
  <c r="W29"/>
  <c r="W14"/>
  <c r="W13"/>
  <c r="W12"/>
  <c r="W11"/>
  <c r="S57"/>
  <c r="S52"/>
  <c r="S51"/>
  <c r="S50"/>
  <c r="S47"/>
  <c r="S46"/>
  <c r="S45"/>
  <c r="S44"/>
  <c r="S43"/>
  <c r="S42"/>
  <c r="S38"/>
  <c r="S36"/>
  <c r="S34"/>
  <c r="S24"/>
  <c r="S21"/>
  <c r="S20"/>
  <c r="S19"/>
  <c r="S18"/>
  <c r="S15"/>
  <c r="S61"/>
  <c r="S60"/>
  <c r="S53"/>
  <c r="S33"/>
  <c r="S32"/>
  <c r="S31"/>
  <c r="S30"/>
  <c r="S29"/>
  <c r="S14"/>
  <c r="S13"/>
  <c r="S12"/>
  <c r="S11"/>
  <c r="O57"/>
  <c r="O52"/>
  <c r="O51"/>
  <c r="O50"/>
  <c r="O47"/>
  <c r="O46"/>
  <c r="O45"/>
  <c r="O44"/>
  <c r="O43"/>
  <c r="O42"/>
  <c r="O38"/>
  <c r="O36"/>
  <c r="O34"/>
  <c r="O24"/>
  <c r="O21"/>
  <c r="O20"/>
  <c r="O19"/>
  <c r="O18"/>
  <c r="O15"/>
  <c r="O61"/>
  <c r="O60"/>
  <c r="O53"/>
  <c r="O33"/>
  <c r="O32"/>
  <c r="O31"/>
  <c r="O30"/>
  <c r="O29"/>
  <c r="O14"/>
  <c r="O13"/>
  <c r="O12"/>
  <c r="O11"/>
  <c r="T61"/>
  <c r="T60"/>
  <c r="T33"/>
  <c r="T32"/>
  <c r="T31"/>
  <c r="T30"/>
  <c r="T29"/>
  <c r="T14"/>
  <c r="T13"/>
  <c r="T12"/>
  <c r="T11"/>
  <c r="T57"/>
  <c r="T52"/>
  <c r="T51"/>
  <c r="T50"/>
  <c r="T47"/>
  <c r="T46"/>
  <c r="T45"/>
  <c r="T44"/>
  <c r="T43"/>
  <c r="T42"/>
  <c r="T38"/>
  <c r="T36"/>
  <c r="T24"/>
  <c r="T21"/>
  <c r="T20"/>
  <c r="T19"/>
  <c r="T18"/>
  <c r="P61"/>
  <c r="P60"/>
  <c r="P33"/>
  <c r="P32"/>
  <c r="P31"/>
  <c r="P30"/>
  <c r="P29"/>
  <c r="P14"/>
  <c r="P13"/>
  <c r="P12"/>
  <c r="P11"/>
  <c r="P57"/>
  <c r="P52"/>
  <c r="P51"/>
  <c r="P50"/>
  <c r="P47"/>
  <c r="P46"/>
  <c r="P45"/>
  <c r="P44"/>
  <c r="P43"/>
  <c r="P42"/>
  <c r="P38"/>
  <c r="P36"/>
  <c r="P24"/>
  <c r="P21"/>
  <c r="P20"/>
  <c r="P19"/>
  <c r="P18"/>
  <c r="E73"/>
  <c r="Q73"/>
  <c r="D155"/>
  <c r="Q35"/>
  <c r="U22"/>
  <c r="T15"/>
  <c r="P15"/>
  <c r="W63"/>
  <c r="S63"/>
  <c r="O63"/>
  <c r="U55"/>
  <c r="O55"/>
  <c r="P34"/>
  <c r="T35"/>
  <c r="T62"/>
  <c r="P62"/>
  <c r="T55"/>
  <c r="P55"/>
  <c r="W26"/>
  <c r="S26"/>
  <c r="O35"/>
  <c r="V35"/>
  <c r="R35"/>
  <c r="P35"/>
  <c r="I98"/>
  <c r="R88"/>
  <c r="E98"/>
  <c r="H98"/>
  <c r="D98"/>
  <c r="Q88"/>
  <c r="U57"/>
  <c r="U52"/>
  <c r="U51"/>
  <c r="U50"/>
  <c r="U47"/>
  <c r="U46"/>
  <c r="U45"/>
  <c r="U44"/>
  <c r="U43"/>
  <c r="U42"/>
  <c r="U38"/>
  <c r="U36"/>
  <c r="U34"/>
  <c r="U24"/>
  <c r="U21"/>
  <c r="U20"/>
  <c r="U19"/>
  <c r="U18"/>
  <c r="U15"/>
  <c r="U61"/>
  <c r="U60"/>
  <c r="U53"/>
  <c r="U33"/>
  <c r="U32"/>
  <c r="U31"/>
  <c r="U30"/>
  <c r="U29"/>
  <c r="U14"/>
  <c r="U13"/>
  <c r="U12"/>
  <c r="U11"/>
  <c r="Q57"/>
  <c r="Q52"/>
  <c r="Q51"/>
  <c r="Q50"/>
  <c r="Q47"/>
  <c r="Q46"/>
  <c r="Q45"/>
  <c r="Q44"/>
  <c r="Q43"/>
  <c r="Q42"/>
  <c r="Q38"/>
  <c r="Q36"/>
  <c r="Q34"/>
  <c r="Q24"/>
  <c r="Q21"/>
  <c r="Q20"/>
  <c r="Q19"/>
  <c r="Q18"/>
  <c r="Q15"/>
  <c r="Q61"/>
  <c r="Q60"/>
  <c r="Q53"/>
  <c r="Q33"/>
  <c r="Q32"/>
  <c r="Q31"/>
  <c r="Q30"/>
  <c r="Q29"/>
  <c r="Q14"/>
  <c r="Q13"/>
  <c r="Q12"/>
  <c r="Q11"/>
  <c r="V61"/>
  <c r="V60"/>
  <c r="V33"/>
  <c r="V32"/>
  <c r="V31"/>
  <c r="V30"/>
  <c r="V29"/>
  <c r="V14"/>
  <c r="V13"/>
  <c r="V12"/>
  <c r="V11"/>
  <c r="V57"/>
  <c r="V52"/>
  <c r="V51"/>
  <c r="V50"/>
  <c r="V47"/>
  <c r="V46"/>
  <c r="V45"/>
  <c r="V44"/>
  <c r="V43"/>
  <c r="V42"/>
  <c r="V38"/>
  <c r="V36"/>
  <c r="V24"/>
  <c r="V21"/>
  <c r="V20"/>
  <c r="V19"/>
  <c r="V18"/>
  <c r="R61"/>
  <c r="R60"/>
  <c r="R33"/>
  <c r="R32"/>
  <c r="R31"/>
  <c r="R30"/>
  <c r="R29"/>
  <c r="R14"/>
  <c r="R13"/>
  <c r="R12"/>
  <c r="R11"/>
  <c r="R57"/>
  <c r="R52"/>
  <c r="R51"/>
  <c r="R50"/>
  <c r="R47"/>
  <c r="R46"/>
  <c r="R45"/>
  <c r="R44"/>
  <c r="R43"/>
  <c r="R42"/>
  <c r="R38"/>
  <c r="R36"/>
  <c r="R24"/>
  <c r="R21"/>
  <c r="R20"/>
  <c r="R19"/>
  <c r="R18"/>
  <c r="C114"/>
  <c r="Q8"/>
  <c r="Q63"/>
  <c r="D148"/>
  <c r="W22"/>
  <c r="S22"/>
  <c r="O22"/>
  <c r="V34"/>
  <c r="V15"/>
  <c r="R15"/>
  <c r="U63"/>
  <c r="W55"/>
  <c r="S55"/>
  <c r="R34"/>
  <c r="Q55"/>
  <c r="T26"/>
  <c r="V63"/>
  <c r="R63"/>
  <c r="V55"/>
  <c r="R55"/>
  <c r="T34"/>
  <c r="W35"/>
  <c r="U35"/>
  <c r="S35"/>
  <c r="Q26"/>
  <c r="O26"/>
  <c r="V26"/>
  <c r="R26"/>
  <c r="P26"/>
  <c r="J137" i="22"/>
  <c r="J136" s="1"/>
  <c r="J118"/>
  <c r="J111"/>
  <c r="J113"/>
  <c r="I117"/>
  <c r="I137"/>
  <c r="I134" s="1"/>
  <c r="I118"/>
  <c r="I111"/>
  <c r="J52"/>
  <c r="I52"/>
  <c r="C111"/>
  <c r="D111"/>
  <c r="H36"/>
  <c r="V34" s="1"/>
  <c r="B22"/>
  <c r="D22"/>
  <c r="F22"/>
  <c r="H35"/>
  <c r="V26"/>
  <c r="C112"/>
  <c r="E112"/>
  <c r="G112"/>
  <c r="C52"/>
  <c r="C116" s="1"/>
  <c r="E52"/>
  <c r="G52"/>
  <c r="R8"/>
  <c r="E15"/>
  <c r="G15"/>
  <c r="B111"/>
  <c r="F111"/>
  <c r="K111"/>
  <c r="K36"/>
  <c r="C26"/>
  <c r="C118" s="1"/>
  <c r="E26"/>
  <c r="G26"/>
  <c r="K35"/>
  <c r="B112"/>
  <c r="D112"/>
  <c r="F112"/>
  <c r="H112"/>
  <c r="V45"/>
  <c r="K112"/>
  <c r="D52"/>
  <c r="D116" s="1"/>
  <c r="F52"/>
  <c r="F60" s="1"/>
  <c r="H52"/>
  <c r="V52" s="1"/>
  <c r="V50"/>
  <c r="K52"/>
  <c r="Y52" s="1"/>
  <c r="C117"/>
  <c r="C60"/>
  <c r="G117"/>
  <c r="G60"/>
  <c r="M60" s="1"/>
  <c r="V14"/>
  <c r="Y14"/>
  <c r="B137"/>
  <c r="B136" s="1"/>
  <c r="C137"/>
  <c r="C136" s="1"/>
  <c r="G137"/>
  <c r="D117"/>
  <c r="D60"/>
  <c r="F117"/>
  <c r="F116"/>
  <c r="H118"/>
  <c r="H117"/>
  <c r="K137"/>
  <c r="K134" s="1"/>
  <c r="K118"/>
  <c r="K117"/>
  <c r="B134"/>
  <c r="C70"/>
  <c r="P70"/>
  <c r="B129"/>
  <c r="B128"/>
  <c r="B127"/>
  <c r="B113"/>
  <c r="P92"/>
  <c r="P88"/>
  <c r="P87"/>
  <c r="B83"/>
  <c r="P82"/>
  <c r="P81"/>
  <c r="P79"/>
  <c r="C113"/>
  <c r="P93"/>
  <c r="P86"/>
  <c r="P85"/>
  <c r="P80"/>
  <c r="P78"/>
  <c r="P72"/>
  <c r="D129"/>
  <c r="D128"/>
  <c r="D127"/>
  <c r="R92"/>
  <c r="R88"/>
  <c r="R87"/>
  <c r="D83"/>
  <c r="R82"/>
  <c r="R81"/>
  <c r="R79"/>
  <c r="E113"/>
  <c r="R93"/>
  <c r="R86"/>
  <c r="R85"/>
  <c r="R80"/>
  <c r="R78"/>
  <c r="R72"/>
  <c r="T92"/>
  <c r="T88"/>
  <c r="T87"/>
  <c r="F83"/>
  <c r="T82"/>
  <c r="T81"/>
  <c r="T79"/>
  <c r="G113"/>
  <c r="T93"/>
  <c r="T86"/>
  <c r="T85"/>
  <c r="T80"/>
  <c r="T78"/>
  <c r="T72"/>
  <c r="V92"/>
  <c r="V88"/>
  <c r="V87"/>
  <c r="H83"/>
  <c r="V82"/>
  <c r="V81"/>
  <c r="V79"/>
  <c r="V93"/>
  <c r="V86"/>
  <c r="V85"/>
  <c r="V80"/>
  <c r="V78"/>
  <c r="V72"/>
  <c r="Y92"/>
  <c r="Y88"/>
  <c r="Y87"/>
  <c r="K83"/>
  <c r="Y82"/>
  <c r="Y81"/>
  <c r="Y79"/>
  <c r="Y93"/>
  <c r="Y86"/>
  <c r="Y85"/>
  <c r="Y80"/>
  <c r="Y78"/>
  <c r="Y76"/>
  <c r="Y72"/>
  <c r="V22"/>
  <c r="Y22"/>
  <c r="V31"/>
  <c r="G34"/>
  <c r="M34" s="1"/>
  <c r="V59"/>
  <c r="E59"/>
  <c r="R76"/>
  <c r="R77"/>
  <c r="V77"/>
  <c r="P89"/>
  <c r="R89"/>
  <c r="T89"/>
  <c r="V89"/>
  <c r="D137"/>
  <c r="D136" s="1"/>
  <c r="F137"/>
  <c r="F136" s="1"/>
  <c r="H137"/>
  <c r="H136" s="1"/>
  <c r="S89"/>
  <c r="B50"/>
  <c r="B135"/>
  <c r="P73"/>
  <c r="R73"/>
  <c r="T73"/>
  <c r="V73"/>
  <c r="Y73"/>
  <c r="D113"/>
  <c r="F113"/>
  <c r="H113"/>
  <c r="P76"/>
  <c r="T76"/>
  <c r="P77"/>
  <c r="T77"/>
  <c r="Y77"/>
  <c r="Y89"/>
  <c r="Q76"/>
  <c r="S76"/>
  <c r="U76"/>
  <c r="Q77"/>
  <c r="S77"/>
  <c r="U77"/>
  <c r="Q79"/>
  <c r="S79"/>
  <c r="U79"/>
  <c r="Q81"/>
  <c r="S81"/>
  <c r="U81"/>
  <c r="S82"/>
  <c r="U82"/>
  <c r="C83"/>
  <c r="E83"/>
  <c r="G83"/>
  <c r="M83" s="1"/>
  <c r="Q87"/>
  <c r="S87"/>
  <c r="U87"/>
  <c r="Q88"/>
  <c r="S88"/>
  <c r="U88"/>
  <c r="Q92"/>
  <c r="S92"/>
  <c r="U92"/>
  <c r="C127"/>
  <c r="E127"/>
  <c r="C128"/>
  <c r="E128"/>
  <c r="C129"/>
  <c r="E129"/>
  <c r="Q85"/>
  <c r="S85"/>
  <c r="U85"/>
  <c r="Q86"/>
  <c r="S86"/>
  <c r="U86"/>
  <c r="Q93"/>
  <c r="S93"/>
  <c r="U93"/>
  <c r="H10" i="5"/>
  <c r="N10" s="1"/>
  <c r="J10"/>
  <c r="P10" s="1"/>
  <c r="L10"/>
  <c r="M128" i="22" l="1"/>
  <c r="W34"/>
  <c r="W58"/>
  <c r="G136"/>
  <c r="M137"/>
  <c r="Y26"/>
  <c r="L131"/>
  <c r="H129"/>
  <c r="M15"/>
  <c r="L26" i="5"/>
  <c r="M113" i="22"/>
  <c r="M117"/>
  <c r="M112"/>
  <c r="H130"/>
  <c r="M26"/>
  <c r="G116"/>
  <c r="M52"/>
  <c r="M127"/>
  <c r="W14"/>
  <c r="I73" i="29"/>
  <c r="V73" s="1"/>
  <c r="U73"/>
  <c r="G114"/>
  <c r="U8"/>
  <c r="I73" i="28"/>
  <c r="V73" s="1"/>
  <c r="U73"/>
  <c r="G114"/>
  <c r="U8"/>
  <c r="X34" i="22"/>
  <c r="X59"/>
  <c r="X22"/>
  <c r="X45"/>
  <c r="X49"/>
  <c r="X14"/>
  <c r="X26"/>
  <c r="X58"/>
  <c r="K60"/>
  <c r="H60"/>
  <c r="V60" s="1"/>
  <c r="G118"/>
  <c r="M118" s="1"/>
  <c r="V15"/>
  <c r="K129"/>
  <c r="J116"/>
  <c r="X52"/>
  <c r="I91"/>
  <c r="W83"/>
  <c r="J91"/>
  <c r="X83"/>
  <c r="C26" i="5"/>
  <c r="G129" i="22"/>
  <c r="M129" s="1"/>
  <c r="X50"/>
  <c r="X15"/>
  <c r="X43"/>
  <c r="I116"/>
  <c r="W52"/>
  <c r="X57"/>
  <c r="X54"/>
  <c r="X48"/>
  <c r="X47"/>
  <c r="X44"/>
  <c r="X42"/>
  <c r="X41"/>
  <c r="X40"/>
  <c r="X39"/>
  <c r="X36"/>
  <c r="X33"/>
  <c r="X32"/>
  <c r="X31"/>
  <c r="X30"/>
  <c r="X29"/>
  <c r="X24"/>
  <c r="X21"/>
  <c r="X20"/>
  <c r="X19"/>
  <c r="X18"/>
  <c r="X12"/>
  <c r="X11"/>
  <c r="K131"/>
  <c r="F129"/>
  <c r="X13"/>
  <c r="X35"/>
  <c r="D114" i="25"/>
  <c r="R8"/>
  <c r="E101"/>
  <c r="R98"/>
  <c r="I101"/>
  <c r="V98"/>
  <c r="B125"/>
  <c r="B101"/>
  <c r="O98"/>
  <c r="F101"/>
  <c r="S98"/>
  <c r="J101"/>
  <c r="W98"/>
  <c r="D125"/>
  <c r="D101"/>
  <c r="Q98"/>
  <c r="H101"/>
  <c r="U98"/>
  <c r="R73"/>
  <c r="F73"/>
  <c r="C125"/>
  <c r="C101"/>
  <c r="P98"/>
  <c r="G101"/>
  <c r="T98"/>
  <c r="J135" i="22"/>
  <c r="J134"/>
  <c r="J60"/>
  <c r="X60" s="1"/>
  <c r="I136"/>
  <c r="I135"/>
  <c r="I60"/>
  <c r="W60" s="1"/>
  <c r="Y60"/>
  <c r="Y35"/>
  <c r="G91"/>
  <c r="M91" s="1"/>
  <c r="U83"/>
  <c r="C91"/>
  <c r="Q83"/>
  <c r="B52"/>
  <c r="K91"/>
  <c r="K119" s="1"/>
  <c r="Y83"/>
  <c r="F91"/>
  <c r="T83"/>
  <c r="D70"/>
  <c r="Q70"/>
  <c r="K136"/>
  <c r="K135"/>
  <c r="G35"/>
  <c r="M35" s="1"/>
  <c r="E35"/>
  <c r="G111"/>
  <c r="M111" s="1"/>
  <c r="G36"/>
  <c r="E111"/>
  <c r="E36"/>
  <c r="D108"/>
  <c r="S8"/>
  <c r="H135"/>
  <c r="F135"/>
  <c r="D135"/>
  <c r="Y59"/>
  <c r="K116"/>
  <c r="H116"/>
  <c r="F134"/>
  <c r="G135"/>
  <c r="C135"/>
  <c r="Y34"/>
  <c r="Y15"/>
  <c r="Y50"/>
  <c r="Y45"/>
  <c r="U52"/>
  <c r="V35"/>
  <c r="E91"/>
  <c r="S83"/>
  <c r="E118"/>
  <c r="E117"/>
  <c r="E116"/>
  <c r="S59"/>
  <c r="E60"/>
  <c r="H91"/>
  <c r="V83"/>
  <c r="D91"/>
  <c r="R83"/>
  <c r="B91"/>
  <c r="P83"/>
  <c r="C35"/>
  <c r="Y57"/>
  <c r="Y54"/>
  <c r="Y49"/>
  <c r="Y44"/>
  <c r="Y36"/>
  <c r="Y33"/>
  <c r="Y24"/>
  <c r="Y18"/>
  <c r="Y11"/>
  <c r="Y58"/>
  <c r="Y48"/>
  <c r="Y47"/>
  <c r="Y43"/>
  <c r="Y42"/>
  <c r="Y41"/>
  <c r="Y40"/>
  <c r="Y39"/>
  <c r="Y32"/>
  <c r="Y31"/>
  <c r="Y30"/>
  <c r="Y29"/>
  <c r="Y21"/>
  <c r="Y20"/>
  <c r="Y19"/>
  <c r="Y12"/>
  <c r="Y13"/>
  <c r="S52"/>
  <c r="F26"/>
  <c r="G130" s="1"/>
  <c r="D26"/>
  <c r="B26"/>
  <c r="V57"/>
  <c r="V54"/>
  <c r="V49"/>
  <c r="V44"/>
  <c r="V36"/>
  <c r="V33"/>
  <c r="V24"/>
  <c r="V18"/>
  <c r="V11"/>
  <c r="V58"/>
  <c r="V48"/>
  <c r="V47"/>
  <c r="V43"/>
  <c r="V42"/>
  <c r="V41"/>
  <c r="V40"/>
  <c r="V39"/>
  <c r="V32"/>
  <c r="V30"/>
  <c r="V29"/>
  <c r="V21"/>
  <c r="V20"/>
  <c r="V19"/>
  <c r="V13"/>
  <c r="V12"/>
  <c r="U34"/>
  <c r="B117"/>
  <c r="H134"/>
  <c r="D134"/>
  <c r="E137"/>
  <c r="U60"/>
  <c r="G134"/>
  <c r="M134" s="1"/>
  <c r="C134"/>
  <c r="C36"/>
  <c r="Q60" s="1"/>
  <c r="I52" i="17"/>
  <c r="I46"/>
  <c r="I47"/>
  <c r="I33"/>
  <c r="I31"/>
  <c r="I14"/>
  <c r="I13"/>
  <c r="I12"/>
  <c r="I11"/>
  <c r="I95"/>
  <c r="I75"/>
  <c r="O8"/>
  <c r="P8" s="1"/>
  <c r="I81" i="16"/>
  <c r="I52"/>
  <c r="I46"/>
  <c r="I14"/>
  <c r="I13"/>
  <c r="H26" i="5" l="1"/>
  <c r="M136" i="22"/>
  <c r="H131"/>
  <c r="M36"/>
  <c r="P26" i="5"/>
  <c r="M135" i="22"/>
  <c r="M116"/>
  <c r="H114" i="29"/>
  <c r="V8"/>
  <c r="I114" s="1"/>
  <c r="H114" i="28"/>
  <c r="V8"/>
  <c r="I114" s="1"/>
  <c r="U15" i="22"/>
  <c r="M130"/>
  <c r="J94"/>
  <c r="X91"/>
  <c r="J119"/>
  <c r="I94"/>
  <c r="W91"/>
  <c r="I119"/>
  <c r="F130"/>
  <c r="U35"/>
  <c r="T104" i="25"/>
  <c r="T103"/>
  <c r="T101"/>
  <c r="U103"/>
  <c r="U101"/>
  <c r="U104"/>
  <c r="D130"/>
  <c r="D129"/>
  <c r="D128"/>
  <c r="Q103"/>
  <c r="Q101"/>
  <c r="Q104"/>
  <c r="S103"/>
  <c r="S101"/>
  <c r="S104"/>
  <c r="V104"/>
  <c r="V103"/>
  <c r="V101"/>
  <c r="P104"/>
  <c r="C130"/>
  <c r="C129"/>
  <c r="C128"/>
  <c r="P103"/>
  <c r="P101"/>
  <c r="S73"/>
  <c r="G73"/>
  <c r="W103"/>
  <c r="W101"/>
  <c r="W104"/>
  <c r="B130"/>
  <c r="B129"/>
  <c r="B128"/>
  <c r="O103"/>
  <c r="O101"/>
  <c r="O104"/>
  <c r="R104"/>
  <c r="R103"/>
  <c r="R101"/>
  <c r="E114"/>
  <c r="S8"/>
  <c r="E136" i="22"/>
  <c r="E135"/>
  <c r="B35"/>
  <c r="B36"/>
  <c r="P26" s="1"/>
  <c r="B130"/>
  <c r="B118"/>
  <c r="C130"/>
  <c r="D35"/>
  <c r="D36"/>
  <c r="R26" s="1"/>
  <c r="E130"/>
  <c r="D118"/>
  <c r="D130"/>
  <c r="F35"/>
  <c r="F36"/>
  <c r="F118"/>
  <c r="B119"/>
  <c r="B94"/>
  <c r="P91"/>
  <c r="D119"/>
  <c r="D94"/>
  <c r="R91"/>
  <c r="H119"/>
  <c r="H94"/>
  <c r="V91"/>
  <c r="E119"/>
  <c r="E94"/>
  <c r="S91"/>
  <c r="E108"/>
  <c r="T8"/>
  <c r="S58"/>
  <c r="S48"/>
  <c r="S47"/>
  <c r="S43"/>
  <c r="S42"/>
  <c r="S41"/>
  <c r="S40"/>
  <c r="S39"/>
  <c r="S32"/>
  <c r="S30"/>
  <c r="S29"/>
  <c r="S21"/>
  <c r="S20"/>
  <c r="S12"/>
  <c r="S57"/>
  <c r="S54"/>
  <c r="S49"/>
  <c r="S44"/>
  <c r="S36"/>
  <c r="S33"/>
  <c r="S24"/>
  <c r="S18"/>
  <c r="S11"/>
  <c r="S50"/>
  <c r="S13"/>
  <c r="S31"/>
  <c r="S34"/>
  <c r="S14"/>
  <c r="S45"/>
  <c r="S22"/>
  <c r="U58"/>
  <c r="U48"/>
  <c r="U47"/>
  <c r="U43"/>
  <c r="U42"/>
  <c r="U41"/>
  <c r="U40"/>
  <c r="U39"/>
  <c r="U32"/>
  <c r="U30"/>
  <c r="U21"/>
  <c r="U20"/>
  <c r="U19"/>
  <c r="U12"/>
  <c r="U57"/>
  <c r="U54"/>
  <c r="U49"/>
  <c r="U44"/>
  <c r="U36"/>
  <c r="U33"/>
  <c r="U24"/>
  <c r="U18"/>
  <c r="U14"/>
  <c r="U11"/>
  <c r="U50"/>
  <c r="U13"/>
  <c r="U22"/>
  <c r="U45"/>
  <c r="U29"/>
  <c r="U59"/>
  <c r="U31"/>
  <c r="Q52"/>
  <c r="Q35"/>
  <c r="S15"/>
  <c r="S26"/>
  <c r="U26"/>
  <c r="Q58"/>
  <c r="Q48"/>
  <c r="Q47"/>
  <c r="Q43"/>
  <c r="Q42"/>
  <c r="Q41"/>
  <c r="Q40"/>
  <c r="Q39"/>
  <c r="Q32"/>
  <c r="Q30"/>
  <c r="Q29"/>
  <c r="Q21"/>
  <c r="Q20"/>
  <c r="Q13"/>
  <c r="Q12"/>
  <c r="Q57"/>
  <c r="Q54"/>
  <c r="Q49"/>
  <c r="Q44"/>
  <c r="Q36"/>
  <c r="Q33"/>
  <c r="Q24"/>
  <c r="Q19"/>
  <c r="Q18"/>
  <c r="Q14"/>
  <c r="Q11"/>
  <c r="Q45"/>
  <c r="Q34"/>
  <c r="D131"/>
  <c r="Q15"/>
  <c r="Q50"/>
  <c r="Q22"/>
  <c r="Q59"/>
  <c r="Q31"/>
  <c r="S60"/>
  <c r="S35"/>
  <c r="E70"/>
  <c r="R70"/>
  <c r="F119"/>
  <c r="F94"/>
  <c r="T91"/>
  <c r="K94"/>
  <c r="Y91"/>
  <c r="P52"/>
  <c r="B60"/>
  <c r="P60" s="1"/>
  <c r="B116"/>
  <c r="C119"/>
  <c r="C94"/>
  <c r="Q91"/>
  <c r="G119"/>
  <c r="M119" s="1"/>
  <c r="G94"/>
  <c r="M94" s="1"/>
  <c r="U91"/>
  <c r="Q26"/>
  <c r="E134"/>
  <c r="S26" i="5" s="1"/>
  <c r="O26" l="1"/>
  <c r="T26" i="22"/>
  <c r="G131"/>
  <c r="M131" s="1"/>
  <c r="X94"/>
  <c r="W94"/>
  <c r="E26" i="5"/>
  <c r="F131" i="22"/>
  <c r="F114" i="25"/>
  <c r="T8"/>
  <c r="T73"/>
  <c r="H73"/>
  <c r="Q96" i="22"/>
  <c r="C124"/>
  <c r="C123"/>
  <c r="C122"/>
  <c r="Q97"/>
  <c r="Q94"/>
  <c r="Y94"/>
  <c r="S70"/>
  <c r="F70"/>
  <c r="V94"/>
  <c r="B124"/>
  <c r="B123"/>
  <c r="B122"/>
  <c r="P97"/>
  <c r="P94"/>
  <c r="P96"/>
  <c r="G124"/>
  <c r="M124" s="1"/>
  <c r="M123"/>
  <c r="M122"/>
  <c r="U94"/>
  <c r="F124"/>
  <c r="F123"/>
  <c r="F122"/>
  <c r="T97"/>
  <c r="T94"/>
  <c r="T96"/>
  <c r="F108"/>
  <c r="U8"/>
  <c r="S96"/>
  <c r="E124"/>
  <c r="E123"/>
  <c r="E122"/>
  <c r="S97"/>
  <c r="S94"/>
  <c r="D124"/>
  <c r="D123"/>
  <c r="D122"/>
  <c r="R97"/>
  <c r="R94"/>
  <c r="R96"/>
  <c r="T57"/>
  <c r="T54"/>
  <c r="T49"/>
  <c r="T44"/>
  <c r="T36"/>
  <c r="T33"/>
  <c r="T24"/>
  <c r="T11"/>
  <c r="T58"/>
  <c r="T48"/>
  <c r="T47"/>
  <c r="T43"/>
  <c r="T42"/>
  <c r="T41"/>
  <c r="T40"/>
  <c r="T39"/>
  <c r="T32"/>
  <c r="T30"/>
  <c r="T29"/>
  <c r="T21"/>
  <c r="T20"/>
  <c r="T19"/>
  <c r="T12"/>
  <c r="T13"/>
  <c r="T31"/>
  <c r="T14"/>
  <c r="T15"/>
  <c r="T34"/>
  <c r="T59"/>
  <c r="T18"/>
  <c r="T45"/>
  <c r="T50"/>
  <c r="T22"/>
  <c r="T60"/>
  <c r="T52"/>
  <c r="R57"/>
  <c r="R54"/>
  <c r="R49"/>
  <c r="R44"/>
  <c r="R36"/>
  <c r="R33"/>
  <c r="R24"/>
  <c r="R19"/>
  <c r="R58"/>
  <c r="R48"/>
  <c r="R47"/>
  <c r="R43"/>
  <c r="R42"/>
  <c r="R41"/>
  <c r="R40"/>
  <c r="R39"/>
  <c r="R32"/>
  <c r="R30"/>
  <c r="R29"/>
  <c r="R21"/>
  <c r="R20"/>
  <c r="R13"/>
  <c r="R11"/>
  <c r="R12"/>
  <c r="R31"/>
  <c r="E131"/>
  <c r="Q26" i="5" s="1"/>
  <c r="R18" i="22"/>
  <c r="R15"/>
  <c r="R34"/>
  <c r="R45"/>
  <c r="R50"/>
  <c r="R14"/>
  <c r="R59"/>
  <c r="R22"/>
  <c r="R52"/>
  <c r="R60"/>
  <c r="P57"/>
  <c r="P54"/>
  <c r="P49"/>
  <c r="P44"/>
  <c r="P36"/>
  <c r="P33"/>
  <c r="P24"/>
  <c r="P19"/>
  <c r="P14"/>
  <c r="P58"/>
  <c r="P48"/>
  <c r="P47"/>
  <c r="P43"/>
  <c r="P42"/>
  <c r="P41"/>
  <c r="P40"/>
  <c r="P39"/>
  <c r="P32"/>
  <c r="P30"/>
  <c r="P29"/>
  <c r="P21"/>
  <c r="P20"/>
  <c r="P12"/>
  <c r="P11"/>
  <c r="P13"/>
  <c r="P34"/>
  <c r="P59"/>
  <c r="P18"/>
  <c r="P45"/>
  <c r="P15"/>
  <c r="B131"/>
  <c r="P31"/>
  <c r="C131"/>
  <c r="P22"/>
  <c r="P50"/>
  <c r="T35"/>
  <c r="R35"/>
  <c r="P35"/>
  <c r="I52" i="8"/>
  <c r="I46"/>
  <c r="H46"/>
  <c r="I34"/>
  <c r="I31"/>
  <c r="H31"/>
  <c r="I29"/>
  <c r="I30"/>
  <c r="I14"/>
  <c r="I12"/>
  <c r="H12"/>
  <c r="H14"/>
  <c r="I13"/>
  <c r="I11"/>
  <c r="U38" i="19"/>
  <c r="T38"/>
  <c r="S38"/>
  <c r="R38"/>
  <c r="Q38"/>
  <c r="P38"/>
  <c r="O38"/>
  <c r="U36"/>
  <c r="T36"/>
  <c r="S36"/>
  <c r="R36"/>
  <c r="Q36"/>
  <c r="P36"/>
  <c r="O36"/>
  <c r="U35"/>
  <c r="T35"/>
  <c r="S35"/>
  <c r="R35"/>
  <c r="Q35"/>
  <c r="P35"/>
  <c r="O35"/>
  <c r="U34"/>
  <c r="T34"/>
  <c r="S34"/>
  <c r="R34"/>
  <c r="Q34"/>
  <c r="P34"/>
  <c r="O34"/>
  <c r="U33"/>
  <c r="T33"/>
  <c r="S33"/>
  <c r="R33"/>
  <c r="Q33"/>
  <c r="P33"/>
  <c r="O33"/>
  <c r="U32"/>
  <c r="T32"/>
  <c r="S32"/>
  <c r="R32"/>
  <c r="Q32"/>
  <c r="P32"/>
  <c r="O32"/>
  <c r="U31"/>
  <c r="T31"/>
  <c r="S31"/>
  <c r="R31"/>
  <c r="Q31"/>
  <c r="P31"/>
  <c r="O31"/>
  <c r="U30"/>
  <c r="T30"/>
  <c r="S30"/>
  <c r="R30"/>
  <c r="Q30"/>
  <c r="P30"/>
  <c r="O30"/>
  <c r="U29"/>
  <c r="T29"/>
  <c r="S29"/>
  <c r="R29"/>
  <c r="Q29"/>
  <c r="P29"/>
  <c r="O29"/>
  <c r="U38" i="18"/>
  <c r="T38"/>
  <c r="S38"/>
  <c r="R38"/>
  <c r="Q38"/>
  <c r="P38"/>
  <c r="O38"/>
  <c r="U36"/>
  <c r="T36"/>
  <c r="S36"/>
  <c r="R36"/>
  <c r="Q36"/>
  <c r="P36"/>
  <c r="O36"/>
  <c r="U35"/>
  <c r="T35"/>
  <c r="S35"/>
  <c r="R35"/>
  <c r="Q35"/>
  <c r="P35"/>
  <c r="O35"/>
  <c r="U34"/>
  <c r="T34"/>
  <c r="S34"/>
  <c r="R34"/>
  <c r="Q34"/>
  <c r="P34"/>
  <c r="O34"/>
  <c r="U33"/>
  <c r="T33"/>
  <c r="S33"/>
  <c r="R33"/>
  <c r="Q33"/>
  <c r="P33"/>
  <c r="O33"/>
  <c r="U32"/>
  <c r="T32"/>
  <c r="S32"/>
  <c r="R32"/>
  <c r="Q32"/>
  <c r="P32"/>
  <c r="O32"/>
  <c r="U31"/>
  <c r="T31"/>
  <c r="S31"/>
  <c r="R31"/>
  <c r="Q31"/>
  <c r="P31"/>
  <c r="O31"/>
  <c r="U30"/>
  <c r="T30"/>
  <c r="S30"/>
  <c r="R30"/>
  <c r="Q30"/>
  <c r="P30"/>
  <c r="O30"/>
  <c r="U29"/>
  <c r="T29"/>
  <c r="S29"/>
  <c r="R29"/>
  <c r="Q29"/>
  <c r="P29"/>
  <c r="O29"/>
  <c r="U38" i="16"/>
  <c r="T38"/>
  <c r="S38"/>
  <c r="R38"/>
  <c r="Q38"/>
  <c r="P38"/>
  <c r="O38"/>
  <c r="U36"/>
  <c r="T36"/>
  <c r="S36"/>
  <c r="R36"/>
  <c r="Q36"/>
  <c r="P36"/>
  <c r="O36"/>
  <c r="U35"/>
  <c r="T35"/>
  <c r="S35"/>
  <c r="R35"/>
  <c r="Q35"/>
  <c r="P35"/>
  <c r="O35"/>
  <c r="U34"/>
  <c r="T34"/>
  <c r="S34"/>
  <c r="R34"/>
  <c r="Q34"/>
  <c r="P34"/>
  <c r="O34"/>
  <c r="U33"/>
  <c r="T33"/>
  <c r="S33"/>
  <c r="R33"/>
  <c r="Q33"/>
  <c r="P33"/>
  <c r="O33"/>
  <c r="U32"/>
  <c r="T32"/>
  <c r="S32"/>
  <c r="R32"/>
  <c r="Q32"/>
  <c r="P32"/>
  <c r="O32"/>
  <c r="U31"/>
  <c r="T31"/>
  <c r="S31"/>
  <c r="R31"/>
  <c r="Q31"/>
  <c r="P31"/>
  <c r="O31"/>
  <c r="U30"/>
  <c r="T30"/>
  <c r="S30"/>
  <c r="R30"/>
  <c r="Q30"/>
  <c r="P30"/>
  <c r="O30"/>
  <c r="U29"/>
  <c r="T29"/>
  <c r="S29"/>
  <c r="R29"/>
  <c r="Q29"/>
  <c r="P29"/>
  <c r="O29"/>
  <c r="T38" i="8"/>
  <c r="S38"/>
  <c r="R38"/>
  <c r="Q38"/>
  <c r="P38"/>
  <c r="O38"/>
  <c r="T36"/>
  <c r="S36"/>
  <c r="R36"/>
  <c r="Q36"/>
  <c r="P36"/>
  <c r="O36"/>
  <c r="T35"/>
  <c r="S35"/>
  <c r="R35"/>
  <c r="Q35"/>
  <c r="P35"/>
  <c r="O35"/>
  <c r="T34"/>
  <c r="S34"/>
  <c r="R34"/>
  <c r="Q34"/>
  <c r="P34"/>
  <c r="O34"/>
  <c r="T33"/>
  <c r="S33"/>
  <c r="R33"/>
  <c r="Q33"/>
  <c r="P33"/>
  <c r="O33"/>
  <c r="T32"/>
  <c r="S32"/>
  <c r="R32"/>
  <c r="Q32"/>
  <c r="P32"/>
  <c r="O32"/>
  <c r="T31"/>
  <c r="S31"/>
  <c r="R31"/>
  <c r="Q31"/>
  <c r="P31"/>
  <c r="O31"/>
  <c r="T30"/>
  <c r="S30"/>
  <c r="R30"/>
  <c r="Q30"/>
  <c r="P30"/>
  <c r="O30"/>
  <c r="T29"/>
  <c r="S29"/>
  <c r="R29"/>
  <c r="Q29"/>
  <c r="P29"/>
  <c r="O29"/>
  <c r="I60" i="2"/>
  <c r="I52"/>
  <c r="I47"/>
  <c r="I20"/>
  <c r="H20"/>
  <c r="I12"/>
  <c r="I14"/>
  <c r="H83"/>
  <c r="H81"/>
  <c r="H104" i="19"/>
  <c r="G104"/>
  <c r="F104"/>
  <c r="E104"/>
  <c r="D104"/>
  <c r="H100"/>
  <c r="G100"/>
  <c r="F100"/>
  <c r="E100"/>
  <c r="D100"/>
  <c r="C100"/>
  <c r="B96"/>
  <c r="C95"/>
  <c r="H93"/>
  <c r="G93"/>
  <c r="F93"/>
  <c r="E93"/>
  <c r="D93"/>
  <c r="C93"/>
  <c r="H92"/>
  <c r="H96" s="1"/>
  <c r="G92"/>
  <c r="G96" s="1"/>
  <c r="F92"/>
  <c r="F96" s="1"/>
  <c r="E92"/>
  <c r="E96" s="1"/>
  <c r="D92"/>
  <c r="D96" s="1"/>
  <c r="C92"/>
  <c r="C96" s="1"/>
  <c r="B87"/>
  <c r="H86"/>
  <c r="G86"/>
  <c r="F86"/>
  <c r="E86"/>
  <c r="D86"/>
  <c r="C86"/>
  <c r="H85"/>
  <c r="G85"/>
  <c r="F85"/>
  <c r="E85"/>
  <c r="D85"/>
  <c r="C85"/>
  <c r="H84"/>
  <c r="G84"/>
  <c r="F84"/>
  <c r="E84"/>
  <c r="D84"/>
  <c r="C84"/>
  <c r="H83"/>
  <c r="G83"/>
  <c r="F83"/>
  <c r="E83"/>
  <c r="D83"/>
  <c r="C83"/>
  <c r="H82"/>
  <c r="G82"/>
  <c r="F82"/>
  <c r="E82"/>
  <c r="D82"/>
  <c r="C82"/>
  <c r="H81"/>
  <c r="H87" s="1"/>
  <c r="G81"/>
  <c r="G87" s="1"/>
  <c r="F81"/>
  <c r="F87" s="1"/>
  <c r="E81"/>
  <c r="E87" s="1"/>
  <c r="D81"/>
  <c r="D87" s="1"/>
  <c r="C81"/>
  <c r="C87" s="1"/>
  <c r="B78"/>
  <c r="B90" s="1"/>
  <c r="B98" s="1"/>
  <c r="B101" s="1"/>
  <c r="H77"/>
  <c r="G77"/>
  <c r="F77"/>
  <c r="E77"/>
  <c r="D77"/>
  <c r="C77"/>
  <c r="H76"/>
  <c r="G76"/>
  <c r="F76"/>
  <c r="E76"/>
  <c r="D76"/>
  <c r="C76"/>
  <c r="H75"/>
  <c r="H78" s="1"/>
  <c r="H90" s="1"/>
  <c r="H98" s="1"/>
  <c r="H101" s="1"/>
  <c r="G75"/>
  <c r="G78" s="1"/>
  <c r="G90" s="1"/>
  <c r="G98" s="1"/>
  <c r="G101" s="1"/>
  <c r="F75"/>
  <c r="F78" s="1"/>
  <c r="F90" s="1"/>
  <c r="F98" s="1"/>
  <c r="F101" s="1"/>
  <c r="E75"/>
  <c r="E78" s="1"/>
  <c r="E90" s="1"/>
  <c r="E98" s="1"/>
  <c r="E101" s="1"/>
  <c r="D75"/>
  <c r="D78" s="1"/>
  <c r="D90" s="1"/>
  <c r="D98" s="1"/>
  <c r="D101" s="1"/>
  <c r="C75"/>
  <c r="C78" s="1"/>
  <c r="C90" s="1"/>
  <c r="C98" s="1"/>
  <c r="C101" s="1"/>
  <c r="H61"/>
  <c r="G61"/>
  <c r="F61"/>
  <c r="E61"/>
  <c r="D61"/>
  <c r="C61"/>
  <c r="B61"/>
  <c r="H60"/>
  <c r="H62" s="1"/>
  <c r="G60"/>
  <c r="G62" s="1"/>
  <c r="F60"/>
  <c r="F62" s="1"/>
  <c r="E60"/>
  <c r="E62" s="1"/>
  <c r="D60"/>
  <c r="D62" s="1"/>
  <c r="C60"/>
  <c r="C62" s="1"/>
  <c r="B60"/>
  <c r="B62" s="1"/>
  <c r="H57"/>
  <c r="G57"/>
  <c r="F57"/>
  <c r="E57"/>
  <c r="D57"/>
  <c r="C57"/>
  <c r="B57"/>
  <c r="B52"/>
  <c r="B53" s="1"/>
  <c r="H51"/>
  <c r="H52" s="1"/>
  <c r="G51"/>
  <c r="G52" s="1"/>
  <c r="F51"/>
  <c r="F52" s="1"/>
  <c r="E51"/>
  <c r="E52" s="1"/>
  <c r="D51"/>
  <c r="D52" s="1"/>
  <c r="C51"/>
  <c r="C52" s="1"/>
  <c r="H50"/>
  <c r="H53" s="1"/>
  <c r="H55" s="1"/>
  <c r="G50"/>
  <c r="G53" s="1"/>
  <c r="F50"/>
  <c r="F53" s="1"/>
  <c r="F55" s="1"/>
  <c r="E50"/>
  <c r="E53" s="1"/>
  <c r="D50"/>
  <c r="D53" s="1"/>
  <c r="D55" s="1"/>
  <c r="C50"/>
  <c r="C53" s="1"/>
  <c r="H47"/>
  <c r="G47"/>
  <c r="F47"/>
  <c r="E47"/>
  <c r="D47"/>
  <c r="C47"/>
  <c r="H46"/>
  <c r="G46"/>
  <c r="F46"/>
  <c r="E46"/>
  <c r="D46"/>
  <c r="C46"/>
  <c r="B46"/>
  <c r="B48" s="1"/>
  <c r="B118" s="1"/>
  <c r="H44"/>
  <c r="G44"/>
  <c r="F44"/>
  <c r="E44"/>
  <c r="D44"/>
  <c r="C44"/>
  <c r="H43"/>
  <c r="G43"/>
  <c r="F43"/>
  <c r="E43"/>
  <c r="D43"/>
  <c r="C43"/>
  <c r="H42"/>
  <c r="H48" s="1"/>
  <c r="H118" s="1"/>
  <c r="G42"/>
  <c r="G48" s="1"/>
  <c r="G118" s="1"/>
  <c r="F42"/>
  <c r="F48" s="1"/>
  <c r="F118" s="1"/>
  <c r="E42"/>
  <c r="E48" s="1"/>
  <c r="E118" s="1"/>
  <c r="D42"/>
  <c r="D48" s="1"/>
  <c r="D118" s="1"/>
  <c r="C42"/>
  <c r="C48" s="1"/>
  <c r="C118" s="1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B34" s="1"/>
  <c r="H29"/>
  <c r="H34" s="1"/>
  <c r="G29"/>
  <c r="G34" s="1"/>
  <c r="F29"/>
  <c r="F34" s="1"/>
  <c r="E29"/>
  <c r="E34" s="1"/>
  <c r="D29"/>
  <c r="D34" s="1"/>
  <c r="C29"/>
  <c r="C34" s="1"/>
  <c r="H24"/>
  <c r="G24"/>
  <c r="F24"/>
  <c r="E24"/>
  <c r="D24"/>
  <c r="C24"/>
  <c r="H21"/>
  <c r="G21"/>
  <c r="F21"/>
  <c r="E21"/>
  <c r="D21"/>
  <c r="C21"/>
  <c r="H20"/>
  <c r="G20"/>
  <c r="F20"/>
  <c r="E20"/>
  <c r="D20"/>
  <c r="C20"/>
  <c r="B20"/>
  <c r="B22" s="1"/>
  <c r="B26" s="1"/>
  <c r="B35" s="1"/>
  <c r="H19"/>
  <c r="G19"/>
  <c r="F19"/>
  <c r="E19"/>
  <c r="D19"/>
  <c r="C19"/>
  <c r="H18"/>
  <c r="H22" s="1"/>
  <c r="H26" s="1"/>
  <c r="G18"/>
  <c r="G22" s="1"/>
  <c r="G26" s="1"/>
  <c r="G35" s="1"/>
  <c r="F18"/>
  <c r="F22" s="1"/>
  <c r="F26" s="1"/>
  <c r="E18"/>
  <c r="E22" s="1"/>
  <c r="E26" s="1"/>
  <c r="E35" s="1"/>
  <c r="D18"/>
  <c r="D22" s="1"/>
  <c r="D26" s="1"/>
  <c r="C18"/>
  <c r="C22" s="1"/>
  <c r="C26" s="1"/>
  <c r="C35" s="1"/>
  <c r="H14"/>
  <c r="G14"/>
  <c r="F14"/>
  <c r="E14"/>
  <c r="D14"/>
  <c r="C14"/>
  <c r="B14"/>
  <c r="H13"/>
  <c r="G13"/>
  <c r="F13"/>
  <c r="E13"/>
  <c r="D13"/>
  <c r="C13"/>
  <c r="B13"/>
  <c r="H12"/>
  <c r="G12"/>
  <c r="F12"/>
  <c r="E12"/>
  <c r="D12"/>
  <c r="C12"/>
  <c r="H11"/>
  <c r="H15" s="1"/>
  <c r="G11"/>
  <c r="G15" s="1"/>
  <c r="F11"/>
  <c r="F15" s="1"/>
  <c r="E11"/>
  <c r="E15" s="1"/>
  <c r="D11"/>
  <c r="D15" s="1"/>
  <c r="C11"/>
  <c r="C15" s="1"/>
  <c r="B11"/>
  <c r="B15" s="1"/>
  <c r="J114"/>
  <c r="L113"/>
  <c r="A111"/>
  <c r="A109"/>
  <c r="N100"/>
  <c r="N99"/>
  <c r="N96"/>
  <c r="O96"/>
  <c r="N95"/>
  <c r="N94"/>
  <c r="N93"/>
  <c r="N92"/>
  <c r="N87"/>
  <c r="J87"/>
  <c r="I87"/>
  <c r="N86"/>
  <c r="N85"/>
  <c r="N84"/>
  <c r="N83"/>
  <c r="N82"/>
  <c r="N81"/>
  <c r="J78"/>
  <c r="I78"/>
  <c r="W78"/>
  <c r="V78"/>
  <c r="O78"/>
  <c r="V77"/>
  <c r="O77"/>
  <c r="W73"/>
  <c r="J73"/>
  <c r="C73"/>
  <c r="P73" s="1"/>
  <c r="B73"/>
  <c r="O73" s="1"/>
  <c r="Y72"/>
  <c r="N71"/>
  <c r="A70"/>
  <c r="N68"/>
  <c r="A68"/>
  <c r="N62"/>
  <c r="J62"/>
  <c r="I62"/>
  <c r="N61"/>
  <c r="N60"/>
  <c r="N59"/>
  <c r="N53"/>
  <c r="J53"/>
  <c r="J123" s="1"/>
  <c r="I53"/>
  <c r="N52"/>
  <c r="N51"/>
  <c r="N50"/>
  <c r="J48"/>
  <c r="J118" s="1"/>
  <c r="I48"/>
  <c r="I118" s="1"/>
  <c r="N47"/>
  <c r="N46"/>
  <c r="N45"/>
  <c r="N44"/>
  <c r="N43"/>
  <c r="N42"/>
  <c r="N36"/>
  <c r="N35"/>
  <c r="N34"/>
  <c r="N33"/>
  <c r="N32"/>
  <c r="N31"/>
  <c r="N30"/>
  <c r="N24"/>
  <c r="J22"/>
  <c r="J26" s="1"/>
  <c r="I22"/>
  <c r="N21"/>
  <c r="N20"/>
  <c r="N19"/>
  <c r="N18"/>
  <c r="N15"/>
  <c r="J15"/>
  <c r="I15"/>
  <c r="I117" s="1"/>
  <c r="N14"/>
  <c r="N13"/>
  <c r="N12"/>
  <c r="N11"/>
  <c r="W8"/>
  <c r="P8"/>
  <c r="C114" s="1"/>
  <c r="O8"/>
  <c r="B114" s="1"/>
  <c r="C8"/>
  <c r="D8" s="1"/>
  <c r="E8" s="1"/>
  <c r="F8" s="1"/>
  <c r="G8" s="1"/>
  <c r="H8" s="1"/>
  <c r="I8" s="1"/>
  <c r="Y7"/>
  <c r="N6"/>
  <c r="N3"/>
  <c r="H95" i="18"/>
  <c r="H96" s="1"/>
  <c r="U96" s="1"/>
  <c r="G95"/>
  <c r="G96" s="1"/>
  <c r="T96" s="1"/>
  <c r="F95"/>
  <c r="F96" s="1"/>
  <c r="S96" s="1"/>
  <c r="E95"/>
  <c r="E96" s="1"/>
  <c r="D95"/>
  <c r="D96" s="1"/>
  <c r="Q96" s="1"/>
  <c r="G87"/>
  <c r="F87"/>
  <c r="E87"/>
  <c r="D87"/>
  <c r="H86"/>
  <c r="H87" s="1"/>
  <c r="H78"/>
  <c r="G78"/>
  <c r="G90" s="1"/>
  <c r="G98" s="1"/>
  <c r="G101" s="1"/>
  <c r="F78"/>
  <c r="E78"/>
  <c r="E90" s="1"/>
  <c r="E98" s="1"/>
  <c r="E101" s="1"/>
  <c r="D78"/>
  <c r="H62"/>
  <c r="G62"/>
  <c r="F62"/>
  <c r="E62"/>
  <c r="D62"/>
  <c r="H52"/>
  <c r="H53" s="1"/>
  <c r="H55" s="1"/>
  <c r="G52"/>
  <c r="G53" s="1"/>
  <c r="G55" s="1"/>
  <c r="F52"/>
  <c r="F53" s="1"/>
  <c r="F55" s="1"/>
  <c r="E52"/>
  <c r="E53" s="1"/>
  <c r="D52"/>
  <c r="D53" s="1"/>
  <c r="D55" s="1"/>
  <c r="H48"/>
  <c r="G48"/>
  <c r="F48"/>
  <c r="D48"/>
  <c r="F46"/>
  <c r="E46"/>
  <c r="E48" s="1"/>
  <c r="E118" s="1"/>
  <c r="D46"/>
  <c r="I34"/>
  <c r="F34"/>
  <c r="E34"/>
  <c r="D34"/>
  <c r="H33"/>
  <c r="H34" s="1"/>
  <c r="G33"/>
  <c r="G34" s="1"/>
  <c r="I22"/>
  <c r="H22"/>
  <c r="H26" s="1"/>
  <c r="G22"/>
  <c r="G26" s="1"/>
  <c r="G35" s="1"/>
  <c r="F22"/>
  <c r="F26" s="1"/>
  <c r="F35" s="1"/>
  <c r="E22"/>
  <c r="E26" s="1"/>
  <c r="E35" s="1"/>
  <c r="D22"/>
  <c r="D26" s="1"/>
  <c r="D35" s="1"/>
  <c r="H14"/>
  <c r="G14"/>
  <c r="E14"/>
  <c r="D14"/>
  <c r="H12"/>
  <c r="G12"/>
  <c r="G15" s="1"/>
  <c r="G117" s="1"/>
  <c r="F12"/>
  <c r="F15" s="1"/>
  <c r="F117" s="1"/>
  <c r="E12"/>
  <c r="E15" s="1"/>
  <c r="D12"/>
  <c r="D15" s="1"/>
  <c r="D117" s="1"/>
  <c r="I15"/>
  <c r="H11"/>
  <c r="H15" s="1"/>
  <c r="H117" s="1"/>
  <c r="J114"/>
  <c r="L113"/>
  <c r="A111"/>
  <c r="A109"/>
  <c r="N100"/>
  <c r="N99"/>
  <c r="N96"/>
  <c r="J96"/>
  <c r="I96"/>
  <c r="C96"/>
  <c r="B96"/>
  <c r="O96" s="1"/>
  <c r="N95"/>
  <c r="N94"/>
  <c r="N93"/>
  <c r="N92"/>
  <c r="N87"/>
  <c r="J87"/>
  <c r="I87"/>
  <c r="T87"/>
  <c r="R87"/>
  <c r="C87"/>
  <c r="P87" s="1"/>
  <c r="B87"/>
  <c r="N86"/>
  <c r="N85"/>
  <c r="N84"/>
  <c r="N83"/>
  <c r="N82"/>
  <c r="N81"/>
  <c r="J78"/>
  <c r="I78"/>
  <c r="C78"/>
  <c r="D119" s="1"/>
  <c r="B78"/>
  <c r="R77"/>
  <c r="Q77"/>
  <c r="P77"/>
  <c r="O77"/>
  <c r="R76"/>
  <c r="Q76"/>
  <c r="P76"/>
  <c r="O76"/>
  <c r="N76"/>
  <c r="W73"/>
  <c r="J73"/>
  <c r="B73"/>
  <c r="O73" s="1"/>
  <c r="Y72"/>
  <c r="N71"/>
  <c r="A70"/>
  <c r="N68"/>
  <c r="A68"/>
  <c r="N62"/>
  <c r="J62"/>
  <c r="I62"/>
  <c r="C62"/>
  <c r="B62"/>
  <c r="N61"/>
  <c r="N60"/>
  <c r="N59"/>
  <c r="N53"/>
  <c r="J53"/>
  <c r="J123" s="1"/>
  <c r="I53"/>
  <c r="C53"/>
  <c r="C55" s="1"/>
  <c r="B53"/>
  <c r="B55" s="1"/>
  <c r="N52"/>
  <c r="N51"/>
  <c r="N50"/>
  <c r="J48"/>
  <c r="J118" s="1"/>
  <c r="I48"/>
  <c r="I118" s="1"/>
  <c r="H118"/>
  <c r="G118"/>
  <c r="F118"/>
  <c r="D118"/>
  <c r="C48"/>
  <c r="C118" s="1"/>
  <c r="B48"/>
  <c r="B118" s="1"/>
  <c r="N47"/>
  <c r="N46"/>
  <c r="N45"/>
  <c r="N44"/>
  <c r="N43"/>
  <c r="N42"/>
  <c r="N36"/>
  <c r="N35"/>
  <c r="N34"/>
  <c r="J34"/>
  <c r="C34"/>
  <c r="B34"/>
  <c r="N33"/>
  <c r="N32"/>
  <c r="N31"/>
  <c r="N30"/>
  <c r="N24"/>
  <c r="J22"/>
  <c r="J26" s="1"/>
  <c r="J124" s="1"/>
  <c r="C22"/>
  <c r="C26" s="1"/>
  <c r="B22"/>
  <c r="B26" s="1"/>
  <c r="N21"/>
  <c r="N20"/>
  <c r="N19"/>
  <c r="N18"/>
  <c r="N15"/>
  <c r="J15"/>
  <c r="C15"/>
  <c r="C117" s="1"/>
  <c r="B15"/>
  <c r="B117" s="1"/>
  <c r="N14"/>
  <c r="N13"/>
  <c r="N12"/>
  <c r="N11"/>
  <c r="W8"/>
  <c r="P8"/>
  <c r="C114" s="1"/>
  <c r="O8"/>
  <c r="B114" s="1"/>
  <c r="C8"/>
  <c r="D8" s="1"/>
  <c r="E8" s="1"/>
  <c r="F8" s="1"/>
  <c r="G8" s="1"/>
  <c r="H8" s="1"/>
  <c r="I8" s="1"/>
  <c r="Y7"/>
  <c r="N6"/>
  <c r="N3"/>
  <c r="H101" i="17"/>
  <c r="G101"/>
  <c r="E101"/>
  <c r="D101"/>
  <c r="F100"/>
  <c r="C100"/>
  <c r="F98"/>
  <c r="F101" s="1"/>
  <c r="C98"/>
  <c r="H95"/>
  <c r="H96" s="1"/>
  <c r="G95"/>
  <c r="G96" s="1"/>
  <c r="F95"/>
  <c r="F96" s="1"/>
  <c r="E95"/>
  <c r="E96" s="1"/>
  <c r="D95"/>
  <c r="D96" s="1"/>
  <c r="C92"/>
  <c r="G85"/>
  <c r="F85"/>
  <c r="C85"/>
  <c r="G84"/>
  <c r="F84"/>
  <c r="C84"/>
  <c r="H83"/>
  <c r="H87" s="1"/>
  <c r="G83"/>
  <c r="F83"/>
  <c r="E83"/>
  <c r="D83"/>
  <c r="D87" s="1"/>
  <c r="C83"/>
  <c r="G82"/>
  <c r="F82"/>
  <c r="C82"/>
  <c r="F81"/>
  <c r="E81"/>
  <c r="C81"/>
  <c r="C77"/>
  <c r="E76"/>
  <c r="D76"/>
  <c r="C76"/>
  <c r="H75"/>
  <c r="H78" s="1"/>
  <c r="G75"/>
  <c r="G78" s="1"/>
  <c r="F75"/>
  <c r="F78" s="1"/>
  <c r="E75"/>
  <c r="E78" s="1"/>
  <c r="D75"/>
  <c r="D78" s="1"/>
  <c r="C75"/>
  <c r="C78" s="1"/>
  <c r="H62"/>
  <c r="G62"/>
  <c r="F62"/>
  <c r="E62"/>
  <c r="D62"/>
  <c r="C62"/>
  <c r="H52"/>
  <c r="H53" s="1"/>
  <c r="G52"/>
  <c r="G53" s="1"/>
  <c r="F52"/>
  <c r="E52"/>
  <c r="D52"/>
  <c r="F50"/>
  <c r="E50"/>
  <c r="D50"/>
  <c r="C50"/>
  <c r="C48"/>
  <c r="H46"/>
  <c r="H48" s="1"/>
  <c r="G46"/>
  <c r="G48" s="1"/>
  <c r="F46"/>
  <c r="F48" s="1"/>
  <c r="E46"/>
  <c r="E48" s="1"/>
  <c r="D46"/>
  <c r="D48" s="1"/>
  <c r="C34"/>
  <c r="H33"/>
  <c r="G33"/>
  <c r="F33"/>
  <c r="E33"/>
  <c r="D33"/>
  <c r="H31"/>
  <c r="G31"/>
  <c r="F31"/>
  <c r="E31"/>
  <c r="D31"/>
  <c r="H22"/>
  <c r="H26" s="1"/>
  <c r="G22"/>
  <c r="G26" s="1"/>
  <c r="F22"/>
  <c r="F26" s="1"/>
  <c r="E22"/>
  <c r="E26" s="1"/>
  <c r="D22"/>
  <c r="D26" s="1"/>
  <c r="C22"/>
  <c r="C15"/>
  <c r="H14"/>
  <c r="G14"/>
  <c r="F14"/>
  <c r="E14"/>
  <c r="D14"/>
  <c r="H13"/>
  <c r="G13"/>
  <c r="F13"/>
  <c r="E13"/>
  <c r="D13"/>
  <c r="H12"/>
  <c r="G12"/>
  <c r="F12"/>
  <c r="E12"/>
  <c r="D12"/>
  <c r="J114"/>
  <c r="L113"/>
  <c r="A111"/>
  <c r="A109"/>
  <c r="N100"/>
  <c r="N99"/>
  <c r="N96"/>
  <c r="J96"/>
  <c r="I96"/>
  <c r="B96"/>
  <c r="N95"/>
  <c r="N94"/>
  <c r="N93"/>
  <c r="N92"/>
  <c r="N87"/>
  <c r="J87"/>
  <c r="I87"/>
  <c r="B87"/>
  <c r="N86"/>
  <c r="N85"/>
  <c r="N84"/>
  <c r="N83"/>
  <c r="N82"/>
  <c r="N81"/>
  <c r="J78"/>
  <c r="I78"/>
  <c r="B78"/>
  <c r="N76"/>
  <c r="W73"/>
  <c r="J73"/>
  <c r="B73"/>
  <c r="Y72"/>
  <c r="N71"/>
  <c r="A70"/>
  <c r="N68"/>
  <c r="A68"/>
  <c r="N62"/>
  <c r="J62"/>
  <c r="I62"/>
  <c r="B62"/>
  <c r="N61"/>
  <c r="N60"/>
  <c r="N59"/>
  <c r="N53"/>
  <c r="J53"/>
  <c r="I53"/>
  <c r="B53"/>
  <c r="N52"/>
  <c r="N51"/>
  <c r="N50"/>
  <c r="J48"/>
  <c r="J118" s="1"/>
  <c r="I48"/>
  <c r="I118" s="1"/>
  <c r="C118"/>
  <c r="B48"/>
  <c r="N47"/>
  <c r="N46"/>
  <c r="N45"/>
  <c r="N44"/>
  <c r="N43"/>
  <c r="N42"/>
  <c r="N36"/>
  <c r="N35"/>
  <c r="N34"/>
  <c r="J34"/>
  <c r="I34"/>
  <c r="B34"/>
  <c r="N33"/>
  <c r="N32"/>
  <c r="N31"/>
  <c r="N30"/>
  <c r="N24"/>
  <c r="J22"/>
  <c r="J26" s="1"/>
  <c r="J27" s="1"/>
  <c r="I22"/>
  <c r="I26" s="1"/>
  <c r="B22"/>
  <c r="N21"/>
  <c r="N20"/>
  <c r="N19"/>
  <c r="N18"/>
  <c r="N15"/>
  <c r="J15"/>
  <c r="I15"/>
  <c r="I117" s="1"/>
  <c r="C117"/>
  <c r="B15"/>
  <c r="N14"/>
  <c r="N13"/>
  <c r="N12"/>
  <c r="N11"/>
  <c r="W8"/>
  <c r="C114"/>
  <c r="B114"/>
  <c r="C8"/>
  <c r="D8" s="1"/>
  <c r="E8" s="1"/>
  <c r="F8" s="1"/>
  <c r="G8" s="1"/>
  <c r="H8" s="1"/>
  <c r="I8" s="1"/>
  <c r="Y7"/>
  <c r="N6"/>
  <c r="N3"/>
  <c r="E100" i="16"/>
  <c r="D100"/>
  <c r="C100"/>
  <c r="G99"/>
  <c r="F99"/>
  <c r="E99"/>
  <c r="D99"/>
  <c r="C99"/>
  <c r="H95"/>
  <c r="H96" s="1"/>
  <c r="U96" s="1"/>
  <c r="G95"/>
  <c r="F95"/>
  <c r="E95"/>
  <c r="D95"/>
  <c r="C95"/>
  <c r="G94"/>
  <c r="F94"/>
  <c r="E94"/>
  <c r="D94"/>
  <c r="G93"/>
  <c r="D93"/>
  <c r="C93"/>
  <c r="G92"/>
  <c r="G96" s="1"/>
  <c r="F92"/>
  <c r="F96" s="1"/>
  <c r="E92"/>
  <c r="E96" s="1"/>
  <c r="D92"/>
  <c r="D96" s="1"/>
  <c r="C92"/>
  <c r="C96" s="1"/>
  <c r="G85"/>
  <c r="F85"/>
  <c r="E85"/>
  <c r="D85"/>
  <c r="C85"/>
  <c r="G84"/>
  <c r="F84"/>
  <c r="E84"/>
  <c r="D84"/>
  <c r="C84"/>
  <c r="G83"/>
  <c r="F83"/>
  <c r="E83"/>
  <c r="D83"/>
  <c r="C83"/>
  <c r="G82"/>
  <c r="F82"/>
  <c r="E82"/>
  <c r="D82"/>
  <c r="C82"/>
  <c r="H81"/>
  <c r="H87" s="1"/>
  <c r="G81"/>
  <c r="G87" s="1"/>
  <c r="F81"/>
  <c r="F87" s="1"/>
  <c r="E81"/>
  <c r="E87" s="1"/>
  <c r="D81"/>
  <c r="D87" s="1"/>
  <c r="C81"/>
  <c r="C87" s="1"/>
  <c r="H78"/>
  <c r="H90" s="1"/>
  <c r="H98" s="1"/>
  <c r="G77"/>
  <c r="F77"/>
  <c r="E77"/>
  <c r="D77"/>
  <c r="C77"/>
  <c r="G76"/>
  <c r="F76"/>
  <c r="F78" s="1"/>
  <c r="E76"/>
  <c r="D76"/>
  <c r="D78" s="1"/>
  <c r="C76"/>
  <c r="G75"/>
  <c r="G78" s="1"/>
  <c r="F75"/>
  <c r="E75"/>
  <c r="E78" s="1"/>
  <c r="D75"/>
  <c r="C75"/>
  <c r="C78" s="1"/>
  <c r="H62"/>
  <c r="G61"/>
  <c r="F61"/>
  <c r="E61"/>
  <c r="D61"/>
  <c r="C61"/>
  <c r="G60"/>
  <c r="G62" s="1"/>
  <c r="F60"/>
  <c r="F62" s="1"/>
  <c r="E60"/>
  <c r="E62" s="1"/>
  <c r="D60"/>
  <c r="D62" s="1"/>
  <c r="C60"/>
  <c r="C62" s="1"/>
  <c r="G57"/>
  <c r="F57"/>
  <c r="E57"/>
  <c r="D57"/>
  <c r="C57"/>
  <c r="H52"/>
  <c r="H53" s="1"/>
  <c r="F52"/>
  <c r="D52"/>
  <c r="G51"/>
  <c r="G52" s="1"/>
  <c r="F51"/>
  <c r="E51"/>
  <c r="E52" s="1"/>
  <c r="D51"/>
  <c r="C51"/>
  <c r="C52" s="1"/>
  <c r="G50"/>
  <c r="F50"/>
  <c r="F53" s="1"/>
  <c r="E50"/>
  <c r="D50"/>
  <c r="D53" s="1"/>
  <c r="C50"/>
  <c r="G47"/>
  <c r="F47"/>
  <c r="E47"/>
  <c r="D47"/>
  <c r="C47"/>
  <c r="H46"/>
  <c r="G46"/>
  <c r="F46"/>
  <c r="E46"/>
  <c r="D46"/>
  <c r="C46"/>
  <c r="H45"/>
  <c r="H48" s="1"/>
  <c r="H118" s="1"/>
  <c r="G45"/>
  <c r="F45"/>
  <c r="E45"/>
  <c r="D45"/>
  <c r="C45"/>
  <c r="G44"/>
  <c r="F44"/>
  <c r="E44"/>
  <c r="D44"/>
  <c r="C44"/>
  <c r="G43"/>
  <c r="F43"/>
  <c r="E43"/>
  <c r="D43"/>
  <c r="C43"/>
  <c r="G42"/>
  <c r="G48" s="1"/>
  <c r="G118" s="1"/>
  <c r="F42"/>
  <c r="F48" s="1"/>
  <c r="F118" s="1"/>
  <c r="E42"/>
  <c r="E48" s="1"/>
  <c r="E118" s="1"/>
  <c r="D42"/>
  <c r="D48" s="1"/>
  <c r="D118" s="1"/>
  <c r="C42"/>
  <c r="C48" s="1"/>
  <c r="C118" s="1"/>
  <c r="H34"/>
  <c r="G33"/>
  <c r="F33"/>
  <c r="E33"/>
  <c r="C33"/>
  <c r="H31"/>
  <c r="G31"/>
  <c r="F31"/>
  <c r="E31"/>
  <c r="D31"/>
  <c r="C31"/>
  <c r="G29"/>
  <c r="G34" s="1"/>
  <c r="F29"/>
  <c r="F34" s="1"/>
  <c r="E29"/>
  <c r="E34" s="1"/>
  <c r="D29"/>
  <c r="C29"/>
  <c r="C34" s="1"/>
  <c r="G24"/>
  <c r="F24"/>
  <c r="E24"/>
  <c r="D24"/>
  <c r="C24"/>
  <c r="H20"/>
  <c r="H22" s="1"/>
  <c r="H26" s="1"/>
  <c r="H35" s="1"/>
  <c r="G20"/>
  <c r="F20"/>
  <c r="E20"/>
  <c r="D20"/>
  <c r="C20"/>
  <c r="G19"/>
  <c r="F19"/>
  <c r="E19"/>
  <c r="D19"/>
  <c r="C19"/>
  <c r="G18"/>
  <c r="G22" s="1"/>
  <c r="G26" s="1"/>
  <c r="G35" s="1"/>
  <c r="F18"/>
  <c r="F22" s="1"/>
  <c r="F26" s="1"/>
  <c r="E18"/>
  <c r="E22" s="1"/>
  <c r="E26" s="1"/>
  <c r="E35" s="1"/>
  <c r="D18"/>
  <c r="D22" s="1"/>
  <c r="D26" s="1"/>
  <c r="C18"/>
  <c r="C22" s="1"/>
  <c r="C26" s="1"/>
  <c r="C35" s="1"/>
  <c r="H14"/>
  <c r="G14"/>
  <c r="F14"/>
  <c r="E14"/>
  <c r="D14"/>
  <c r="C14"/>
  <c r="H13"/>
  <c r="G13"/>
  <c r="F13"/>
  <c r="E13"/>
  <c r="D13"/>
  <c r="C13"/>
  <c r="H12"/>
  <c r="H15" s="1"/>
  <c r="G12"/>
  <c r="F12"/>
  <c r="E12"/>
  <c r="D12"/>
  <c r="C12"/>
  <c r="G11"/>
  <c r="G15" s="1"/>
  <c r="F11"/>
  <c r="F15" s="1"/>
  <c r="E11"/>
  <c r="E15" s="1"/>
  <c r="D11"/>
  <c r="D15" s="1"/>
  <c r="C11"/>
  <c r="C15" s="1"/>
  <c r="J114"/>
  <c r="L113"/>
  <c r="A111"/>
  <c r="A109"/>
  <c r="N100"/>
  <c r="N99"/>
  <c r="N96"/>
  <c r="J96"/>
  <c r="I96"/>
  <c r="B96"/>
  <c r="O96" s="1"/>
  <c r="N95"/>
  <c r="N94"/>
  <c r="N93"/>
  <c r="N92"/>
  <c r="N88"/>
  <c r="N87"/>
  <c r="J87"/>
  <c r="I87"/>
  <c r="B87"/>
  <c r="N86"/>
  <c r="N85"/>
  <c r="N84"/>
  <c r="N83"/>
  <c r="N82"/>
  <c r="N81"/>
  <c r="J78"/>
  <c r="I78"/>
  <c r="B78"/>
  <c r="U78"/>
  <c r="O78"/>
  <c r="O76"/>
  <c r="W73"/>
  <c r="J73"/>
  <c r="C73"/>
  <c r="P73" s="1"/>
  <c r="B73"/>
  <c r="O73" s="1"/>
  <c r="Y72"/>
  <c r="N71"/>
  <c r="A70"/>
  <c r="N68"/>
  <c r="A68"/>
  <c r="N62"/>
  <c r="J62"/>
  <c r="I62"/>
  <c r="B62"/>
  <c r="N61"/>
  <c r="N60"/>
  <c r="N59"/>
  <c r="N53"/>
  <c r="J53"/>
  <c r="I53"/>
  <c r="B53"/>
  <c r="B55" s="1"/>
  <c r="N52"/>
  <c r="N51"/>
  <c r="N50"/>
  <c r="J48"/>
  <c r="I48"/>
  <c r="I118" s="1"/>
  <c r="B48"/>
  <c r="B118" s="1"/>
  <c r="N47"/>
  <c r="N46"/>
  <c r="N45"/>
  <c r="N44"/>
  <c r="N43"/>
  <c r="N42"/>
  <c r="N36"/>
  <c r="N35"/>
  <c r="N34"/>
  <c r="J34"/>
  <c r="I34"/>
  <c r="B34"/>
  <c r="N33"/>
  <c r="N32"/>
  <c r="N31"/>
  <c r="N30"/>
  <c r="N24"/>
  <c r="J22"/>
  <c r="J26" s="1"/>
  <c r="I22"/>
  <c r="B22"/>
  <c r="B26" s="1"/>
  <c r="N21"/>
  <c r="N20"/>
  <c r="N19"/>
  <c r="N18"/>
  <c r="N15"/>
  <c r="J117"/>
  <c r="I15"/>
  <c r="I117" s="1"/>
  <c r="B15"/>
  <c r="B117" s="1"/>
  <c r="N14"/>
  <c r="N13"/>
  <c r="N12"/>
  <c r="N11"/>
  <c r="W8"/>
  <c r="P8"/>
  <c r="C114" s="1"/>
  <c r="O8"/>
  <c r="B114" s="1"/>
  <c r="C8"/>
  <c r="D8" s="1"/>
  <c r="E8" s="1"/>
  <c r="F8" s="1"/>
  <c r="G8" s="1"/>
  <c r="H8" s="1"/>
  <c r="I8" s="1"/>
  <c r="Y7"/>
  <c r="N6"/>
  <c r="N3"/>
  <c r="N3" i="8"/>
  <c r="C104"/>
  <c r="G100"/>
  <c r="F100"/>
  <c r="E100"/>
  <c r="C100"/>
  <c r="H99"/>
  <c r="G99"/>
  <c r="F99"/>
  <c r="E99"/>
  <c r="D99"/>
  <c r="C99"/>
  <c r="H96"/>
  <c r="G96"/>
  <c r="T96" s="1"/>
  <c r="F96"/>
  <c r="E95"/>
  <c r="D95"/>
  <c r="C95"/>
  <c r="D94"/>
  <c r="C94"/>
  <c r="E93"/>
  <c r="E96" s="1"/>
  <c r="D93"/>
  <c r="C93"/>
  <c r="C96" s="1"/>
  <c r="E92"/>
  <c r="D92"/>
  <c r="D96" s="1"/>
  <c r="Q96" s="1"/>
  <c r="C92"/>
  <c r="H86"/>
  <c r="H87" s="1"/>
  <c r="E86"/>
  <c r="D86"/>
  <c r="C86"/>
  <c r="E85"/>
  <c r="D85"/>
  <c r="C85"/>
  <c r="E84"/>
  <c r="D84"/>
  <c r="C84"/>
  <c r="E83"/>
  <c r="D83"/>
  <c r="C83"/>
  <c r="G81"/>
  <c r="G87" s="1"/>
  <c r="T87" s="1"/>
  <c r="F81"/>
  <c r="F87" s="1"/>
  <c r="E81"/>
  <c r="E87" s="1"/>
  <c r="D81"/>
  <c r="D87" s="1"/>
  <c r="C81"/>
  <c r="C87" s="1"/>
  <c r="H78"/>
  <c r="U96" s="1"/>
  <c r="G78"/>
  <c r="G90" s="1"/>
  <c r="G98" s="1"/>
  <c r="G101" s="1"/>
  <c r="F78"/>
  <c r="S78" s="1"/>
  <c r="D78"/>
  <c r="Q78" s="1"/>
  <c r="E75"/>
  <c r="E78" s="1"/>
  <c r="D75"/>
  <c r="C75"/>
  <c r="C78" s="1"/>
  <c r="H62"/>
  <c r="G61"/>
  <c r="F61"/>
  <c r="E61"/>
  <c r="E60" s="1"/>
  <c r="E62" s="1"/>
  <c r="D61"/>
  <c r="C61"/>
  <c r="C60" s="1"/>
  <c r="C62" s="1"/>
  <c r="G60"/>
  <c r="G62" s="1"/>
  <c r="F60"/>
  <c r="F62" s="1"/>
  <c r="D60"/>
  <c r="D62" s="1"/>
  <c r="H53"/>
  <c r="G52"/>
  <c r="E52"/>
  <c r="C52"/>
  <c r="G51"/>
  <c r="F51"/>
  <c r="F52" s="1"/>
  <c r="E51"/>
  <c r="D51"/>
  <c r="D52" s="1"/>
  <c r="C51"/>
  <c r="G50"/>
  <c r="G53" s="1"/>
  <c r="F50"/>
  <c r="F53" s="1"/>
  <c r="E50"/>
  <c r="E53" s="1"/>
  <c r="D50"/>
  <c r="D53" s="1"/>
  <c r="C50"/>
  <c r="C53" s="1"/>
  <c r="H48"/>
  <c r="G47"/>
  <c r="F47"/>
  <c r="E47"/>
  <c r="D47"/>
  <c r="C47"/>
  <c r="G46"/>
  <c r="F46"/>
  <c r="E46"/>
  <c r="D46"/>
  <c r="C46"/>
  <c r="G44"/>
  <c r="F44"/>
  <c r="E44"/>
  <c r="D44"/>
  <c r="C44"/>
  <c r="G43"/>
  <c r="F43"/>
  <c r="E43"/>
  <c r="D43"/>
  <c r="C43"/>
  <c r="G42"/>
  <c r="G48" s="1"/>
  <c r="G118" s="1"/>
  <c r="F42"/>
  <c r="F48" s="1"/>
  <c r="F118" s="1"/>
  <c r="E42"/>
  <c r="E48" s="1"/>
  <c r="E118" s="1"/>
  <c r="D42"/>
  <c r="D48" s="1"/>
  <c r="D118" s="1"/>
  <c r="C42"/>
  <c r="C48" s="1"/>
  <c r="C118" s="1"/>
  <c r="H33"/>
  <c r="G33"/>
  <c r="F33"/>
  <c r="E33"/>
  <c r="D33"/>
  <c r="C33"/>
  <c r="G32"/>
  <c r="F32"/>
  <c r="E32"/>
  <c r="D32"/>
  <c r="C32"/>
  <c r="G31"/>
  <c r="F31"/>
  <c r="E31"/>
  <c r="D31"/>
  <c r="C31"/>
  <c r="H30"/>
  <c r="G30"/>
  <c r="F30"/>
  <c r="E30"/>
  <c r="D30"/>
  <c r="C30"/>
  <c r="H29"/>
  <c r="H34" s="1"/>
  <c r="G29"/>
  <c r="G34" s="1"/>
  <c r="F29"/>
  <c r="F34" s="1"/>
  <c r="E29"/>
  <c r="E34" s="1"/>
  <c r="D29"/>
  <c r="D34" s="1"/>
  <c r="C29"/>
  <c r="C34" s="1"/>
  <c r="G24"/>
  <c r="F24"/>
  <c r="E24"/>
  <c r="D24"/>
  <c r="C24"/>
  <c r="H22"/>
  <c r="H26" s="1"/>
  <c r="F22"/>
  <c r="F26" s="1"/>
  <c r="F35" s="1"/>
  <c r="D22"/>
  <c r="D26" s="1"/>
  <c r="G18"/>
  <c r="G22" s="1"/>
  <c r="G26" s="1"/>
  <c r="G35" s="1"/>
  <c r="F18"/>
  <c r="E18"/>
  <c r="E22" s="1"/>
  <c r="E26" s="1"/>
  <c r="E35" s="1"/>
  <c r="D18"/>
  <c r="C18"/>
  <c r="C22" s="1"/>
  <c r="C26" s="1"/>
  <c r="C35" s="1"/>
  <c r="G14"/>
  <c r="F14"/>
  <c r="E14"/>
  <c r="D14"/>
  <c r="C14"/>
  <c r="H13"/>
  <c r="G13"/>
  <c r="F13"/>
  <c r="E13"/>
  <c r="D13"/>
  <c r="C13"/>
  <c r="G12"/>
  <c r="F12"/>
  <c r="E12"/>
  <c r="D12"/>
  <c r="C12"/>
  <c r="H11"/>
  <c r="H15" s="1"/>
  <c r="G11"/>
  <c r="G15" s="1"/>
  <c r="F11"/>
  <c r="F15" s="1"/>
  <c r="E11"/>
  <c r="E15" s="1"/>
  <c r="D11"/>
  <c r="D15" s="1"/>
  <c r="C11"/>
  <c r="C15" s="1"/>
  <c r="L113"/>
  <c r="A111"/>
  <c r="A109"/>
  <c r="N100"/>
  <c r="N99"/>
  <c r="N96"/>
  <c r="J96"/>
  <c r="I96"/>
  <c r="S96"/>
  <c r="B96"/>
  <c r="O96" s="1"/>
  <c r="N95"/>
  <c r="N94"/>
  <c r="N93"/>
  <c r="N92"/>
  <c r="N90"/>
  <c r="N87"/>
  <c r="J87"/>
  <c r="I87"/>
  <c r="B87"/>
  <c r="N86"/>
  <c r="N85"/>
  <c r="N84"/>
  <c r="N83"/>
  <c r="N82"/>
  <c r="N81"/>
  <c r="J78"/>
  <c r="W78" s="1"/>
  <c r="I78"/>
  <c r="B78"/>
  <c r="T78"/>
  <c r="O78"/>
  <c r="O76"/>
  <c r="N76"/>
  <c r="W73"/>
  <c r="C73"/>
  <c r="P73" s="1"/>
  <c r="B73"/>
  <c r="O73" s="1"/>
  <c r="Y72"/>
  <c r="N71"/>
  <c r="A70"/>
  <c r="N68"/>
  <c r="A68"/>
  <c r="N62"/>
  <c r="J62"/>
  <c r="I62"/>
  <c r="B62"/>
  <c r="N61"/>
  <c r="N60"/>
  <c r="N59"/>
  <c r="N53"/>
  <c r="J53"/>
  <c r="I53"/>
  <c r="B53"/>
  <c r="B55" s="1"/>
  <c r="N52"/>
  <c r="N51"/>
  <c r="N50"/>
  <c r="J48"/>
  <c r="J118" s="1"/>
  <c r="I48"/>
  <c r="I118" s="1"/>
  <c r="H118"/>
  <c r="B48"/>
  <c r="B118" s="1"/>
  <c r="N47"/>
  <c r="N46"/>
  <c r="N45"/>
  <c r="N44"/>
  <c r="N43"/>
  <c r="N42"/>
  <c r="N36"/>
  <c r="N35"/>
  <c r="N34"/>
  <c r="J34"/>
  <c r="B34"/>
  <c r="N33"/>
  <c r="N32"/>
  <c r="N31"/>
  <c r="N30"/>
  <c r="N24"/>
  <c r="J22"/>
  <c r="J26" s="1"/>
  <c r="I22"/>
  <c r="I26" s="1"/>
  <c r="B22"/>
  <c r="B26" s="1"/>
  <c r="N21"/>
  <c r="N20"/>
  <c r="N19"/>
  <c r="N18"/>
  <c r="N15"/>
  <c r="J15"/>
  <c r="J117" s="1"/>
  <c r="I15"/>
  <c r="B15"/>
  <c r="B117" s="1"/>
  <c r="N14"/>
  <c r="N13"/>
  <c r="N12"/>
  <c r="N11"/>
  <c r="W8"/>
  <c r="P8"/>
  <c r="C114" s="1"/>
  <c r="O8"/>
  <c r="B114" s="1"/>
  <c r="C8"/>
  <c r="D8" s="1"/>
  <c r="E8" s="1"/>
  <c r="F8" s="1"/>
  <c r="G8" s="1"/>
  <c r="H8" s="1"/>
  <c r="I8" s="1"/>
  <c r="Y7"/>
  <c r="N6"/>
  <c r="L113" i="2"/>
  <c r="A111"/>
  <c r="A109"/>
  <c r="C104"/>
  <c r="B104"/>
  <c r="N100"/>
  <c r="H100"/>
  <c r="D100"/>
  <c r="C100"/>
  <c r="B100"/>
  <c r="N99"/>
  <c r="H99"/>
  <c r="D99"/>
  <c r="C99"/>
  <c r="B99"/>
  <c r="N96"/>
  <c r="N95"/>
  <c r="I96"/>
  <c r="H95"/>
  <c r="G95"/>
  <c r="G96" s="1"/>
  <c r="F95"/>
  <c r="F96" s="1"/>
  <c r="E95"/>
  <c r="E96" s="1"/>
  <c r="D95"/>
  <c r="C95"/>
  <c r="B95"/>
  <c r="N94"/>
  <c r="N93"/>
  <c r="H93"/>
  <c r="D93"/>
  <c r="C93"/>
  <c r="B93"/>
  <c r="N92"/>
  <c r="H92"/>
  <c r="D92"/>
  <c r="C92"/>
  <c r="C96" s="1"/>
  <c r="B92"/>
  <c r="N90"/>
  <c r="N87"/>
  <c r="N86"/>
  <c r="G86"/>
  <c r="D86"/>
  <c r="C86"/>
  <c r="B86"/>
  <c r="N85"/>
  <c r="H85"/>
  <c r="D85"/>
  <c r="C85"/>
  <c r="B85"/>
  <c r="N84"/>
  <c r="H84"/>
  <c r="D84"/>
  <c r="C84"/>
  <c r="B84"/>
  <c r="N83"/>
  <c r="G83"/>
  <c r="G87" s="1"/>
  <c r="F83"/>
  <c r="F87" s="1"/>
  <c r="E83"/>
  <c r="E87" s="1"/>
  <c r="D83"/>
  <c r="C83"/>
  <c r="B83"/>
  <c r="N82"/>
  <c r="N81"/>
  <c r="H87"/>
  <c r="D81"/>
  <c r="C81"/>
  <c r="C87" s="1"/>
  <c r="B81"/>
  <c r="H77"/>
  <c r="D77"/>
  <c r="C77"/>
  <c r="B77"/>
  <c r="N76"/>
  <c r="I76"/>
  <c r="I78" s="1"/>
  <c r="H76"/>
  <c r="G76"/>
  <c r="G78" s="1"/>
  <c r="F76"/>
  <c r="F78" s="1"/>
  <c r="S84" s="1"/>
  <c r="E76"/>
  <c r="E78" s="1"/>
  <c r="R93" s="1"/>
  <c r="D76"/>
  <c r="C76"/>
  <c r="B76"/>
  <c r="H75"/>
  <c r="H78" s="1"/>
  <c r="D75"/>
  <c r="C75"/>
  <c r="B75"/>
  <c r="B78" s="1"/>
  <c r="W73"/>
  <c r="J73"/>
  <c r="B73"/>
  <c r="O73" s="1"/>
  <c r="Y72"/>
  <c r="N71"/>
  <c r="A70"/>
  <c r="N68"/>
  <c r="A68"/>
  <c r="N62"/>
  <c r="N61"/>
  <c r="H61"/>
  <c r="F61"/>
  <c r="E61"/>
  <c r="D61"/>
  <c r="C61"/>
  <c r="B61"/>
  <c r="N60"/>
  <c r="I62"/>
  <c r="H60"/>
  <c r="H62" s="1"/>
  <c r="G60"/>
  <c r="G62" s="1"/>
  <c r="E60"/>
  <c r="E62" s="1"/>
  <c r="C60"/>
  <c r="C62" s="1"/>
  <c r="N59"/>
  <c r="I57"/>
  <c r="H57"/>
  <c r="G57"/>
  <c r="F57"/>
  <c r="E57"/>
  <c r="D57"/>
  <c r="C57"/>
  <c r="B57"/>
  <c r="N53"/>
  <c r="N52"/>
  <c r="G52"/>
  <c r="F52"/>
  <c r="E52"/>
  <c r="D52"/>
  <c r="C52"/>
  <c r="B52"/>
  <c r="N51"/>
  <c r="H51"/>
  <c r="H52" s="1"/>
  <c r="G51"/>
  <c r="F51"/>
  <c r="E51"/>
  <c r="D51"/>
  <c r="C51"/>
  <c r="B51"/>
  <c r="N50"/>
  <c r="H50"/>
  <c r="G50"/>
  <c r="G53" s="1"/>
  <c r="F50"/>
  <c r="F53" s="1"/>
  <c r="E50"/>
  <c r="D50"/>
  <c r="C50"/>
  <c r="B50"/>
  <c r="B53" s="1"/>
  <c r="N47"/>
  <c r="H47"/>
  <c r="G47"/>
  <c r="G48" s="1"/>
  <c r="F47"/>
  <c r="E47"/>
  <c r="D47"/>
  <c r="C47"/>
  <c r="B47"/>
  <c r="N46"/>
  <c r="F46"/>
  <c r="E46"/>
  <c r="D46"/>
  <c r="C46"/>
  <c r="B46"/>
  <c r="N45"/>
  <c r="N44"/>
  <c r="H44"/>
  <c r="F44"/>
  <c r="E44"/>
  <c r="D44"/>
  <c r="C44"/>
  <c r="B44"/>
  <c r="N43"/>
  <c r="H43"/>
  <c r="F43"/>
  <c r="E43"/>
  <c r="D43"/>
  <c r="C43"/>
  <c r="B43"/>
  <c r="N42"/>
  <c r="H42"/>
  <c r="F42"/>
  <c r="E42"/>
  <c r="E145" s="1"/>
  <c r="D42"/>
  <c r="C42"/>
  <c r="B42"/>
  <c r="N36"/>
  <c r="H33"/>
  <c r="G33"/>
  <c r="F33"/>
  <c r="E33"/>
  <c r="D33"/>
  <c r="C33"/>
  <c r="B33"/>
  <c r="H32"/>
  <c r="G32"/>
  <c r="F32"/>
  <c r="E32"/>
  <c r="D32"/>
  <c r="C32"/>
  <c r="B32"/>
  <c r="H29"/>
  <c r="G29"/>
  <c r="F29"/>
  <c r="E29"/>
  <c r="D29"/>
  <c r="C29"/>
  <c r="B29"/>
  <c r="N24"/>
  <c r="H24"/>
  <c r="E24"/>
  <c r="D24"/>
  <c r="C24"/>
  <c r="B24"/>
  <c r="N21"/>
  <c r="H21"/>
  <c r="E21"/>
  <c r="D21"/>
  <c r="C21"/>
  <c r="B21"/>
  <c r="N20"/>
  <c r="G20"/>
  <c r="F20"/>
  <c r="F22" s="1"/>
  <c r="E20"/>
  <c r="D20"/>
  <c r="C20"/>
  <c r="B20"/>
  <c r="N19"/>
  <c r="E19"/>
  <c r="D19"/>
  <c r="C19"/>
  <c r="B19"/>
  <c r="N18"/>
  <c r="I22"/>
  <c r="H18"/>
  <c r="H22" s="1"/>
  <c r="E18"/>
  <c r="D18"/>
  <c r="C18"/>
  <c r="B18"/>
  <c r="B22" s="1"/>
  <c r="N15"/>
  <c r="N14"/>
  <c r="H14"/>
  <c r="G14"/>
  <c r="F14"/>
  <c r="E14"/>
  <c r="D14"/>
  <c r="C14"/>
  <c r="B14"/>
  <c r="N13"/>
  <c r="H13"/>
  <c r="G13"/>
  <c r="F13"/>
  <c r="E13"/>
  <c r="D13"/>
  <c r="C13"/>
  <c r="B13"/>
  <c r="N12"/>
  <c r="H12"/>
  <c r="G12"/>
  <c r="H119" s="1"/>
  <c r="F12"/>
  <c r="E12"/>
  <c r="D12"/>
  <c r="C12"/>
  <c r="B12"/>
  <c r="N11"/>
  <c r="H11"/>
  <c r="H15" s="1"/>
  <c r="F11"/>
  <c r="F15" s="1"/>
  <c r="E11"/>
  <c r="D11"/>
  <c r="C11"/>
  <c r="B11"/>
  <c r="W8"/>
  <c r="P8"/>
  <c r="C114" s="1"/>
  <c r="O8"/>
  <c r="B114" s="1"/>
  <c r="C8"/>
  <c r="D8" s="1"/>
  <c r="E8" s="1"/>
  <c r="F8" s="1"/>
  <c r="G8" s="1"/>
  <c r="H8" s="1"/>
  <c r="I8" s="1"/>
  <c r="Y7"/>
  <c r="N6"/>
  <c r="N3"/>
  <c r="K26" i="5" l="1"/>
  <c r="I26"/>
  <c r="J124" i="19"/>
  <c r="J117"/>
  <c r="W77"/>
  <c r="W76"/>
  <c r="W75"/>
  <c r="K119"/>
  <c r="J119"/>
  <c r="I119" i="18"/>
  <c r="J119"/>
  <c r="I90"/>
  <c r="J123" i="17"/>
  <c r="J124"/>
  <c r="J119"/>
  <c r="J123" i="16"/>
  <c r="J118"/>
  <c r="J124"/>
  <c r="W78"/>
  <c r="K119"/>
  <c r="J119"/>
  <c r="M26" i="5"/>
  <c r="J124" i="8"/>
  <c r="J123"/>
  <c r="I117"/>
  <c r="J119"/>
  <c r="I119" i="2"/>
  <c r="D22"/>
  <c r="W95"/>
  <c r="D96"/>
  <c r="D53"/>
  <c r="S87"/>
  <c r="O84"/>
  <c r="B96"/>
  <c r="J119"/>
  <c r="D34"/>
  <c r="T86"/>
  <c r="G133"/>
  <c r="G134"/>
  <c r="V93"/>
  <c r="G119"/>
  <c r="C22"/>
  <c r="E22"/>
  <c r="B34"/>
  <c r="F34"/>
  <c r="H34"/>
  <c r="H48"/>
  <c r="I87"/>
  <c r="V87" s="1"/>
  <c r="I73" i="25"/>
  <c r="V73" s="1"/>
  <c r="U73"/>
  <c r="G114"/>
  <c r="U8"/>
  <c r="G108" i="22"/>
  <c r="V8"/>
  <c r="H108" s="1"/>
  <c r="G70"/>
  <c r="T70"/>
  <c r="W96" i="19"/>
  <c r="J55"/>
  <c r="J122" s="1"/>
  <c r="W96" i="18"/>
  <c r="J117"/>
  <c r="J55"/>
  <c r="J122" s="1"/>
  <c r="I26"/>
  <c r="J117" i="17"/>
  <c r="J55"/>
  <c r="J122" s="1"/>
  <c r="W96" i="16"/>
  <c r="J55"/>
  <c r="J122" s="1"/>
  <c r="I26"/>
  <c r="W96" i="8"/>
  <c r="J55"/>
  <c r="I55" i="18"/>
  <c r="I117"/>
  <c r="B117" i="17"/>
  <c r="B118"/>
  <c r="C73"/>
  <c r="P73" s="1"/>
  <c r="O73"/>
  <c r="O76"/>
  <c r="O78"/>
  <c r="O81"/>
  <c r="O82"/>
  <c r="O83"/>
  <c r="O84"/>
  <c r="O85"/>
  <c r="O86"/>
  <c r="O92"/>
  <c r="O93"/>
  <c r="O94"/>
  <c r="O95"/>
  <c r="O99"/>
  <c r="O100"/>
  <c r="C26"/>
  <c r="P78"/>
  <c r="P86"/>
  <c r="P93"/>
  <c r="P94"/>
  <c r="P95"/>
  <c r="P99"/>
  <c r="C96"/>
  <c r="P96" s="1"/>
  <c r="P92"/>
  <c r="C101"/>
  <c r="P98"/>
  <c r="O87"/>
  <c r="O96"/>
  <c r="P81"/>
  <c r="P83"/>
  <c r="P84"/>
  <c r="P100"/>
  <c r="B26"/>
  <c r="C53"/>
  <c r="E15"/>
  <c r="G15"/>
  <c r="E34"/>
  <c r="G34"/>
  <c r="E53"/>
  <c r="P76"/>
  <c r="E87"/>
  <c r="P82"/>
  <c r="G87"/>
  <c r="P85"/>
  <c r="I55"/>
  <c r="D118"/>
  <c r="F118"/>
  <c r="H118"/>
  <c r="B55"/>
  <c r="W96"/>
  <c r="D15"/>
  <c r="F15"/>
  <c r="H15"/>
  <c r="E35"/>
  <c r="G35"/>
  <c r="D34"/>
  <c r="D35" s="1"/>
  <c r="F34"/>
  <c r="F35" s="1"/>
  <c r="H34"/>
  <c r="H35" s="1"/>
  <c r="E118"/>
  <c r="G118"/>
  <c r="D53"/>
  <c r="F53"/>
  <c r="C87"/>
  <c r="P87" s="1"/>
  <c r="F87"/>
  <c r="V78" i="16"/>
  <c r="V78" i="8"/>
  <c r="H55"/>
  <c r="I55"/>
  <c r="D119" i="19"/>
  <c r="P78"/>
  <c r="P77"/>
  <c r="R78"/>
  <c r="R77"/>
  <c r="T78"/>
  <c r="T77"/>
  <c r="T96"/>
  <c r="Q78"/>
  <c r="Q77"/>
  <c r="S78"/>
  <c r="S77"/>
  <c r="U78"/>
  <c r="U77"/>
  <c r="P87"/>
  <c r="R87"/>
  <c r="T87"/>
  <c r="Q96"/>
  <c r="S96"/>
  <c r="U96"/>
  <c r="C38"/>
  <c r="C117"/>
  <c r="E38"/>
  <c r="E117"/>
  <c r="G38"/>
  <c r="G117"/>
  <c r="B38"/>
  <c r="B117"/>
  <c r="D38"/>
  <c r="D117"/>
  <c r="F38"/>
  <c r="F117"/>
  <c r="H38"/>
  <c r="H117"/>
  <c r="D63"/>
  <c r="D35"/>
  <c r="F35"/>
  <c r="H35"/>
  <c r="C55"/>
  <c r="C63" s="1"/>
  <c r="E55"/>
  <c r="E63" s="1"/>
  <c r="G55"/>
  <c r="G63" s="1"/>
  <c r="B55"/>
  <c r="B63" s="1"/>
  <c r="F63"/>
  <c r="H63"/>
  <c r="I35"/>
  <c r="J35"/>
  <c r="C154"/>
  <c r="C153"/>
  <c r="C152"/>
  <c r="C151"/>
  <c r="C147"/>
  <c r="C146"/>
  <c r="C145"/>
  <c r="C148" s="1"/>
  <c r="C124"/>
  <c r="C123"/>
  <c r="C122"/>
  <c r="E154"/>
  <c r="E153"/>
  <c r="E152"/>
  <c r="E151"/>
  <c r="E147"/>
  <c r="E146"/>
  <c r="E145"/>
  <c r="E148" s="1"/>
  <c r="G154"/>
  <c r="G153"/>
  <c r="G152"/>
  <c r="G151"/>
  <c r="G147"/>
  <c r="G146"/>
  <c r="G145"/>
  <c r="G148" s="1"/>
  <c r="I154"/>
  <c r="I153"/>
  <c r="I152"/>
  <c r="I151"/>
  <c r="I147"/>
  <c r="I146"/>
  <c r="I145"/>
  <c r="R22"/>
  <c r="I38"/>
  <c r="R53"/>
  <c r="V53"/>
  <c r="I55"/>
  <c r="I63" s="1"/>
  <c r="P62"/>
  <c r="B154"/>
  <c r="B153"/>
  <c r="B152"/>
  <c r="B151"/>
  <c r="B147"/>
  <c r="B146"/>
  <c r="B145"/>
  <c r="B148" s="1"/>
  <c r="B124"/>
  <c r="B123"/>
  <c r="D154"/>
  <c r="D153"/>
  <c r="D152"/>
  <c r="D151"/>
  <c r="D147"/>
  <c r="D146"/>
  <c r="D145"/>
  <c r="D124"/>
  <c r="D123"/>
  <c r="D122"/>
  <c r="F154"/>
  <c r="F153"/>
  <c r="F152"/>
  <c r="F151"/>
  <c r="F147"/>
  <c r="F146"/>
  <c r="F145"/>
  <c r="F148" s="1"/>
  <c r="H154"/>
  <c r="H153"/>
  <c r="H152"/>
  <c r="H151"/>
  <c r="H147"/>
  <c r="H146"/>
  <c r="H145"/>
  <c r="H148" s="1"/>
  <c r="U63"/>
  <c r="J154"/>
  <c r="J153"/>
  <c r="J152"/>
  <c r="J151"/>
  <c r="J147"/>
  <c r="J146"/>
  <c r="J145"/>
  <c r="Q8"/>
  <c r="Q22"/>
  <c r="U22"/>
  <c r="O26"/>
  <c r="S62"/>
  <c r="J38"/>
  <c r="P48"/>
  <c r="R48"/>
  <c r="T48"/>
  <c r="R62"/>
  <c r="D137"/>
  <c r="P81"/>
  <c r="R81"/>
  <c r="T81"/>
  <c r="V81"/>
  <c r="O82"/>
  <c r="Q82"/>
  <c r="S82"/>
  <c r="U82"/>
  <c r="W82"/>
  <c r="O83"/>
  <c r="Q83"/>
  <c r="S83"/>
  <c r="U83"/>
  <c r="W83"/>
  <c r="O84"/>
  <c r="Q84"/>
  <c r="S84"/>
  <c r="U84"/>
  <c r="W84"/>
  <c r="O85"/>
  <c r="Q85"/>
  <c r="S85"/>
  <c r="U85"/>
  <c r="W85"/>
  <c r="O86"/>
  <c r="Q86"/>
  <c r="S86"/>
  <c r="U86"/>
  <c r="W86"/>
  <c r="V87"/>
  <c r="J90"/>
  <c r="O92"/>
  <c r="Q92"/>
  <c r="S92"/>
  <c r="U92"/>
  <c r="W92"/>
  <c r="O93"/>
  <c r="Q93"/>
  <c r="S93"/>
  <c r="U93"/>
  <c r="W93"/>
  <c r="P94"/>
  <c r="R94"/>
  <c r="T94"/>
  <c r="V94"/>
  <c r="P95"/>
  <c r="R95"/>
  <c r="T95"/>
  <c r="V95"/>
  <c r="P99"/>
  <c r="R99"/>
  <c r="T99"/>
  <c r="V99"/>
  <c r="P100"/>
  <c r="R100"/>
  <c r="T100"/>
  <c r="V100"/>
  <c r="C119"/>
  <c r="C133"/>
  <c r="C134"/>
  <c r="C135"/>
  <c r="C136"/>
  <c r="C137"/>
  <c r="D73"/>
  <c r="O81"/>
  <c r="Q81"/>
  <c r="S81"/>
  <c r="U81"/>
  <c r="W81"/>
  <c r="P82"/>
  <c r="R82"/>
  <c r="T82"/>
  <c r="V82"/>
  <c r="P83"/>
  <c r="R83"/>
  <c r="T83"/>
  <c r="V83"/>
  <c r="P84"/>
  <c r="R84"/>
  <c r="T84"/>
  <c r="V84"/>
  <c r="P85"/>
  <c r="R85"/>
  <c r="T85"/>
  <c r="V85"/>
  <c r="P86"/>
  <c r="R86"/>
  <c r="T86"/>
  <c r="V86"/>
  <c r="O87"/>
  <c r="Q87"/>
  <c r="S87"/>
  <c r="U87"/>
  <c r="W87"/>
  <c r="I90"/>
  <c r="P92"/>
  <c r="R92"/>
  <c r="T92"/>
  <c r="V92"/>
  <c r="P93"/>
  <c r="R93"/>
  <c r="T93"/>
  <c r="V93"/>
  <c r="O94"/>
  <c r="Q94"/>
  <c r="S94"/>
  <c r="U94"/>
  <c r="W94"/>
  <c r="O95"/>
  <c r="Q95"/>
  <c r="S95"/>
  <c r="U95"/>
  <c r="W95"/>
  <c r="P96"/>
  <c r="R96"/>
  <c r="V96"/>
  <c r="O99"/>
  <c r="Q99"/>
  <c r="S99"/>
  <c r="U99"/>
  <c r="W99"/>
  <c r="O100"/>
  <c r="Q100"/>
  <c r="S100"/>
  <c r="U100"/>
  <c r="W100"/>
  <c r="B119"/>
  <c r="B133"/>
  <c r="D133"/>
  <c r="B134"/>
  <c r="D134"/>
  <c r="B135"/>
  <c r="D135"/>
  <c r="B136"/>
  <c r="D136"/>
  <c r="D90" i="18"/>
  <c r="D98" s="1"/>
  <c r="D101" s="1"/>
  <c r="F90"/>
  <c r="F98" s="1"/>
  <c r="F101" s="1"/>
  <c r="H90"/>
  <c r="H98" s="1"/>
  <c r="H101" s="1"/>
  <c r="E55"/>
  <c r="D63"/>
  <c r="F63"/>
  <c r="H63"/>
  <c r="E63"/>
  <c r="G63"/>
  <c r="E117"/>
  <c r="H35"/>
  <c r="B35"/>
  <c r="J35"/>
  <c r="C35"/>
  <c r="B154"/>
  <c r="B153"/>
  <c r="B152"/>
  <c r="B151"/>
  <c r="B155" s="1"/>
  <c r="B147"/>
  <c r="B146"/>
  <c r="B145"/>
  <c r="B148" s="1"/>
  <c r="B124"/>
  <c r="B123"/>
  <c r="B122"/>
  <c r="D154"/>
  <c r="D153"/>
  <c r="D152"/>
  <c r="D151"/>
  <c r="D147"/>
  <c r="D146"/>
  <c r="D145"/>
  <c r="D124"/>
  <c r="D123"/>
  <c r="D122"/>
  <c r="F154"/>
  <c r="F153"/>
  <c r="F152"/>
  <c r="F151"/>
  <c r="F147"/>
  <c r="F146"/>
  <c r="F145"/>
  <c r="F148" s="1"/>
  <c r="H154"/>
  <c r="H153"/>
  <c r="H152"/>
  <c r="H151"/>
  <c r="H147"/>
  <c r="H146"/>
  <c r="H145"/>
  <c r="H148" s="1"/>
  <c r="J154"/>
  <c r="J153"/>
  <c r="J152"/>
  <c r="J151"/>
  <c r="J147"/>
  <c r="J146"/>
  <c r="J145"/>
  <c r="Q8"/>
  <c r="B38"/>
  <c r="D38"/>
  <c r="Q15" s="1"/>
  <c r="F38"/>
  <c r="S26" s="1"/>
  <c r="H38"/>
  <c r="U15" s="1"/>
  <c r="J38"/>
  <c r="W48" s="1"/>
  <c r="Q53"/>
  <c r="B63"/>
  <c r="O63" s="1"/>
  <c r="C154"/>
  <c r="C153"/>
  <c r="C152"/>
  <c r="C151"/>
  <c r="C155" s="1"/>
  <c r="C147"/>
  <c r="C146"/>
  <c r="C145"/>
  <c r="C148" s="1"/>
  <c r="C124"/>
  <c r="C123"/>
  <c r="C122"/>
  <c r="C63"/>
  <c r="E154"/>
  <c r="E153"/>
  <c r="E152"/>
  <c r="E151"/>
  <c r="E147"/>
  <c r="E146"/>
  <c r="E145"/>
  <c r="E148" s="1"/>
  <c r="G154"/>
  <c r="G153"/>
  <c r="G152"/>
  <c r="G151"/>
  <c r="G147"/>
  <c r="G146"/>
  <c r="G145"/>
  <c r="G148" s="1"/>
  <c r="I154"/>
  <c r="I153"/>
  <c r="I152"/>
  <c r="I151"/>
  <c r="I146"/>
  <c r="I145"/>
  <c r="I63"/>
  <c r="C38"/>
  <c r="P26" s="1"/>
  <c r="E38"/>
  <c r="R15" s="1"/>
  <c r="G38"/>
  <c r="T26" s="1"/>
  <c r="I38"/>
  <c r="O48"/>
  <c r="Q48"/>
  <c r="S48"/>
  <c r="U48"/>
  <c r="B137"/>
  <c r="C73"/>
  <c r="P81"/>
  <c r="R81"/>
  <c r="T81"/>
  <c r="V81"/>
  <c r="O82"/>
  <c r="Q82"/>
  <c r="S82"/>
  <c r="U82"/>
  <c r="W82"/>
  <c r="O83"/>
  <c r="Q83"/>
  <c r="S83"/>
  <c r="U83"/>
  <c r="W83"/>
  <c r="O84"/>
  <c r="Q84"/>
  <c r="S84"/>
  <c r="U84"/>
  <c r="W84"/>
  <c r="O85"/>
  <c r="Q85"/>
  <c r="S85"/>
  <c r="U85"/>
  <c r="W85"/>
  <c r="O86"/>
  <c r="Q86"/>
  <c r="S86"/>
  <c r="U86"/>
  <c r="W86"/>
  <c r="V87"/>
  <c r="B90"/>
  <c r="J90"/>
  <c r="O92"/>
  <c r="Q92"/>
  <c r="S92"/>
  <c r="U92"/>
  <c r="W92"/>
  <c r="O93"/>
  <c r="Q93"/>
  <c r="S93"/>
  <c r="U93"/>
  <c r="W93"/>
  <c r="P94"/>
  <c r="R94"/>
  <c r="T94"/>
  <c r="V94"/>
  <c r="P95"/>
  <c r="R95"/>
  <c r="T95"/>
  <c r="V95"/>
  <c r="P99"/>
  <c r="R99"/>
  <c r="T99"/>
  <c r="V99"/>
  <c r="P100"/>
  <c r="R100"/>
  <c r="T100"/>
  <c r="V100"/>
  <c r="C119"/>
  <c r="C133"/>
  <c r="C134"/>
  <c r="C135"/>
  <c r="C136"/>
  <c r="C137"/>
  <c r="O81"/>
  <c r="Q81"/>
  <c r="S81"/>
  <c r="U81"/>
  <c r="W81"/>
  <c r="P82"/>
  <c r="R82"/>
  <c r="T82"/>
  <c r="V82"/>
  <c r="P83"/>
  <c r="R83"/>
  <c r="T83"/>
  <c r="V83"/>
  <c r="P84"/>
  <c r="R84"/>
  <c r="T84"/>
  <c r="V84"/>
  <c r="P85"/>
  <c r="R85"/>
  <c r="T85"/>
  <c r="V85"/>
  <c r="P86"/>
  <c r="R86"/>
  <c r="T86"/>
  <c r="V86"/>
  <c r="O87"/>
  <c r="Q87"/>
  <c r="S87"/>
  <c r="U87"/>
  <c r="W87"/>
  <c r="C90"/>
  <c r="P92"/>
  <c r="R92"/>
  <c r="T92"/>
  <c r="V92"/>
  <c r="P93"/>
  <c r="R93"/>
  <c r="T93"/>
  <c r="V93"/>
  <c r="O94"/>
  <c r="Q94"/>
  <c r="S94"/>
  <c r="U94"/>
  <c r="W94"/>
  <c r="O95"/>
  <c r="Q95"/>
  <c r="S95"/>
  <c r="U95"/>
  <c r="W95"/>
  <c r="P96"/>
  <c r="R96"/>
  <c r="V96"/>
  <c r="O99"/>
  <c r="Q99"/>
  <c r="S99"/>
  <c r="U99"/>
  <c r="W99"/>
  <c r="O100"/>
  <c r="Q100"/>
  <c r="S100"/>
  <c r="U100"/>
  <c r="W100"/>
  <c r="B119"/>
  <c r="B133"/>
  <c r="D133"/>
  <c r="B134"/>
  <c r="D134"/>
  <c r="B135"/>
  <c r="D135"/>
  <c r="B136"/>
  <c r="D136"/>
  <c r="Q78" i="17"/>
  <c r="Q76"/>
  <c r="D90"/>
  <c r="F90"/>
  <c r="H90"/>
  <c r="R87"/>
  <c r="T87"/>
  <c r="Q96"/>
  <c r="S96"/>
  <c r="U96"/>
  <c r="C90"/>
  <c r="D119"/>
  <c r="E90"/>
  <c r="R78"/>
  <c r="R76"/>
  <c r="G90"/>
  <c r="T96"/>
  <c r="E38"/>
  <c r="R31" s="1"/>
  <c r="E117"/>
  <c r="G38"/>
  <c r="T33" s="1"/>
  <c r="G117"/>
  <c r="C38"/>
  <c r="P34" s="1"/>
  <c r="E55"/>
  <c r="H55"/>
  <c r="H63" s="1"/>
  <c r="D117"/>
  <c r="D38"/>
  <c r="F117"/>
  <c r="F38"/>
  <c r="H117"/>
  <c r="H38"/>
  <c r="D55"/>
  <c r="D63" s="1"/>
  <c r="F55"/>
  <c r="F63" s="1"/>
  <c r="G55"/>
  <c r="G63" s="1"/>
  <c r="E63"/>
  <c r="I35"/>
  <c r="B35"/>
  <c r="J35"/>
  <c r="C154"/>
  <c r="C153"/>
  <c r="C152"/>
  <c r="C151"/>
  <c r="C155" s="1"/>
  <c r="C147"/>
  <c r="C146"/>
  <c r="C145"/>
  <c r="C124"/>
  <c r="C123"/>
  <c r="E154"/>
  <c r="E153"/>
  <c r="E152"/>
  <c r="E151"/>
  <c r="E155" s="1"/>
  <c r="E147"/>
  <c r="E146"/>
  <c r="E145"/>
  <c r="G154"/>
  <c r="G153"/>
  <c r="G152"/>
  <c r="G151"/>
  <c r="G155" s="1"/>
  <c r="G147"/>
  <c r="G146"/>
  <c r="G145"/>
  <c r="I154"/>
  <c r="I153"/>
  <c r="I152"/>
  <c r="I151"/>
  <c r="I147"/>
  <c r="I146"/>
  <c r="I145"/>
  <c r="I148" s="1"/>
  <c r="I63"/>
  <c r="R22"/>
  <c r="I38"/>
  <c r="V22" s="1"/>
  <c r="R53"/>
  <c r="V53"/>
  <c r="R62"/>
  <c r="V62"/>
  <c r="B154"/>
  <c r="B153"/>
  <c r="B152"/>
  <c r="B151"/>
  <c r="B155" s="1"/>
  <c r="B147"/>
  <c r="B146"/>
  <c r="B145"/>
  <c r="B148" s="1"/>
  <c r="B124"/>
  <c r="B123"/>
  <c r="B122"/>
  <c r="B63"/>
  <c r="O63" s="1"/>
  <c r="D154"/>
  <c r="D153"/>
  <c r="D152"/>
  <c r="D151"/>
  <c r="D147"/>
  <c r="D146"/>
  <c r="D145"/>
  <c r="D124"/>
  <c r="D123"/>
  <c r="D122"/>
  <c r="F154"/>
  <c r="F153"/>
  <c r="F152"/>
  <c r="F151"/>
  <c r="F147"/>
  <c r="F146"/>
  <c r="F145"/>
  <c r="F148" s="1"/>
  <c r="H154"/>
  <c r="H153"/>
  <c r="H152"/>
  <c r="H151"/>
  <c r="H147"/>
  <c r="H146"/>
  <c r="H145"/>
  <c r="J154"/>
  <c r="J153"/>
  <c r="J152"/>
  <c r="J151"/>
  <c r="J147"/>
  <c r="J146"/>
  <c r="J145"/>
  <c r="J63"/>
  <c r="Q8"/>
  <c r="Q22"/>
  <c r="U22"/>
  <c r="B38"/>
  <c r="S26"/>
  <c r="J38"/>
  <c r="R48"/>
  <c r="T48"/>
  <c r="V48"/>
  <c r="Q53"/>
  <c r="S53"/>
  <c r="U53"/>
  <c r="T62"/>
  <c r="B137"/>
  <c r="D137"/>
  <c r="R81"/>
  <c r="T81"/>
  <c r="Q82"/>
  <c r="S82"/>
  <c r="U82"/>
  <c r="W82"/>
  <c r="Q83"/>
  <c r="S83"/>
  <c r="U83"/>
  <c r="W83"/>
  <c r="Q84"/>
  <c r="S84"/>
  <c r="U84"/>
  <c r="W84"/>
  <c r="Q85"/>
  <c r="S85"/>
  <c r="U85"/>
  <c r="W85"/>
  <c r="Q86"/>
  <c r="S86"/>
  <c r="U86"/>
  <c r="W86"/>
  <c r="B90"/>
  <c r="J90"/>
  <c r="Q92"/>
  <c r="S92"/>
  <c r="U92"/>
  <c r="W92"/>
  <c r="Q93"/>
  <c r="S93"/>
  <c r="U93"/>
  <c r="W93"/>
  <c r="R94"/>
  <c r="T94"/>
  <c r="R95"/>
  <c r="T95"/>
  <c r="R99"/>
  <c r="T99"/>
  <c r="R100"/>
  <c r="T100"/>
  <c r="C119"/>
  <c r="C133"/>
  <c r="C134"/>
  <c r="C135"/>
  <c r="C136"/>
  <c r="C137"/>
  <c r="D73"/>
  <c r="Q81"/>
  <c r="S81"/>
  <c r="U81"/>
  <c r="W81"/>
  <c r="R82"/>
  <c r="T82"/>
  <c r="R83"/>
  <c r="T83"/>
  <c r="R84"/>
  <c r="T84"/>
  <c r="R85"/>
  <c r="T85"/>
  <c r="R86"/>
  <c r="T86"/>
  <c r="Q87"/>
  <c r="S87"/>
  <c r="U87"/>
  <c r="W87"/>
  <c r="R92"/>
  <c r="T92"/>
  <c r="R93"/>
  <c r="T93"/>
  <c r="Q94"/>
  <c r="S94"/>
  <c r="U94"/>
  <c r="W94"/>
  <c r="Q95"/>
  <c r="S95"/>
  <c r="U95"/>
  <c r="W95"/>
  <c r="R96"/>
  <c r="Q99"/>
  <c r="S99"/>
  <c r="U99"/>
  <c r="W99"/>
  <c r="Q100"/>
  <c r="S100"/>
  <c r="U100"/>
  <c r="W100"/>
  <c r="B119"/>
  <c r="B133"/>
  <c r="D133"/>
  <c r="B134"/>
  <c r="D134"/>
  <c r="B135"/>
  <c r="D135"/>
  <c r="B136"/>
  <c r="D136"/>
  <c r="Q96" i="16"/>
  <c r="S96"/>
  <c r="C90"/>
  <c r="C98" s="1"/>
  <c r="C101" s="1"/>
  <c r="D119"/>
  <c r="P78"/>
  <c r="P76"/>
  <c r="E90"/>
  <c r="E98" s="1"/>
  <c r="E101" s="1"/>
  <c r="R78"/>
  <c r="R76"/>
  <c r="G90"/>
  <c r="G98" s="1"/>
  <c r="T78"/>
  <c r="Q78"/>
  <c r="Q76"/>
  <c r="D90"/>
  <c r="D98" s="1"/>
  <c r="D101" s="1"/>
  <c r="S78"/>
  <c r="F90"/>
  <c r="F98" s="1"/>
  <c r="P87"/>
  <c r="R87"/>
  <c r="T87"/>
  <c r="T96"/>
  <c r="C38"/>
  <c r="C117"/>
  <c r="E38"/>
  <c r="E117"/>
  <c r="G38"/>
  <c r="G117"/>
  <c r="H38"/>
  <c r="H117"/>
  <c r="F35"/>
  <c r="C53"/>
  <c r="C55" s="1"/>
  <c r="E53"/>
  <c r="E55" s="1"/>
  <c r="G53"/>
  <c r="G55" s="1"/>
  <c r="H55"/>
  <c r="C63"/>
  <c r="E63"/>
  <c r="G63"/>
  <c r="H63"/>
  <c r="D117"/>
  <c r="F38"/>
  <c r="F117"/>
  <c r="D55"/>
  <c r="F55"/>
  <c r="D63"/>
  <c r="F63"/>
  <c r="D33"/>
  <c r="I35"/>
  <c r="B35"/>
  <c r="J35"/>
  <c r="U55"/>
  <c r="C154"/>
  <c r="C153"/>
  <c r="C152"/>
  <c r="C151"/>
  <c r="C147"/>
  <c r="C146"/>
  <c r="C145"/>
  <c r="C148" s="1"/>
  <c r="C124"/>
  <c r="C123"/>
  <c r="C122"/>
  <c r="E154"/>
  <c r="E153"/>
  <c r="E152"/>
  <c r="E151"/>
  <c r="E147"/>
  <c r="E146"/>
  <c r="E145"/>
  <c r="E148" s="1"/>
  <c r="G154"/>
  <c r="G153"/>
  <c r="G152"/>
  <c r="G151"/>
  <c r="G147"/>
  <c r="G146"/>
  <c r="G145"/>
  <c r="G148" s="1"/>
  <c r="I154"/>
  <c r="I153"/>
  <c r="I152"/>
  <c r="I151"/>
  <c r="I147"/>
  <c r="I146"/>
  <c r="I145"/>
  <c r="R22"/>
  <c r="I38"/>
  <c r="R53"/>
  <c r="V53"/>
  <c r="I55"/>
  <c r="R62"/>
  <c r="B154"/>
  <c r="B153"/>
  <c r="B152"/>
  <c r="B151"/>
  <c r="B155" s="1"/>
  <c r="B147"/>
  <c r="B146"/>
  <c r="B145"/>
  <c r="B148" s="1"/>
  <c r="B124"/>
  <c r="B123"/>
  <c r="B122"/>
  <c r="B63"/>
  <c r="D154"/>
  <c r="D153"/>
  <c r="D152"/>
  <c r="D151"/>
  <c r="D147"/>
  <c r="D146"/>
  <c r="D145"/>
  <c r="D124"/>
  <c r="D123"/>
  <c r="D122"/>
  <c r="F154"/>
  <c r="F153"/>
  <c r="F152"/>
  <c r="F151"/>
  <c r="F155" s="1"/>
  <c r="F147"/>
  <c r="F146"/>
  <c r="F145"/>
  <c r="H154"/>
  <c r="H153"/>
  <c r="H152"/>
  <c r="H151"/>
  <c r="H155" s="1"/>
  <c r="H147"/>
  <c r="H146"/>
  <c r="H145"/>
  <c r="U62"/>
  <c r="J154"/>
  <c r="J153"/>
  <c r="J152"/>
  <c r="J151"/>
  <c r="J147"/>
  <c r="J146"/>
  <c r="J145"/>
  <c r="J148" s="1"/>
  <c r="Q8"/>
  <c r="U22"/>
  <c r="B38"/>
  <c r="J38"/>
  <c r="P48"/>
  <c r="R48"/>
  <c r="T48"/>
  <c r="V48"/>
  <c r="P62"/>
  <c r="B137"/>
  <c r="P81"/>
  <c r="R81"/>
  <c r="T81"/>
  <c r="V81"/>
  <c r="O82"/>
  <c r="Q82"/>
  <c r="S82"/>
  <c r="U82"/>
  <c r="W82"/>
  <c r="O83"/>
  <c r="Q83"/>
  <c r="S83"/>
  <c r="U83"/>
  <c r="W83"/>
  <c r="O84"/>
  <c r="Q84"/>
  <c r="S84"/>
  <c r="U84"/>
  <c r="W84"/>
  <c r="O85"/>
  <c r="Q85"/>
  <c r="S85"/>
  <c r="U85"/>
  <c r="W85"/>
  <c r="O86"/>
  <c r="Q86"/>
  <c r="S86"/>
  <c r="U86"/>
  <c r="W86"/>
  <c r="V87"/>
  <c r="B90"/>
  <c r="J90"/>
  <c r="O92"/>
  <c r="Q92"/>
  <c r="S92"/>
  <c r="U92"/>
  <c r="W92"/>
  <c r="O93"/>
  <c r="Q93"/>
  <c r="S93"/>
  <c r="U93"/>
  <c r="W93"/>
  <c r="P94"/>
  <c r="R94"/>
  <c r="T94"/>
  <c r="V94"/>
  <c r="P95"/>
  <c r="R95"/>
  <c r="T95"/>
  <c r="V95"/>
  <c r="P99"/>
  <c r="R99"/>
  <c r="T99"/>
  <c r="V99"/>
  <c r="P100"/>
  <c r="R100"/>
  <c r="T100"/>
  <c r="V100"/>
  <c r="C119"/>
  <c r="C133"/>
  <c r="C134"/>
  <c r="C135"/>
  <c r="C136"/>
  <c r="D73"/>
  <c r="O81"/>
  <c r="Q81"/>
  <c r="S81"/>
  <c r="U81"/>
  <c r="W81"/>
  <c r="P82"/>
  <c r="R82"/>
  <c r="T82"/>
  <c r="V82"/>
  <c r="P83"/>
  <c r="R83"/>
  <c r="T83"/>
  <c r="V83"/>
  <c r="P84"/>
  <c r="R84"/>
  <c r="T84"/>
  <c r="V84"/>
  <c r="P85"/>
  <c r="R85"/>
  <c r="T85"/>
  <c r="V85"/>
  <c r="P86"/>
  <c r="R86"/>
  <c r="T86"/>
  <c r="V86"/>
  <c r="O87"/>
  <c r="Q87"/>
  <c r="S87"/>
  <c r="U87"/>
  <c r="W87"/>
  <c r="P92"/>
  <c r="R92"/>
  <c r="T92"/>
  <c r="V92"/>
  <c r="P93"/>
  <c r="R93"/>
  <c r="T93"/>
  <c r="V93"/>
  <c r="O94"/>
  <c r="Q94"/>
  <c r="S94"/>
  <c r="U94"/>
  <c r="W94"/>
  <c r="O95"/>
  <c r="Q95"/>
  <c r="S95"/>
  <c r="U95"/>
  <c r="W95"/>
  <c r="P96"/>
  <c r="R96"/>
  <c r="V96"/>
  <c r="O99"/>
  <c r="Q99"/>
  <c r="S99"/>
  <c r="U99"/>
  <c r="W99"/>
  <c r="O100"/>
  <c r="Q100"/>
  <c r="S100"/>
  <c r="U100"/>
  <c r="W100"/>
  <c r="B119"/>
  <c r="B133"/>
  <c r="D133"/>
  <c r="B134"/>
  <c r="D134"/>
  <c r="B135"/>
  <c r="D135"/>
  <c r="B136"/>
  <c r="D136"/>
  <c r="P87" i="8"/>
  <c r="R87"/>
  <c r="C90"/>
  <c r="C98" s="1"/>
  <c r="C101" s="1"/>
  <c r="D119"/>
  <c r="P78"/>
  <c r="P76"/>
  <c r="E90"/>
  <c r="E98" s="1"/>
  <c r="E101" s="1"/>
  <c r="R78"/>
  <c r="R76"/>
  <c r="D90"/>
  <c r="D98" s="1"/>
  <c r="D101" s="1"/>
  <c r="F90"/>
  <c r="F98" s="1"/>
  <c r="F101" s="1"/>
  <c r="H90"/>
  <c r="H98" s="1"/>
  <c r="H101" s="1"/>
  <c r="Q76"/>
  <c r="U78"/>
  <c r="C38"/>
  <c r="C117"/>
  <c r="E38"/>
  <c r="E117"/>
  <c r="G38"/>
  <c r="G117"/>
  <c r="C55"/>
  <c r="E55"/>
  <c r="G55"/>
  <c r="G63"/>
  <c r="H63"/>
  <c r="D117"/>
  <c r="D38"/>
  <c r="F117"/>
  <c r="F38"/>
  <c r="H117"/>
  <c r="H38"/>
  <c r="D35"/>
  <c r="H35"/>
  <c r="D55"/>
  <c r="D63" s="1"/>
  <c r="F55"/>
  <c r="F63"/>
  <c r="C63"/>
  <c r="E63"/>
  <c r="I35"/>
  <c r="B35"/>
  <c r="J35"/>
  <c r="B154"/>
  <c r="B153"/>
  <c r="B152"/>
  <c r="B151"/>
  <c r="B155" s="1"/>
  <c r="B147"/>
  <c r="B146"/>
  <c r="B145"/>
  <c r="B148" s="1"/>
  <c r="B124"/>
  <c r="B123"/>
  <c r="B122"/>
  <c r="B63"/>
  <c r="D154"/>
  <c r="D153"/>
  <c r="D152"/>
  <c r="D151"/>
  <c r="D147"/>
  <c r="D146"/>
  <c r="D145"/>
  <c r="D123"/>
  <c r="D122"/>
  <c r="F154"/>
  <c r="F153"/>
  <c r="F152"/>
  <c r="F151"/>
  <c r="F147"/>
  <c r="F146"/>
  <c r="F145"/>
  <c r="F148" s="1"/>
  <c r="H154"/>
  <c r="H153"/>
  <c r="H152"/>
  <c r="H151"/>
  <c r="H147"/>
  <c r="H146"/>
  <c r="H145"/>
  <c r="H148" s="1"/>
  <c r="J154"/>
  <c r="J153"/>
  <c r="J152"/>
  <c r="J151"/>
  <c r="J147"/>
  <c r="J146"/>
  <c r="J145"/>
  <c r="J148" s="1"/>
  <c r="Q8"/>
  <c r="O22"/>
  <c r="S22"/>
  <c r="B38"/>
  <c r="Q62"/>
  <c r="U22"/>
  <c r="J38"/>
  <c r="O53"/>
  <c r="S53"/>
  <c r="C154"/>
  <c r="C153"/>
  <c r="C152"/>
  <c r="C151"/>
  <c r="C147"/>
  <c r="C146"/>
  <c r="C145"/>
  <c r="C148" s="1"/>
  <c r="C124"/>
  <c r="C123"/>
  <c r="C122"/>
  <c r="E154"/>
  <c r="E153"/>
  <c r="E152"/>
  <c r="E151"/>
  <c r="E147"/>
  <c r="E146"/>
  <c r="E145"/>
  <c r="E148" s="1"/>
  <c r="G154"/>
  <c r="G153"/>
  <c r="G152"/>
  <c r="G151"/>
  <c r="G147"/>
  <c r="G146"/>
  <c r="G145"/>
  <c r="G148" s="1"/>
  <c r="I154"/>
  <c r="I153"/>
  <c r="I152"/>
  <c r="I151"/>
  <c r="I147"/>
  <c r="I146"/>
  <c r="I145"/>
  <c r="I63"/>
  <c r="I38"/>
  <c r="O48"/>
  <c r="Q48"/>
  <c r="S48"/>
  <c r="U48"/>
  <c r="R53"/>
  <c r="R62"/>
  <c r="B137"/>
  <c r="P81"/>
  <c r="R81"/>
  <c r="T81"/>
  <c r="V81"/>
  <c r="O82"/>
  <c r="Q82"/>
  <c r="S82"/>
  <c r="U82"/>
  <c r="W82"/>
  <c r="O83"/>
  <c r="Q83"/>
  <c r="S83"/>
  <c r="U83"/>
  <c r="W83"/>
  <c r="O84"/>
  <c r="Q84"/>
  <c r="S84"/>
  <c r="U84"/>
  <c r="W84"/>
  <c r="O85"/>
  <c r="Q85"/>
  <c r="S85"/>
  <c r="U85"/>
  <c r="W85"/>
  <c r="O86"/>
  <c r="Q86"/>
  <c r="S86"/>
  <c r="U86"/>
  <c r="W86"/>
  <c r="V87"/>
  <c r="B90"/>
  <c r="J90"/>
  <c r="W90" s="1"/>
  <c r="O92"/>
  <c r="Q92"/>
  <c r="S92"/>
  <c r="U92"/>
  <c r="W92"/>
  <c r="O93"/>
  <c r="Q93"/>
  <c r="S93"/>
  <c r="U93"/>
  <c r="W93"/>
  <c r="P94"/>
  <c r="R94"/>
  <c r="T94"/>
  <c r="V94"/>
  <c r="P95"/>
  <c r="R95"/>
  <c r="T95"/>
  <c r="V95"/>
  <c r="P99"/>
  <c r="R99"/>
  <c r="T99"/>
  <c r="V99"/>
  <c r="P100"/>
  <c r="R100"/>
  <c r="T100"/>
  <c r="V100"/>
  <c r="C119"/>
  <c r="C133"/>
  <c r="C134"/>
  <c r="C135"/>
  <c r="C136"/>
  <c r="C137"/>
  <c r="D73"/>
  <c r="O81"/>
  <c r="Q81"/>
  <c r="S81"/>
  <c r="U81"/>
  <c r="W81"/>
  <c r="P82"/>
  <c r="R82"/>
  <c r="T82"/>
  <c r="V82"/>
  <c r="P83"/>
  <c r="R83"/>
  <c r="T83"/>
  <c r="V83"/>
  <c r="P84"/>
  <c r="R84"/>
  <c r="T84"/>
  <c r="V84"/>
  <c r="P85"/>
  <c r="R85"/>
  <c r="T85"/>
  <c r="V85"/>
  <c r="P86"/>
  <c r="R86"/>
  <c r="T86"/>
  <c r="V86"/>
  <c r="O87"/>
  <c r="Q87"/>
  <c r="S87"/>
  <c r="U87"/>
  <c r="W87"/>
  <c r="I90"/>
  <c r="P92"/>
  <c r="R92"/>
  <c r="T92"/>
  <c r="V92"/>
  <c r="P93"/>
  <c r="R93"/>
  <c r="T93"/>
  <c r="V93"/>
  <c r="O94"/>
  <c r="Q94"/>
  <c r="S94"/>
  <c r="U94"/>
  <c r="W94"/>
  <c r="O95"/>
  <c r="Q95"/>
  <c r="S95"/>
  <c r="U95"/>
  <c r="W95"/>
  <c r="P96"/>
  <c r="R96"/>
  <c r="V96"/>
  <c r="O99"/>
  <c r="Q99"/>
  <c r="S99"/>
  <c r="U99"/>
  <c r="W99"/>
  <c r="O100"/>
  <c r="Q100"/>
  <c r="S100"/>
  <c r="U100"/>
  <c r="W100"/>
  <c r="B119"/>
  <c r="B133"/>
  <c r="D133"/>
  <c r="B134"/>
  <c r="D134"/>
  <c r="B135"/>
  <c r="D135"/>
  <c r="B136"/>
  <c r="D136"/>
  <c r="H117" i="2"/>
  <c r="C26"/>
  <c r="E26"/>
  <c r="I26"/>
  <c r="B26"/>
  <c r="D26"/>
  <c r="H26"/>
  <c r="H124" s="1"/>
  <c r="F26"/>
  <c r="G55"/>
  <c r="H53"/>
  <c r="E154"/>
  <c r="E147"/>
  <c r="E124"/>
  <c r="H154"/>
  <c r="H147"/>
  <c r="H123"/>
  <c r="J154"/>
  <c r="J153"/>
  <c r="J152"/>
  <c r="J151"/>
  <c r="J147"/>
  <c r="J146"/>
  <c r="J145"/>
  <c r="J123"/>
  <c r="B136"/>
  <c r="B134"/>
  <c r="B133"/>
  <c r="O94"/>
  <c r="O78"/>
  <c r="O82"/>
  <c r="O76"/>
  <c r="D15"/>
  <c r="U87"/>
  <c r="O83"/>
  <c r="U83"/>
  <c r="O85"/>
  <c r="O96"/>
  <c r="C15"/>
  <c r="E15"/>
  <c r="H118"/>
  <c r="F119"/>
  <c r="G118"/>
  <c r="G15"/>
  <c r="I15"/>
  <c r="F38"/>
  <c r="J117"/>
  <c r="C154"/>
  <c r="C147"/>
  <c r="C124"/>
  <c r="G154"/>
  <c r="G147"/>
  <c r="G123"/>
  <c r="G122"/>
  <c r="G63"/>
  <c r="I154"/>
  <c r="I147"/>
  <c r="I124"/>
  <c r="U100"/>
  <c r="U99"/>
  <c r="H90"/>
  <c r="U95"/>
  <c r="U84"/>
  <c r="U82"/>
  <c r="U78"/>
  <c r="U94"/>
  <c r="U85"/>
  <c r="Q8"/>
  <c r="B15"/>
  <c r="G22"/>
  <c r="S43"/>
  <c r="S50"/>
  <c r="B119"/>
  <c r="I152"/>
  <c r="I145"/>
  <c r="H153"/>
  <c r="H146"/>
  <c r="B87"/>
  <c r="O87" s="1"/>
  <c r="O81"/>
  <c r="D87"/>
  <c r="S11"/>
  <c r="J118"/>
  <c r="C34"/>
  <c r="E34"/>
  <c r="G34"/>
  <c r="I34"/>
  <c r="C151"/>
  <c r="E151"/>
  <c r="H151"/>
  <c r="B48"/>
  <c r="D48"/>
  <c r="F48"/>
  <c r="S48" s="1"/>
  <c r="C53"/>
  <c r="E53"/>
  <c r="I53"/>
  <c r="S53"/>
  <c r="B60"/>
  <c r="D60"/>
  <c r="F60"/>
  <c r="C73"/>
  <c r="C78"/>
  <c r="S78"/>
  <c r="W78"/>
  <c r="D78"/>
  <c r="T81"/>
  <c r="S82"/>
  <c r="W82"/>
  <c r="P83"/>
  <c r="R83"/>
  <c r="T83"/>
  <c r="V83"/>
  <c r="Q83"/>
  <c r="W84"/>
  <c r="P85"/>
  <c r="O86"/>
  <c r="U86"/>
  <c r="R87"/>
  <c r="W87"/>
  <c r="E90"/>
  <c r="I90"/>
  <c r="O92"/>
  <c r="Q92"/>
  <c r="R92"/>
  <c r="V92"/>
  <c r="O93"/>
  <c r="Q93"/>
  <c r="S96"/>
  <c r="O95"/>
  <c r="S95"/>
  <c r="P99"/>
  <c r="O100"/>
  <c r="Q100"/>
  <c r="C152"/>
  <c r="C145"/>
  <c r="E152"/>
  <c r="H152"/>
  <c r="H145"/>
  <c r="H148" s="1"/>
  <c r="G152"/>
  <c r="G151"/>
  <c r="G145"/>
  <c r="C153"/>
  <c r="C146"/>
  <c r="E153"/>
  <c r="E146"/>
  <c r="E148" s="1"/>
  <c r="G153"/>
  <c r="G146"/>
  <c r="I153"/>
  <c r="I146"/>
  <c r="E136"/>
  <c r="E134"/>
  <c r="E133"/>
  <c r="R100"/>
  <c r="R99"/>
  <c r="R94"/>
  <c r="R85"/>
  <c r="R84"/>
  <c r="R82"/>
  <c r="R78"/>
  <c r="T100"/>
  <c r="T99"/>
  <c r="T94"/>
  <c r="T85"/>
  <c r="T84"/>
  <c r="T82"/>
  <c r="T78"/>
  <c r="V100"/>
  <c r="V99"/>
  <c r="V94"/>
  <c r="V85"/>
  <c r="V84"/>
  <c r="V82"/>
  <c r="V78"/>
  <c r="F136"/>
  <c r="F134"/>
  <c r="F133"/>
  <c r="S100"/>
  <c r="S99"/>
  <c r="S93"/>
  <c r="S92"/>
  <c r="F90"/>
  <c r="S86"/>
  <c r="S81"/>
  <c r="W100"/>
  <c r="W99"/>
  <c r="W93"/>
  <c r="W92"/>
  <c r="W86"/>
  <c r="W81"/>
  <c r="H96"/>
  <c r="U96" s="1"/>
  <c r="U92"/>
  <c r="I151"/>
  <c r="I155" s="1"/>
  <c r="C48"/>
  <c r="E48"/>
  <c r="E118" s="1"/>
  <c r="I48"/>
  <c r="R76"/>
  <c r="R81"/>
  <c r="V81"/>
  <c r="S83"/>
  <c r="W83"/>
  <c r="P84"/>
  <c r="S85"/>
  <c r="W85"/>
  <c r="R86"/>
  <c r="V86"/>
  <c r="P87"/>
  <c r="T87"/>
  <c r="G90"/>
  <c r="P96"/>
  <c r="P92"/>
  <c r="T92"/>
  <c r="U93"/>
  <c r="T93"/>
  <c r="S94"/>
  <c r="W94"/>
  <c r="P95"/>
  <c r="R96"/>
  <c r="T96"/>
  <c r="V96"/>
  <c r="W96"/>
  <c r="O99"/>
  <c r="Q99"/>
  <c r="P100"/>
  <c r="U81"/>
  <c r="R95"/>
  <c r="T95"/>
  <c r="V95"/>
  <c r="J63" i="19" l="1"/>
  <c r="W36"/>
  <c r="W34"/>
  <c r="W32"/>
  <c r="W30"/>
  <c r="W35"/>
  <c r="W33"/>
  <c r="W31"/>
  <c r="W29"/>
  <c r="J98"/>
  <c r="J63" i="18"/>
  <c r="J148"/>
  <c r="W35"/>
  <c r="W33"/>
  <c r="W31"/>
  <c r="W29"/>
  <c r="W36"/>
  <c r="W34"/>
  <c r="W32"/>
  <c r="W30"/>
  <c r="J98"/>
  <c r="Q18" i="5"/>
  <c r="C18"/>
  <c r="O18"/>
  <c r="J155" i="17"/>
  <c r="W53"/>
  <c r="W35"/>
  <c r="W33"/>
  <c r="W31"/>
  <c r="W29"/>
  <c r="W36"/>
  <c r="W34"/>
  <c r="W32"/>
  <c r="W30"/>
  <c r="J98"/>
  <c r="J63" i="16"/>
  <c r="W36"/>
  <c r="W34"/>
  <c r="W32"/>
  <c r="W30"/>
  <c r="W33"/>
  <c r="W31"/>
  <c r="W29"/>
  <c r="W35"/>
  <c r="J98"/>
  <c r="J63" i="8"/>
  <c r="J122"/>
  <c r="V53"/>
  <c r="W53"/>
  <c r="W36"/>
  <c r="W34"/>
  <c r="W32"/>
  <c r="W30"/>
  <c r="W35"/>
  <c r="W33"/>
  <c r="W31"/>
  <c r="W29"/>
  <c r="J98"/>
  <c r="W90" i="2"/>
  <c r="Q96"/>
  <c r="S34"/>
  <c r="G135"/>
  <c r="D118"/>
  <c r="R24" i="5"/>
  <c r="R22"/>
  <c r="R23"/>
  <c r="W36" i="2"/>
  <c r="W32"/>
  <c r="W30"/>
  <c r="W33"/>
  <c r="W31"/>
  <c r="W29"/>
  <c r="W34"/>
  <c r="S36"/>
  <c r="S31"/>
  <c r="S30"/>
  <c r="J124"/>
  <c r="W35"/>
  <c r="C148"/>
  <c r="Q85"/>
  <c r="S33"/>
  <c r="S29"/>
  <c r="S32"/>
  <c r="H114" i="25"/>
  <c r="V8"/>
  <c r="I114" s="1"/>
  <c r="H70" i="22"/>
  <c r="V70" s="1"/>
  <c r="U70"/>
  <c r="J155" i="19"/>
  <c r="V48"/>
  <c r="J148"/>
  <c r="W62"/>
  <c r="W38"/>
  <c r="J155" i="18"/>
  <c r="I35"/>
  <c r="W26"/>
  <c r="W38"/>
  <c r="H148" i="17"/>
  <c r="J148"/>
  <c r="J155" i="16"/>
  <c r="V22"/>
  <c r="W38"/>
  <c r="J155" i="8"/>
  <c r="W48"/>
  <c r="W38"/>
  <c r="W22"/>
  <c r="W62"/>
  <c r="W15" i="2"/>
  <c r="I148" i="19"/>
  <c r="I155"/>
  <c r="V38"/>
  <c r="V36"/>
  <c r="V35"/>
  <c r="V34"/>
  <c r="V33"/>
  <c r="V32"/>
  <c r="V31"/>
  <c r="V30"/>
  <c r="V29"/>
  <c r="V63"/>
  <c r="V55"/>
  <c r="V22"/>
  <c r="I155" i="18"/>
  <c r="I148"/>
  <c r="V38"/>
  <c r="V36"/>
  <c r="V35"/>
  <c r="V34"/>
  <c r="V33"/>
  <c r="V32"/>
  <c r="V31"/>
  <c r="V30"/>
  <c r="V29"/>
  <c r="V63"/>
  <c r="V15"/>
  <c r="I155" i="17"/>
  <c r="O11"/>
  <c r="O12"/>
  <c r="O13"/>
  <c r="O14"/>
  <c r="O18"/>
  <c r="O19"/>
  <c r="O20"/>
  <c r="O21"/>
  <c r="O24"/>
  <c r="O29"/>
  <c r="O30"/>
  <c r="O31"/>
  <c r="O32"/>
  <c r="O33"/>
  <c r="O36"/>
  <c r="O38"/>
  <c r="O42"/>
  <c r="O43"/>
  <c r="O44"/>
  <c r="O45"/>
  <c r="O46"/>
  <c r="O47"/>
  <c r="O50"/>
  <c r="O51"/>
  <c r="O52"/>
  <c r="O57"/>
  <c r="O60"/>
  <c r="O61"/>
  <c r="P101"/>
  <c r="P103"/>
  <c r="P104"/>
  <c r="C35"/>
  <c r="P35" s="1"/>
  <c r="P26"/>
  <c r="O35"/>
  <c r="O55"/>
  <c r="P50"/>
  <c r="O22"/>
  <c r="P62"/>
  <c r="O53"/>
  <c r="P11"/>
  <c r="P12"/>
  <c r="P13"/>
  <c r="P14"/>
  <c r="P18"/>
  <c r="P19"/>
  <c r="P20"/>
  <c r="P21"/>
  <c r="P24"/>
  <c r="P29"/>
  <c r="P30"/>
  <c r="P31"/>
  <c r="P32"/>
  <c r="P33"/>
  <c r="P36"/>
  <c r="P38"/>
  <c r="P42"/>
  <c r="P43"/>
  <c r="P44"/>
  <c r="P45"/>
  <c r="P46"/>
  <c r="P47"/>
  <c r="P51"/>
  <c r="P52"/>
  <c r="P57"/>
  <c r="P60"/>
  <c r="P61"/>
  <c r="C55"/>
  <c r="P53"/>
  <c r="U35"/>
  <c r="Q35"/>
  <c r="P15"/>
  <c r="O34"/>
  <c r="O26"/>
  <c r="P48"/>
  <c r="O62"/>
  <c r="P22"/>
  <c r="O48"/>
  <c r="O15"/>
  <c r="W26"/>
  <c r="W38"/>
  <c r="V38"/>
  <c r="V36"/>
  <c r="V33"/>
  <c r="V32"/>
  <c r="V31"/>
  <c r="V30"/>
  <c r="V29"/>
  <c r="U36"/>
  <c r="U32"/>
  <c r="U30"/>
  <c r="U29"/>
  <c r="U38"/>
  <c r="S36"/>
  <c r="S32"/>
  <c r="S30"/>
  <c r="S29"/>
  <c r="S38"/>
  <c r="Q36"/>
  <c r="Q32"/>
  <c r="Q30"/>
  <c r="Q29"/>
  <c r="Q38"/>
  <c r="U31"/>
  <c r="Q31"/>
  <c r="S34"/>
  <c r="T35"/>
  <c r="S33"/>
  <c r="T34"/>
  <c r="V34"/>
  <c r="T38"/>
  <c r="T36"/>
  <c r="T32"/>
  <c r="T30"/>
  <c r="T29"/>
  <c r="R38"/>
  <c r="R36"/>
  <c r="R32"/>
  <c r="R30"/>
  <c r="R29"/>
  <c r="Q34"/>
  <c r="V35"/>
  <c r="S31"/>
  <c r="U34"/>
  <c r="R35"/>
  <c r="T31"/>
  <c r="S35"/>
  <c r="U33"/>
  <c r="Q33"/>
  <c r="R34"/>
  <c r="R33"/>
  <c r="I155" i="16"/>
  <c r="I148"/>
  <c r="V62"/>
  <c r="V55"/>
  <c r="V38"/>
  <c r="V36"/>
  <c r="V35"/>
  <c r="V34"/>
  <c r="V33"/>
  <c r="V32"/>
  <c r="V31"/>
  <c r="V30"/>
  <c r="V29"/>
  <c r="I155" i="8"/>
  <c r="I148"/>
  <c r="V63"/>
  <c r="U35"/>
  <c r="U33"/>
  <c r="U31"/>
  <c r="U29"/>
  <c r="U38"/>
  <c r="U36"/>
  <c r="U34"/>
  <c r="U32"/>
  <c r="U30"/>
  <c r="V36"/>
  <c r="V35"/>
  <c r="V34"/>
  <c r="V33"/>
  <c r="V32"/>
  <c r="V31"/>
  <c r="V30"/>
  <c r="V29"/>
  <c r="V38"/>
  <c r="J155" i="2"/>
  <c r="W53"/>
  <c r="W63"/>
  <c r="W47"/>
  <c r="W19"/>
  <c r="H155" i="19"/>
  <c r="F155"/>
  <c r="B122"/>
  <c r="B155"/>
  <c r="G155"/>
  <c r="E155"/>
  <c r="C155"/>
  <c r="U61"/>
  <c r="U60"/>
  <c r="U53"/>
  <c r="U44"/>
  <c r="U43"/>
  <c r="U42"/>
  <c r="U24"/>
  <c r="U21"/>
  <c r="U20"/>
  <c r="U19"/>
  <c r="U18"/>
  <c r="U57"/>
  <c r="U52"/>
  <c r="U51"/>
  <c r="U50"/>
  <c r="U47"/>
  <c r="U46"/>
  <c r="U45"/>
  <c r="U14"/>
  <c r="U13"/>
  <c r="U12"/>
  <c r="U11"/>
  <c r="Q61"/>
  <c r="Q60"/>
  <c r="Q53"/>
  <c r="Q44"/>
  <c r="Q43"/>
  <c r="Q42"/>
  <c r="Q24"/>
  <c r="Q21"/>
  <c r="Q20"/>
  <c r="Q19"/>
  <c r="Q18"/>
  <c r="Q57"/>
  <c r="Q52"/>
  <c r="Q51"/>
  <c r="Q50"/>
  <c r="Q47"/>
  <c r="Q46"/>
  <c r="Q45"/>
  <c r="Q14"/>
  <c r="Q13"/>
  <c r="Q12"/>
  <c r="Q11"/>
  <c r="D155"/>
  <c r="V57"/>
  <c r="V52"/>
  <c r="V51"/>
  <c r="V50"/>
  <c r="V47"/>
  <c r="V46"/>
  <c r="V45"/>
  <c r="V14"/>
  <c r="V13"/>
  <c r="V12"/>
  <c r="V11"/>
  <c r="V61"/>
  <c r="V60"/>
  <c r="V44"/>
  <c r="V43"/>
  <c r="V42"/>
  <c r="V24"/>
  <c r="V21"/>
  <c r="V20"/>
  <c r="V19"/>
  <c r="V18"/>
  <c r="R57"/>
  <c r="R52"/>
  <c r="R51"/>
  <c r="R50"/>
  <c r="R47"/>
  <c r="R46"/>
  <c r="R45"/>
  <c r="R14"/>
  <c r="R13"/>
  <c r="R12"/>
  <c r="R11"/>
  <c r="R61"/>
  <c r="R60"/>
  <c r="R44"/>
  <c r="R43"/>
  <c r="R42"/>
  <c r="R24"/>
  <c r="R21"/>
  <c r="R20"/>
  <c r="R19"/>
  <c r="R18"/>
  <c r="B137"/>
  <c r="W22"/>
  <c r="S22"/>
  <c r="O22"/>
  <c r="U15"/>
  <c r="Q15"/>
  <c r="U62"/>
  <c r="Q62"/>
  <c r="O62"/>
  <c r="T62"/>
  <c r="T53"/>
  <c r="P53"/>
  <c r="U48"/>
  <c r="Q48"/>
  <c r="T22"/>
  <c r="P22"/>
  <c r="V15"/>
  <c r="R15"/>
  <c r="V62"/>
  <c r="T63"/>
  <c r="P63"/>
  <c r="U55"/>
  <c r="O55"/>
  <c r="Q55"/>
  <c r="Q26"/>
  <c r="T55"/>
  <c r="P55"/>
  <c r="I98"/>
  <c r="Q73"/>
  <c r="E73"/>
  <c r="W61"/>
  <c r="W60"/>
  <c r="W53"/>
  <c r="W44"/>
  <c r="W43"/>
  <c r="W42"/>
  <c r="W24"/>
  <c r="W21"/>
  <c r="W20"/>
  <c r="W19"/>
  <c r="W18"/>
  <c r="W57"/>
  <c r="W52"/>
  <c r="W51"/>
  <c r="W50"/>
  <c r="W47"/>
  <c r="W46"/>
  <c r="W45"/>
  <c r="W14"/>
  <c r="W13"/>
  <c r="W12"/>
  <c r="W11"/>
  <c r="S61"/>
  <c r="S60"/>
  <c r="S53"/>
  <c r="S44"/>
  <c r="S43"/>
  <c r="S42"/>
  <c r="S24"/>
  <c r="S21"/>
  <c r="S20"/>
  <c r="S19"/>
  <c r="S18"/>
  <c r="S57"/>
  <c r="S52"/>
  <c r="S51"/>
  <c r="S50"/>
  <c r="S47"/>
  <c r="S46"/>
  <c r="S45"/>
  <c r="S14"/>
  <c r="S13"/>
  <c r="S12"/>
  <c r="S11"/>
  <c r="O61"/>
  <c r="O60"/>
  <c r="O53"/>
  <c r="O44"/>
  <c r="O43"/>
  <c r="O42"/>
  <c r="O24"/>
  <c r="O21"/>
  <c r="O20"/>
  <c r="O19"/>
  <c r="O18"/>
  <c r="O57"/>
  <c r="O52"/>
  <c r="O51"/>
  <c r="O50"/>
  <c r="O47"/>
  <c r="O46"/>
  <c r="O45"/>
  <c r="O14"/>
  <c r="O13"/>
  <c r="O12"/>
  <c r="O11"/>
  <c r="D114"/>
  <c r="R8"/>
  <c r="Q63"/>
  <c r="D148"/>
  <c r="T57"/>
  <c r="T52"/>
  <c r="T51"/>
  <c r="T50"/>
  <c r="T47"/>
  <c r="T46"/>
  <c r="T45"/>
  <c r="T14"/>
  <c r="T13"/>
  <c r="T12"/>
  <c r="T11"/>
  <c r="T61"/>
  <c r="T60"/>
  <c r="T44"/>
  <c r="T43"/>
  <c r="T42"/>
  <c r="T24"/>
  <c r="T21"/>
  <c r="T20"/>
  <c r="T19"/>
  <c r="T18"/>
  <c r="P57"/>
  <c r="P52"/>
  <c r="P51"/>
  <c r="P50"/>
  <c r="P47"/>
  <c r="P46"/>
  <c r="P45"/>
  <c r="P14"/>
  <c r="P13"/>
  <c r="P12"/>
  <c r="P11"/>
  <c r="P61"/>
  <c r="P60"/>
  <c r="P44"/>
  <c r="P43"/>
  <c r="P42"/>
  <c r="P24"/>
  <c r="P21"/>
  <c r="P20"/>
  <c r="P19"/>
  <c r="P18"/>
  <c r="W15"/>
  <c r="S15"/>
  <c r="O15"/>
  <c r="W63"/>
  <c r="S63"/>
  <c r="O63"/>
  <c r="W48"/>
  <c r="S48"/>
  <c r="O48"/>
  <c r="T15"/>
  <c r="P15"/>
  <c r="R63"/>
  <c r="W55"/>
  <c r="S55"/>
  <c r="W26"/>
  <c r="U26"/>
  <c r="S26"/>
  <c r="R55"/>
  <c r="V26"/>
  <c r="T26"/>
  <c r="R26"/>
  <c r="P26"/>
  <c r="G155" i="18"/>
  <c r="E155"/>
  <c r="H155"/>
  <c r="F155"/>
  <c r="U53"/>
  <c r="I98"/>
  <c r="B98"/>
  <c r="V61"/>
  <c r="V60"/>
  <c r="V53"/>
  <c r="V44"/>
  <c r="V43"/>
  <c r="V42"/>
  <c r="V24"/>
  <c r="V21"/>
  <c r="V20"/>
  <c r="V19"/>
  <c r="V18"/>
  <c r="V57"/>
  <c r="V52"/>
  <c r="V51"/>
  <c r="V50"/>
  <c r="V47"/>
  <c r="V46"/>
  <c r="V45"/>
  <c r="V14"/>
  <c r="V13"/>
  <c r="V12"/>
  <c r="V11"/>
  <c r="R61"/>
  <c r="R60"/>
  <c r="R53"/>
  <c r="R44"/>
  <c r="R43"/>
  <c r="R42"/>
  <c r="R24"/>
  <c r="R21"/>
  <c r="R20"/>
  <c r="R19"/>
  <c r="R18"/>
  <c r="R57"/>
  <c r="R52"/>
  <c r="R51"/>
  <c r="R50"/>
  <c r="R47"/>
  <c r="R46"/>
  <c r="R45"/>
  <c r="R14"/>
  <c r="R13"/>
  <c r="R12"/>
  <c r="R11"/>
  <c r="U62"/>
  <c r="U57"/>
  <c r="U52"/>
  <c r="U51"/>
  <c r="U50"/>
  <c r="U47"/>
  <c r="U46"/>
  <c r="U45"/>
  <c r="U14"/>
  <c r="U13"/>
  <c r="U12"/>
  <c r="U11"/>
  <c r="U61"/>
  <c r="U60"/>
  <c r="U44"/>
  <c r="U43"/>
  <c r="U42"/>
  <c r="U24"/>
  <c r="U21"/>
  <c r="U20"/>
  <c r="U19"/>
  <c r="U18"/>
  <c r="Q62"/>
  <c r="Q57"/>
  <c r="Q52"/>
  <c r="Q51"/>
  <c r="Q50"/>
  <c r="Q47"/>
  <c r="Q46"/>
  <c r="Q45"/>
  <c r="Q14"/>
  <c r="Q13"/>
  <c r="Q12"/>
  <c r="Q11"/>
  <c r="Q61"/>
  <c r="Q60"/>
  <c r="Q44"/>
  <c r="Q43"/>
  <c r="Q42"/>
  <c r="Q24"/>
  <c r="Q21"/>
  <c r="Q20"/>
  <c r="Q19"/>
  <c r="Q18"/>
  <c r="D114"/>
  <c r="R8"/>
  <c r="D155"/>
  <c r="D137"/>
  <c r="V22"/>
  <c r="R22"/>
  <c r="T15"/>
  <c r="P15"/>
  <c r="T63"/>
  <c r="P63"/>
  <c r="W53"/>
  <c r="S53"/>
  <c r="O53"/>
  <c r="V48"/>
  <c r="R48"/>
  <c r="U22"/>
  <c r="Q22"/>
  <c r="W15"/>
  <c r="S15"/>
  <c r="O15"/>
  <c r="U63"/>
  <c r="V62"/>
  <c r="R62"/>
  <c r="V55"/>
  <c r="R55"/>
  <c r="V26"/>
  <c r="R26"/>
  <c r="W55"/>
  <c r="S55"/>
  <c r="U26"/>
  <c r="Q26"/>
  <c r="C98"/>
  <c r="P73"/>
  <c r="D73"/>
  <c r="T61"/>
  <c r="T60"/>
  <c r="T53"/>
  <c r="T44"/>
  <c r="T43"/>
  <c r="T42"/>
  <c r="T24"/>
  <c r="T21"/>
  <c r="T20"/>
  <c r="T19"/>
  <c r="T18"/>
  <c r="T57"/>
  <c r="T52"/>
  <c r="T51"/>
  <c r="T50"/>
  <c r="T47"/>
  <c r="T46"/>
  <c r="T45"/>
  <c r="T14"/>
  <c r="T13"/>
  <c r="T12"/>
  <c r="T11"/>
  <c r="P61"/>
  <c r="P60"/>
  <c r="P53"/>
  <c r="P44"/>
  <c r="P43"/>
  <c r="P42"/>
  <c r="P24"/>
  <c r="P21"/>
  <c r="P20"/>
  <c r="P19"/>
  <c r="P18"/>
  <c r="P57"/>
  <c r="P52"/>
  <c r="P51"/>
  <c r="P50"/>
  <c r="P47"/>
  <c r="P46"/>
  <c r="P45"/>
  <c r="P14"/>
  <c r="P13"/>
  <c r="P12"/>
  <c r="P11"/>
  <c r="W62"/>
  <c r="W57"/>
  <c r="W52"/>
  <c r="W51"/>
  <c r="W50"/>
  <c r="W47"/>
  <c r="W46"/>
  <c r="W45"/>
  <c r="W14"/>
  <c r="W13"/>
  <c r="W12"/>
  <c r="W11"/>
  <c r="W61"/>
  <c r="W60"/>
  <c r="W44"/>
  <c r="W43"/>
  <c r="W42"/>
  <c r="W24"/>
  <c r="W21"/>
  <c r="W20"/>
  <c r="W19"/>
  <c r="W18"/>
  <c r="S62"/>
  <c r="S57"/>
  <c r="S52"/>
  <c r="S51"/>
  <c r="S50"/>
  <c r="S47"/>
  <c r="S46"/>
  <c r="S45"/>
  <c r="S14"/>
  <c r="S13"/>
  <c r="S12"/>
  <c r="S11"/>
  <c r="S61"/>
  <c r="S60"/>
  <c r="S44"/>
  <c r="S43"/>
  <c r="S42"/>
  <c r="S24"/>
  <c r="S21"/>
  <c r="S20"/>
  <c r="S19"/>
  <c r="S18"/>
  <c r="O62"/>
  <c r="O57"/>
  <c r="O52"/>
  <c r="O51"/>
  <c r="O50"/>
  <c r="O47"/>
  <c r="O46"/>
  <c r="O45"/>
  <c r="O14"/>
  <c r="O13"/>
  <c r="O12"/>
  <c r="O11"/>
  <c r="O61"/>
  <c r="O60"/>
  <c r="O44"/>
  <c r="O43"/>
  <c r="O42"/>
  <c r="O24"/>
  <c r="O21"/>
  <c r="O20"/>
  <c r="O19"/>
  <c r="O18"/>
  <c r="D148"/>
  <c r="Q63"/>
  <c r="T22"/>
  <c r="P22"/>
  <c r="R63"/>
  <c r="T48"/>
  <c r="P48"/>
  <c r="W22"/>
  <c r="S22"/>
  <c r="O22"/>
  <c r="W63"/>
  <c r="S63"/>
  <c r="T62"/>
  <c r="P62"/>
  <c r="T55"/>
  <c r="P55"/>
  <c r="U55"/>
  <c r="O55"/>
  <c r="Q55"/>
  <c r="O26"/>
  <c r="H155" i="17"/>
  <c r="F155"/>
  <c r="G148"/>
  <c r="E148"/>
  <c r="C148"/>
  <c r="I98"/>
  <c r="Q73"/>
  <c r="E73"/>
  <c r="U61"/>
  <c r="U60"/>
  <c r="U44"/>
  <c r="U43"/>
  <c r="U42"/>
  <c r="U24"/>
  <c r="U21"/>
  <c r="U20"/>
  <c r="U19"/>
  <c r="U18"/>
  <c r="U57"/>
  <c r="U52"/>
  <c r="U51"/>
  <c r="U50"/>
  <c r="U47"/>
  <c r="U46"/>
  <c r="U45"/>
  <c r="U14"/>
  <c r="U13"/>
  <c r="U12"/>
  <c r="U11"/>
  <c r="Q61"/>
  <c r="Q60"/>
  <c r="Q44"/>
  <c r="Q43"/>
  <c r="Q42"/>
  <c r="Q24"/>
  <c r="Q21"/>
  <c r="Q20"/>
  <c r="Q19"/>
  <c r="Q18"/>
  <c r="Q57"/>
  <c r="Q52"/>
  <c r="Q51"/>
  <c r="Q50"/>
  <c r="Q47"/>
  <c r="Q46"/>
  <c r="Q45"/>
  <c r="Q14"/>
  <c r="Q13"/>
  <c r="Q12"/>
  <c r="Q11"/>
  <c r="Q63"/>
  <c r="D148"/>
  <c r="V57"/>
  <c r="V52"/>
  <c r="V51"/>
  <c r="V50"/>
  <c r="V47"/>
  <c r="V46"/>
  <c r="V45"/>
  <c r="V14"/>
  <c r="V13"/>
  <c r="V12"/>
  <c r="V11"/>
  <c r="V61"/>
  <c r="V60"/>
  <c r="V44"/>
  <c r="V43"/>
  <c r="V42"/>
  <c r="V24"/>
  <c r="V21"/>
  <c r="V20"/>
  <c r="V19"/>
  <c r="V18"/>
  <c r="R57"/>
  <c r="R52"/>
  <c r="R51"/>
  <c r="R50"/>
  <c r="R47"/>
  <c r="R46"/>
  <c r="R45"/>
  <c r="R14"/>
  <c r="R13"/>
  <c r="R12"/>
  <c r="R11"/>
  <c r="R61"/>
  <c r="R60"/>
  <c r="R44"/>
  <c r="R43"/>
  <c r="R42"/>
  <c r="R24"/>
  <c r="R21"/>
  <c r="R20"/>
  <c r="R19"/>
  <c r="R18"/>
  <c r="W22"/>
  <c r="S22"/>
  <c r="U15"/>
  <c r="Q15"/>
  <c r="W62"/>
  <c r="U62"/>
  <c r="S62"/>
  <c r="T53"/>
  <c r="U48"/>
  <c r="Q48"/>
  <c r="T22"/>
  <c r="V15"/>
  <c r="R15"/>
  <c r="V63"/>
  <c r="R63"/>
  <c r="W55"/>
  <c r="S55"/>
  <c r="U26"/>
  <c r="T55"/>
  <c r="B98"/>
  <c r="O98" s="1"/>
  <c r="W61"/>
  <c r="W60"/>
  <c r="W44"/>
  <c r="W43"/>
  <c r="W42"/>
  <c r="W24"/>
  <c r="W21"/>
  <c r="W20"/>
  <c r="W19"/>
  <c r="W18"/>
  <c r="W57"/>
  <c r="W52"/>
  <c r="W51"/>
  <c r="W50"/>
  <c r="W47"/>
  <c r="W46"/>
  <c r="W45"/>
  <c r="W14"/>
  <c r="W13"/>
  <c r="W12"/>
  <c r="W11"/>
  <c r="S61"/>
  <c r="S60"/>
  <c r="S44"/>
  <c r="S43"/>
  <c r="S42"/>
  <c r="S24"/>
  <c r="S21"/>
  <c r="S20"/>
  <c r="S19"/>
  <c r="S18"/>
  <c r="S57"/>
  <c r="S52"/>
  <c r="S51"/>
  <c r="S50"/>
  <c r="S47"/>
  <c r="S46"/>
  <c r="S45"/>
  <c r="S14"/>
  <c r="S13"/>
  <c r="S12"/>
  <c r="S11"/>
  <c r="D114"/>
  <c r="R8"/>
  <c r="D155"/>
  <c r="T57"/>
  <c r="T52"/>
  <c r="T51"/>
  <c r="T50"/>
  <c r="T47"/>
  <c r="T46"/>
  <c r="T45"/>
  <c r="T14"/>
  <c r="T13"/>
  <c r="T12"/>
  <c r="T11"/>
  <c r="T61"/>
  <c r="T60"/>
  <c r="T44"/>
  <c r="T43"/>
  <c r="T42"/>
  <c r="T24"/>
  <c r="T21"/>
  <c r="T20"/>
  <c r="T19"/>
  <c r="T18"/>
  <c r="W15"/>
  <c r="S15"/>
  <c r="W63"/>
  <c r="U63"/>
  <c r="S63"/>
  <c r="Q62"/>
  <c r="W48"/>
  <c r="S48"/>
  <c r="T15"/>
  <c r="T63"/>
  <c r="U55"/>
  <c r="Q55"/>
  <c r="Q26"/>
  <c r="V55"/>
  <c r="R55"/>
  <c r="V26"/>
  <c r="T26"/>
  <c r="R26"/>
  <c r="H148" i="16"/>
  <c r="F148"/>
  <c r="G155"/>
  <c r="E155"/>
  <c r="C155"/>
  <c r="D34"/>
  <c r="P88"/>
  <c r="B98"/>
  <c r="O88"/>
  <c r="W61"/>
  <c r="W60"/>
  <c r="W53"/>
  <c r="W44"/>
  <c r="W43"/>
  <c r="W42"/>
  <c r="W24"/>
  <c r="W21"/>
  <c r="W20"/>
  <c r="W19"/>
  <c r="W18"/>
  <c r="W15"/>
  <c r="W57"/>
  <c r="W52"/>
  <c r="W51"/>
  <c r="W50"/>
  <c r="W47"/>
  <c r="W46"/>
  <c r="W45"/>
  <c r="W14"/>
  <c r="W13"/>
  <c r="W12"/>
  <c r="W11"/>
  <c r="S61"/>
  <c r="S60"/>
  <c r="S53"/>
  <c r="S44"/>
  <c r="S43"/>
  <c r="S42"/>
  <c r="S24"/>
  <c r="S21"/>
  <c r="S20"/>
  <c r="S19"/>
  <c r="S18"/>
  <c r="S15"/>
  <c r="S57"/>
  <c r="S52"/>
  <c r="S51"/>
  <c r="S50"/>
  <c r="S47"/>
  <c r="S46"/>
  <c r="S45"/>
  <c r="S14"/>
  <c r="S13"/>
  <c r="S12"/>
  <c r="S11"/>
  <c r="O61"/>
  <c r="O60"/>
  <c r="O53"/>
  <c r="O44"/>
  <c r="O43"/>
  <c r="O42"/>
  <c r="O24"/>
  <c r="O21"/>
  <c r="O20"/>
  <c r="O19"/>
  <c r="O18"/>
  <c r="O57"/>
  <c r="O52"/>
  <c r="O51"/>
  <c r="O50"/>
  <c r="O47"/>
  <c r="O46"/>
  <c r="O45"/>
  <c r="O14"/>
  <c r="O13"/>
  <c r="O12"/>
  <c r="O11"/>
  <c r="D148"/>
  <c r="T57"/>
  <c r="T52"/>
  <c r="T51"/>
  <c r="T50"/>
  <c r="T47"/>
  <c r="T46"/>
  <c r="T45"/>
  <c r="T14"/>
  <c r="T13"/>
  <c r="T12"/>
  <c r="T11"/>
  <c r="T61"/>
  <c r="T60"/>
  <c r="T44"/>
  <c r="T43"/>
  <c r="T42"/>
  <c r="T24"/>
  <c r="T21"/>
  <c r="T20"/>
  <c r="T19"/>
  <c r="T18"/>
  <c r="P57"/>
  <c r="P52"/>
  <c r="P51"/>
  <c r="P50"/>
  <c r="P47"/>
  <c r="P46"/>
  <c r="P45"/>
  <c r="P14"/>
  <c r="P13"/>
  <c r="P12"/>
  <c r="P11"/>
  <c r="P61"/>
  <c r="P60"/>
  <c r="P44"/>
  <c r="P43"/>
  <c r="P42"/>
  <c r="P24"/>
  <c r="P21"/>
  <c r="P20"/>
  <c r="P19"/>
  <c r="P18"/>
  <c r="I98"/>
  <c r="R88"/>
  <c r="Q73"/>
  <c r="E73"/>
  <c r="Q88"/>
  <c r="U61"/>
  <c r="U60"/>
  <c r="U53"/>
  <c r="U44"/>
  <c r="U43"/>
  <c r="U42"/>
  <c r="U24"/>
  <c r="U21"/>
  <c r="U20"/>
  <c r="U19"/>
  <c r="U18"/>
  <c r="U15"/>
  <c r="U57"/>
  <c r="U52"/>
  <c r="U51"/>
  <c r="U50"/>
  <c r="U47"/>
  <c r="U46"/>
  <c r="U45"/>
  <c r="U14"/>
  <c r="U13"/>
  <c r="U12"/>
  <c r="U11"/>
  <c r="D114"/>
  <c r="R8"/>
  <c r="D155"/>
  <c r="V57"/>
  <c r="V52"/>
  <c r="V51"/>
  <c r="V50"/>
  <c r="V47"/>
  <c r="V46"/>
  <c r="V45"/>
  <c r="V14"/>
  <c r="V13"/>
  <c r="V12"/>
  <c r="V11"/>
  <c r="V61"/>
  <c r="V60"/>
  <c r="V44"/>
  <c r="V43"/>
  <c r="V42"/>
  <c r="V24"/>
  <c r="V21"/>
  <c r="V20"/>
  <c r="V19"/>
  <c r="V18"/>
  <c r="R57"/>
  <c r="R52"/>
  <c r="R51"/>
  <c r="R50"/>
  <c r="R47"/>
  <c r="R46"/>
  <c r="R45"/>
  <c r="R14"/>
  <c r="R13"/>
  <c r="R12"/>
  <c r="R11"/>
  <c r="R61"/>
  <c r="R60"/>
  <c r="R44"/>
  <c r="R43"/>
  <c r="R42"/>
  <c r="R24"/>
  <c r="R21"/>
  <c r="R20"/>
  <c r="R19"/>
  <c r="R18"/>
  <c r="W62"/>
  <c r="S62"/>
  <c r="O63"/>
  <c r="W48"/>
  <c r="S48"/>
  <c r="O48"/>
  <c r="T15"/>
  <c r="P15"/>
  <c r="T63"/>
  <c r="P63"/>
  <c r="O55"/>
  <c r="O26"/>
  <c r="T55"/>
  <c r="P55"/>
  <c r="C137"/>
  <c r="T62"/>
  <c r="W22"/>
  <c r="S22"/>
  <c r="O22"/>
  <c r="O15"/>
  <c r="W63"/>
  <c r="U63"/>
  <c r="S63"/>
  <c r="O62"/>
  <c r="T53"/>
  <c r="P53"/>
  <c r="U48"/>
  <c r="T22"/>
  <c r="P22"/>
  <c r="V15"/>
  <c r="R15"/>
  <c r="I63"/>
  <c r="V63" s="1"/>
  <c r="R63"/>
  <c r="W55"/>
  <c r="S55"/>
  <c r="W26"/>
  <c r="U26"/>
  <c r="S26"/>
  <c r="R55"/>
  <c r="V26"/>
  <c r="T26"/>
  <c r="R26"/>
  <c r="P26"/>
  <c r="H155" i="8"/>
  <c r="F155"/>
  <c r="G155"/>
  <c r="E155"/>
  <c r="C155"/>
  <c r="I98"/>
  <c r="V90"/>
  <c r="R90"/>
  <c r="Q73"/>
  <c r="E73"/>
  <c r="U90"/>
  <c r="Q90"/>
  <c r="V61"/>
  <c r="V60"/>
  <c r="V44"/>
  <c r="V43"/>
  <c r="V42"/>
  <c r="V24"/>
  <c r="V21"/>
  <c r="V20"/>
  <c r="V19"/>
  <c r="V18"/>
  <c r="V57"/>
  <c r="V52"/>
  <c r="V51"/>
  <c r="V50"/>
  <c r="V47"/>
  <c r="V46"/>
  <c r="V45"/>
  <c r="V14"/>
  <c r="V13"/>
  <c r="V12"/>
  <c r="V11"/>
  <c r="R61"/>
  <c r="R60"/>
  <c r="R44"/>
  <c r="R43"/>
  <c r="R42"/>
  <c r="R24"/>
  <c r="R21"/>
  <c r="R20"/>
  <c r="R19"/>
  <c r="R18"/>
  <c r="R57"/>
  <c r="R52"/>
  <c r="R51"/>
  <c r="R50"/>
  <c r="R47"/>
  <c r="R46"/>
  <c r="R45"/>
  <c r="R14"/>
  <c r="R13"/>
  <c r="R12"/>
  <c r="R11"/>
  <c r="W57"/>
  <c r="W52"/>
  <c r="W51"/>
  <c r="W50"/>
  <c r="W47"/>
  <c r="W46"/>
  <c r="W45"/>
  <c r="W13"/>
  <c r="W12"/>
  <c r="W11"/>
  <c r="W61"/>
  <c r="W60"/>
  <c r="W44"/>
  <c r="W43"/>
  <c r="W42"/>
  <c r="W24"/>
  <c r="W21"/>
  <c r="W20"/>
  <c r="W19"/>
  <c r="W18"/>
  <c r="S57"/>
  <c r="S52"/>
  <c r="S51"/>
  <c r="S50"/>
  <c r="S47"/>
  <c r="S46"/>
  <c r="S45"/>
  <c r="S14"/>
  <c r="S13"/>
  <c r="S12"/>
  <c r="S11"/>
  <c r="S61"/>
  <c r="S60"/>
  <c r="S44"/>
  <c r="S43"/>
  <c r="S42"/>
  <c r="S24"/>
  <c r="S21"/>
  <c r="S20"/>
  <c r="S19"/>
  <c r="S18"/>
  <c r="O57"/>
  <c r="O52"/>
  <c r="O51"/>
  <c r="O50"/>
  <c r="O47"/>
  <c r="O46"/>
  <c r="O45"/>
  <c r="O14"/>
  <c r="O13"/>
  <c r="O12"/>
  <c r="O11"/>
  <c r="O61"/>
  <c r="O60"/>
  <c r="O44"/>
  <c r="O43"/>
  <c r="O42"/>
  <c r="O24"/>
  <c r="O21"/>
  <c r="O20"/>
  <c r="O19"/>
  <c r="O18"/>
  <c r="Q26"/>
  <c r="D114"/>
  <c r="R8"/>
  <c r="D155"/>
  <c r="D137"/>
  <c r="T53"/>
  <c r="P53"/>
  <c r="V22"/>
  <c r="R22"/>
  <c r="V15"/>
  <c r="R15"/>
  <c r="V62"/>
  <c r="T63"/>
  <c r="P63"/>
  <c r="U53"/>
  <c r="Q53"/>
  <c r="T48"/>
  <c r="P48"/>
  <c r="Q22"/>
  <c r="W15"/>
  <c r="S15"/>
  <c r="O15"/>
  <c r="W63"/>
  <c r="U63"/>
  <c r="S63"/>
  <c r="D124"/>
  <c r="O62"/>
  <c r="W55"/>
  <c r="S55"/>
  <c r="P62"/>
  <c r="T55"/>
  <c r="P55"/>
  <c r="T90"/>
  <c r="P90"/>
  <c r="S90"/>
  <c r="B98"/>
  <c r="O90"/>
  <c r="T61"/>
  <c r="T60"/>
  <c r="T44"/>
  <c r="T43"/>
  <c r="T42"/>
  <c r="T24"/>
  <c r="T21"/>
  <c r="T20"/>
  <c r="T19"/>
  <c r="T18"/>
  <c r="T57"/>
  <c r="T52"/>
  <c r="T51"/>
  <c r="T50"/>
  <c r="T47"/>
  <c r="T46"/>
  <c r="T45"/>
  <c r="T14"/>
  <c r="T13"/>
  <c r="T12"/>
  <c r="T11"/>
  <c r="P61"/>
  <c r="P60"/>
  <c r="P44"/>
  <c r="P43"/>
  <c r="P42"/>
  <c r="P24"/>
  <c r="P21"/>
  <c r="P20"/>
  <c r="P19"/>
  <c r="P18"/>
  <c r="P57"/>
  <c r="P52"/>
  <c r="P51"/>
  <c r="P50"/>
  <c r="P47"/>
  <c r="P46"/>
  <c r="P45"/>
  <c r="P14"/>
  <c r="P13"/>
  <c r="P12"/>
  <c r="P11"/>
  <c r="U57"/>
  <c r="U52"/>
  <c r="U51"/>
  <c r="U50"/>
  <c r="U47"/>
  <c r="U46"/>
  <c r="U45"/>
  <c r="U14"/>
  <c r="U13"/>
  <c r="U12"/>
  <c r="U11"/>
  <c r="U61"/>
  <c r="U60"/>
  <c r="U44"/>
  <c r="U43"/>
  <c r="U42"/>
  <c r="U24"/>
  <c r="U21"/>
  <c r="U20"/>
  <c r="U19"/>
  <c r="U18"/>
  <c r="Q57"/>
  <c r="Q52"/>
  <c r="Q51"/>
  <c r="Q50"/>
  <c r="Q47"/>
  <c r="Q46"/>
  <c r="Q45"/>
  <c r="Q14"/>
  <c r="Q13"/>
  <c r="Q12"/>
  <c r="Q11"/>
  <c r="Q61"/>
  <c r="Q60"/>
  <c r="Q44"/>
  <c r="Q43"/>
  <c r="Q42"/>
  <c r="Q24"/>
  <c r="Q21"/>
  <c r="Q20"/>
  <c r="Q19"/>
  <c r="Q18"/>
  <c r="Q63"/>
  <c r="D148"/>
  <c r="T22"/>
  <c r="P22"/>
  <c r="T15"/>
  <c r="P15"/>
  <c r="R63"/>
  <c r="V48"/>
  <c r="R48"/>
  <c r="U15"/>
  <c r="Q15"/>
  <c r="U62"/>
  <c r="S62"/>
  <c r="O63"/>
  <c r="U55"/>
  <c r="O55"/>
  <c r="Q55"/>
  <c r="W26"/>
  <c r="U26"/>
  <c r="S26"/>
  <c r="O26"/>
  <c r="T62"/>
  <c r="V55"/>
  <c r="R55"/>
  <c r="V26"/>
  <c r="T26"/>
  <c r="R26"/>
  <c r="P26"/>
  <c r="I98" i="2"/>
  <c r="V90"/>
  <c r="C136"/>
  <c r="C135"/>
  <c r="C134"/>
  <c r="C133"/>
  <c r="P94"/>
  <c r="P82"/>
  <c r="C90"/>
  <c r="P76"/>
  <c r="P86"/>
  <c r="P81"/>
  <c r="P78"/>
  <c r="D62"/>
  <c r="I55"/>
  <c r="C55"/>
  <c r="G26"/>
  <c r="B117"/>
  <c r="B38"/>
  <c r="O15"/>
  <c r="H98"/>
  <c r="U90"/>
  <c r="W60"/>
  <c r="W57"/>
  <c r="W52"/>
  <c r="W46"/>
  <c r="W44"/>
  <c r="W42"/>
  <c r="W61"/>
  <c r="W51"/>
  <c r="W50"/>
  <c r="W45"/>
  <c r="W43"/>
  <c r="W38"/>
  <c r="W24"/>
  <c r="W18"/>
  <c r="W11"/>
  <c r="W20"/>
  <c r="W12"/>
  <c r="W14"/>
  <c r="I117"/>
  <c r="I38"/>
  <c r="G117"/>
  <c r="G38"/>
  <c r="H55"/>
  <c r="F35"/>
  <c r="S35" s="1"/>
  <c r="S26"/>
  <c r="W26"/>
  <c r="H35"/>
  <c r="D35"/>
  <c r="F135"/>
  <c r="E135"/>
  <c r="G155"/>
  <c r="O48"/>
  <c r="E155"/>
  <c r="E119"/>
  <c r="F118"/>
  <c r="Q86"/>
  <c r="Q81"/>
  <c r="I148"/>
  <c r="C119"/>
  <c r="P93"/>
  <c r="F55"/>
  <c r="S55" s="1"/>
  <c r="T63"/>
  <c r="S15"/>
  <c r="F117"/>
  <c r="D119"/>
  <c r="C11" i="5" s="1"/>
  <c r="C118" i="2"/>
  <c r="S61"/>
  <c r="D55"/>
  <c r="S51"/>
  <c r="W21"/>
  <c r="B135"/>
  <c r="J148"/>
  <c r="T55"/>
  <c r="B118"/>
  <c r="G98"/>
  <c r="T90"/>
  <c r="F98"/>
  <c r="S90"/>
  <c r="E98"/>
  <c r="R90"/>
  <c r="D136"/>
  <c r="D135"/>
  <c r="D134"/>
  <c r="D133"/>
  <c r="D90"/>
  <c r="Q95"/>
  <c r="Q84"/>
  <c r="Q82"/>
  <c r="Q78"/>
  <c r="Q94"/>
  <c r="Q76"/>
  <c r="P73"/>
  <c r="D73"/>
  <c r="S60"/>
  <c r="F62"/>
  <c r="O60"/>
  <c r="B62"/>
  <c r="E55"/>
  <c r="Q87"/>
  <c r="D114"/>
  <c r="R8"/>
  <c r="S57"/>
  <c r="S52"/>
  <c r="S46"/>
  <c r="S44"/>
  <c r="S42"/>
  <c r="S45"/>
  <c r="S38"/>
  <c r="S24"/>
  <c r="S21"/>
  <c r="S19"/>
  <c r="S18"/>
  <c r="S20"/>
  <c r="S12"/>
  <c r="S14"/>
  <c r="E117"/>
  <c r="E38"/>
  <c r="R15"/>
  <c r="C117"/>
  <c r="C38"/>
  <c r="D117"/>
  <c r="D38"/>
  <c r="B35"/>
  <c r="O35" s="1"/>
  <c r="O26"/>
  <c r="I35"/>
  <c r="V35" s="1"/>
  <c r="V26"/>
  <c r="E35"/>
  <c r="R35" s="1"/>
  <c r="R26"/>
  <c r="C35"/>
  <c r="P35" s="1"/>
  <c r="R48"/>
  <c r="G148"/>
  <c r="H155"/>
  <c r="C155"/>
  <c r="B55"/>
  <c r="O55" s="1"/>
  <c r="I123"/>
  <c r="C123"/>
  <c r="I118"/>
  <c r="W55"/>
  <c r="W48"/>
  <c r="S47"/>
  <c r="W13"/>
  <c r="S13"/>
  <c r="B90"/>
  <c r="W62"/>
  <c r="J122"/>
  <c r="E123"/>
  <c r="S22"/>
  <c r="W22"/>
  <c r="H38"/>
  <c r="U34" s="1"/>
  <c r="I125" i="19" l="1"/>
  <c r="J101"/>
  <c r="J125"/>
  <c r="W98"/>
  <c r="J125" i="18"/>
  <c r="J101"/>
  <c r="W98"/>
  <c r="I125"/>
  <c r="B23" i="5"/>
  <c r="B22"/>
  <c r="B24"/>
  <c r="J125" i="17"/>
  <c r="J101"/>
  <c r="W98"/>
  <c r="J125" i="16"/>
  <c r="J101"/>
  <c r="W98"/>
  <c r="I12" i="5"/>
  <c r="Q12"/>
  <c r="J125" i="8"/>
  <c r="J101"/>
  <c r="W98"/>
  <c r="Q26" i="2"/>
  <c r="Q36"/>
  <c r="Q31"/>
  <c r="Q30"/>
  <c r="Q33"/>
  <c r="Q32"/>
  <c r="Q29"/>
  <c r="P36"/>
  <c r="P31"/>
  <c r="P30"/>
  <c r="P33"/>
  <c r="P32"/>
  <c r="P29"/>
  <c r="Q35"/>
  <c r="T36"/>
  <c r="T31"/>
  <c r="T30"/>
  <c r="T33"/>
  <c r="T32"/>
  <c r="T29"/>
  <c r="V15"/>
  <c r="V36"/>
  <c r="V33"/>
  <c r="V32"/>
  <c r="V31"/>
  <c r="V30"/>
  <c r="V29"/>
  <c r="N24" i="5"/>
  <c r="N22"/>
  <c r="N23"/>
  <c r="G137" i="2"/>
  <c r="T34"/>
  <c r="Q34"/>
  <c r="V34"/>
  <c r="G136"/>
  <c r="U36"/>
  <c r="U31"/>
  <c r="U30"/>
  <c r="U32"/>
  <c r="U29"/>
  <c r="U33"/>
  <c r="R36"/>
  <c r="R31"/>
  <c r="R30"/>
  <c r="R29"/>
  <c r="R33"/>
  <c r="R32"/>
  <c r="O36"/>
  <c r="O31"/>
  <c r="O30"/>
  <c r="O32"/>
  <c r="O29"/>
  <c r="O33"/>
  <c r="J125"/>
  <c r="W98"/>
  <c r="Q15"/>
  <c r="U35"/>
  <c r="O34"/>
  <c r="P34"/>
  <c r="R34"/>
  <c r="I125" i="17"/>
  <c r="I125" i="16"/>
  <c r="I101"/>
  <c r="F24" i="5"/>
  <c r="F22"/>
  <c r="F23"/>
  <c r="C24"/>
  <c r="C22"/>
  <c r="C23"/>
  <c r="P55" i="17"/>
  <c r="C63"/>
  <c r="P63" s="1"/>
  <c r="C122"/>
  <c r="V48" i="2"/>
  <c r="D125" i="19"/>
  <c r="Q98"/>
  <c r="R73"/>
  <c r="F73"/>
  <c r="B125"/>
  <c r="O98"/>
  <c r="S98"/>
  <c r="C125"/>
  <c r="P98"/>
  <c r="T98"/>
  <c r="E114"/>
  <c r="S8"/>
  <c r="U98"/>
  <c r="R98"/>
  <c r="I101"/>
  <c r="V98"/>
  <c r="Q73" i="18"/>
  <c r="E73"/>
  <c r="U98"/>
  <c r="C125"/>
  <c r="C101"/>
  <c r="P98"/>
  <c r="T98"/>
  <c r="E114"/>
  <c r="S8"/>
  <c r="B125"/>
  <c r="B101"/>
  <c r="O98"/>
  <c r="S98"/>
  <c r="R98"/>
  <c r="I101"/>
  <c r="V98"/>
  <c r="D125"/>
  <c r="Q98"/>
  <c r="U98" i="17"/>
  <c r="R98"/>
  <c r="I101"/>
  <c r="E114"/>
  <c r="S8"/>
  <c r="B125"/>
  <c r="B101"/>
  <c r="S98"/>
  <c r="C125"/>
  <c r="T98"/>
  <c r="D125"/>
  <c r="Q98"/>
  <c r="R73"/>
  <c r="F73"/>
  <c r="D35" i="16"/>
  <c r="D38"/>
  <c r="E114"/>
  <c r="S8"/>
  <c r="U98"/>
  <c r="R98"/>
  <c r="V98"/>
  <c r="B125"/>
  <c r="B101"/>
  <c r="O98"/>
  <c r="S98"/>
  <c r="C125"/>
  <c r="P98"/>
  <c r="T98"/>
  <c r="D125"/>
  <c r="Q98"/>
  <c r="R73"/>
  <c r="F73"/>
  <c r="B125" i="8"/>
  <c r="B101"/>
  <c r="O98"/>
  <c r="S98"/>
  <c r="C125"/>
  <c r="P98"/>
  <c r="T98"/>
  <c r="E114"/>
  <c r="S8"/>
  <c r="U98"/>
  <c r="R98"/>
  <c r="I101"/>
  <c r="V98"/>
  <c r="D125"/>
  <c r="Q98"/>
  <c r="R73"/>
  <c r="F73"/>
  <c r="B98" i="2"/>
  <c r="O90"/>
  <c r="P61"/>
  <c r="P47"/>
  <c r="P45"/>
  <c r="P43"/>
  <c r="P38"/>
  <c r="P21"/>
  <c r="P13"/>
  <c r="P24"/>
  <c r="P46"/>
  <c r="P50"/>
  <c r="P52"/>
  <c r="P12"/>
  <c r="P18"/>
  <c r="P20"/>
  <c r="P42"/>
  <c r="P57"/>
  <c r="P22"/>
  <c r="P14"/>
  <c r="P44"/>
  <c r="P62"/>
  <c r="P11"/>
  <c r="P19"/>
  <c r="P51"/>
  <c r="P60"/>
  <c r="R55"/>
  <c r="E63"/>
  <c r="R63" s="1"/>
  <c r="E122"/>
  <c r="E125"/>
  <c r="E101"/>
  <c r="R98"/>
  <c r="F125"/>
  <c r="F101"/>
  <c r="S98"/>
  <c r="G125"/>
  <c r="G101"/>
  <c r="G128" s="1"/>
  <c r="T98"/>
  <c r="U55"/>
  <c r="H122"/>
  <c r="H63"/>
  <c r="U63" s="1"/>
  <c r="T61"/>
  <c r="T47"/>
  <c r="T45"/>
  <c r="T43"/>
  <c r="T38"/>
  <c r="T24"/>
  <c r="T46"/>
  <c r="T44"/>
  <c r="T42"/>
  <c r="T19"/>
  <c r="T18"/>
  <c r="T11"/>
  <c r="T21"/>
  <c r="T13"/>
  <c r="T53"/>
  <c r="T52"/>
  <c r="T12"/>
  <c r="T62"/>
  <c r="T20"/>
  <c r="T57"/>
  <c r="T50"/>
  <c r="T14"/>
  <c r="T48"/>
  <c r="T51"/>
  <c r="T60"/>
  <c r="G35"/>
  <c r="T35" s="1"/>
  <c r="T26"/>
  <c r="G124"/>
  <c r="P55"/>
  <c r="C63"/>
  <c r="P63" s="1"/>
  <c r="C122"/>
  <c r="V55"/>
  <c r="I63"/>
  <c r="V63" s="1"/>
  <c r="I122"/>
  <c r="C98"/>
  <c r="P90"/>
  <c r="D137"/>
  <c r="P48"/>
  <c r="U60"/>
  <c r="U57"/>
  <c r="U46"/>
  <c r="U45"/>
  <c r="U38"/>
  <c r="U14"/>
  <c r="U20"/>
  <c r="U12"/>
  <c r="U22"/>
  <c r="U52"/>
  <c r="U62"/>
  <c r="U21"/>
  <c r="U11"/>
  <c r="U24"/>
  <c r="U48"/>
  <c r="U50"/>
  <c r="U61"/>
  <c r="U18"/>
  <c r="U43"/>
  <c r="U51"/>
  <c r="U15"/>
  <c r="U13"/>
  <c r="U19"/>
  <c r="U44"/>
  <c r="U47"/>
  <c r="U42"/>
  <c r="Q57"/>
  <c r="Q52"/>
  <c r="Q46"/>
  <c r="Q44"/>
  <c r="Q42"/>
  <c r="Q45"/>
  <c r="Q38"/>
  <c r="Q14"/>
  <c r="Q20"/>
  <c r="Q19"/>
  <c r="Q12"/>
  <c r="Q11"/>
  <c r="Q13"/>
  <c r="Q22"/>
  <c r="Q51"/>
  <c r="Q61"/>
  <c r="Q43"/>
  <c r="Q50"/>
  <c r="Q53"/>
  <c r="Q21"/>
  <c r="Q47"/>
  <c r="Q24"/>
  <c r="Q18"/>
  <c r="E137"/>
  <c r="R61"/>
  <c r="R47"/>
  <c r="R45"/>
  <c r="R43"/>
  <c r="R38"/>
  <c r="R21"/>
  <c r="R13"/>
  <c r="R11"/>
  <c r="R14"/>
  <c r="R44"/>
  <c r="R12"/>
  <c r="R51"/>
  <c r="R60"/>
  <c r="R22"/>
  <c r="R62"/>
  <c r="R18"/>
  <c r="R24"/>
  <c r="R46"/>
  <c r="R50"/>
  <c r="R52"/>
  <c r="R20"/>
  <c r="R42"/>
  <c r="R57"/>
  <c r="F137"/>
  <c r="E114"/>
  <c r="S8"/>
  <c r="B154"/>
  <c r="B147"/>
  <c r="B124"/>
  <c r="B123"/>
  <c r="B122"/>
  <c r="B63"/>
  <c r="O63" s="1"/>
  <c r="O62"/>
  <c r="B152"/>
  <c r="B153"/>
  <c r="B151"/>
  <c r="B145"/>
  <c r="B146"/>
  <c r="F154"/>
  <c r="F147"/>
  <c r="F124"/>
  <c r="F123"/>
  <c r="F122"/>
  <c r="F63"/>
  <c r="S63" s="1"/>
  <c r="S62"/>
  <c r="F152"/>
  <c r="F153"/>
  <c r="F151"/>
  <c r="F145"/>
  <c r="F146"/>
  <c r="Q73"/>
  <c r="E73"/>
  <c r="D98"/>
  <c r="Q90"/>
  <c r="G11" i="5" s="1"/>
  <c r="Q55" i="2"/>
  <c r="V47"/>
  <c r="V45"/>
  <c r="V38"/>
  <c r="V46"/>
  <c r="V21"/>
  <c r="V13"/>
  <c r="V11"/>
  <c r="V14"/>
  <c r="V18"/>
  <c r="V19"/>
  <c r="V24"/>
  <c r="V50"/>
  <c r="V61"/>
  <c r="V12"/>
  <c r="V52"/>
  <c r="V44"/>
  <c r="V60"/>
  <c r="V43"/>
  <c r="V22"/>
  <c r="V62"/>
  <c r="V20"/>
  <c r="V57"/>
  <c r="V42"/>
  <c r="V51"/>
  <c r="H125"/>
  <c r="L125" s="1"/>
  <c r="H101"/>
  <c r="U98"/>
  <c r="O57"/>
  <c r="O52"/>
  <c r="O46"/>
  <c r="O44"/>
  <c r="O42"/>
  <c r="O45"/>
  <c r="O38"/>
  <c r="O20"/>
  <c r="O19"/>
  <c r="O12"/>
  <c r="O14"/>
  <c r="O11"/>
  <c r="O47"/>
  <c r="O24"/>
  <c r="O18"/>
  <c r="O22"/>
  <c r="B137"/>
  <c r="O13"/>
  <c r="O21"/>
  <c r="O51"/>
  <c r="O61"/>
  <c r="O43"/>
  <c r="O50"/>
  <c r="O53"/>
  <c r="D154"/>
  <c r="D147"/>
  <c r="S11" i="5" s="1"/>
  <c r="S24" s="1"/>
  <c r="D124" i="2"/>
  <c r="D123"/>
  <c r="D122"/>
  <c r="D63"/>
  <c r="Q62"/>
  <c r="D152"/>
  <c r="D153"/>
  <c r="D145"/>
  <c r="D146"/>
  <c r="D151"/>
  <c r="I125"/>
  <c r="I101"/>
  <c r="V98"/>
  <c r="P26"/>
  <c r="P15"/>
  <c r="Q48"/>
  <c r="R53"/>
  <c r="O11" i="5"/>
  <c r="U26" i="2"/>
  <c r="U53"/>
  <c r="T15"/>
  <c r="T22"/>
  <c r="P53"/>
  <c r="V53"/>
  <c r="Q60"/>
  <c r="C137"/>
  <c r="H130" l="1"/>
  <c r="L130" s="1"/>
  <c r="H129"/>
  <c r="L129" s="1"/>
  <c r="W104" i="19"/>
  <c r="W103"/>
  <c r="W101"/>
  <c r="W104" i="18"/>
  <c r="W101"/>
  <c r="W103"/>
  <c r="E18" i="5"/>
  <c r="W104" i="17"/>
  <c r="W101"/>
  <c r="W103"/>
  <c r="W104" i="16"/>
  <c r="W103"/>
  <c r="W101"/>
  <c r="W101" i="8"/>
  <c r="W104"/>
  <c r="W103"/>
  <c r="H128" i="2"/>
  <c r="L128" s="1"/>
  <c r="J128"/>
  <c r="J130"/>
  <c r="W104"/>
  <c r="W103"/>
  <c r="W101"/>
  <c r="F155"/>
  <c r="B155"/>
  <c r="S23" i="5"/>
  <c r="I130" i="2"/>
  <c r="I128"/>
  <c r="P24" i="5"/>
  <c r="P23"/>
  <c r="P22"/>
  <c r="S22"/>
  <c r="E17"/>
  <c r="E16"/>
  <c r="D23"/>
  <c r="G23"/>
  <c r="G24"/>
  <c r="G22"/>
  <c r="O24"/>
  <c r="O22"/>
  <c r="O23"/>
  <c r="E19"/>
  <c r="O101" i="17"/>
  <c r="O103"/>
  <c r="O104"/>
  <c r="R104" i="19"/>
  <c r="R103"/>
  <c r="R101"/>
  <c r="T104"/>
  <c r="T103"/>
  <c r="T101"/>
  <c r="S103"/>
  <c r="S101"/>
  <c r="S104"/>
  <c r="V104"/>
  <c r="V103"/>
  <c r="V101"/>
  <c r="U103"/>
  <c r="U101"/>
  <c r="U104"/>
  <c r="F114"/>
  <c r="T8"/>
  <c r="P104"/>
  <c r="C130"/>
  <c r="C129"/>
  <c r="C128"/>
  <c r="P103"/>
  <c r="P101"/>
  <c r="B130"/>
  <c r="B129"/>
  <c r="B128"/>
  <c r="O103"/>
  <c r="O101"/>
  <c r="O104"/>
  <c r="S73"/>
  <c r="G73"/>
  <c r="D130"/>
  <c r="D129"/>
  <c r="D128"/>
  <c r="Q103"/>
  <c r="Q101"/>
  <c r="Q104"/>
  <c r="D130" i="18"/>
  <c r="D129"/>
  <c r="D128"/>
  <c r="Q103"/>
  <c r="Q101"/>
  <c r="Q104"/>
  <c r="R104"/>
  <c r="R103"/>
  <c r="R101"/>
  <c r="B130"/>
  <c r="B129"/>
  <c r="B128"/>
  <c r="O103"/>
  <c r="O101"/>
  <c r="O104"/>
  <c r="F114"/>
  <c r="T8"/>
  <c r="P104"/>
  <c r="C130"/>
  <c r="C129"/>
  <c r="C128"/>
  <c r="P103"/>
  <c r="P101"/>
  <c r="V104"/>
  <c r="V103"/>
  <c r="V101"/>
  <c r="S103"/>
  <c r="S101"/>
  <c r="S104"/>
  <c r="T104"/>
  <c r="T103"/>
  <c r="T101"/>
  <c r="U103"/>
  <c r="U101"/>
  <c r="U104"/>
  <c r="R73"/>
  <c r="F73"/>
  <c r="S73" i="17"/>
  <c r="G73"/>
  <c r="D130"/>
  <c r="D129"/>
  <c r="D128"/>
  <c r="Q103"/>
  <c r="Q101"/>
  <c r="Q104"/>
  <c r="C130"/>
  <c r="C129"/>
  <c r="C128"/>
  <c r="B130"/>
  <c r="B129"/>
  <c r="B128"/>
  <c r="F114"/>
  <c r="T8"/>
  <c r="R104"/>
  <c r="R103"/>
  <c r="R101"/>
  <c r="T104"/>
  <c r="T103"/>
  <c r="T101"/>
  <c r="S103"/>
  <c r="S101"/>
  <c r="S104"/>
  <c r="U103"/>
  <c r="U101"/>
  <c r="U104"/>
  <c r="Q22" i="16"/>
  <c r="Q26"/>
  <c r="Q55"/>
  <c r="Q15"/>
  <c r="Q63"/>
  <c r="Q60"/>
  <c r="Q44"/>
  <c r="Q42"/>
  <c r="Q24"/>
  <c r="Q20"/>
  <c r="Q18"/>
  <c r="Q52"/>
  <c r="Q50"/>
  <c r="Q46"/>
  <c r="Q14"/>
  <c r="Q12"/>
  <c r="D137"/>
  <c r="Q48"/>
  <c r="Q61"/>
  <c r="Q53"/>
  <c r="Q43"/>
  <c r="Q21"/>
  <c r="Q19"/>
  <c r="Q57"/>
  <c r="Q51"/>
  <c r="Q47"/>
  <c r="Q45"/>
  <c r="Q13"/>
  <c r="Q11"/>
  <c r="Q62"/>
  <c r="T104"/>
  <c r="T103"/>
  <c r="T101"/>
  <c r="S103"/>
  <c r="S101"/>
  <c r="S104"/>
  <c r="V104"/>
  <c r="V103"/>
  <c r="V101"/>
  <c r="U103"/>
  <c r="U101"/>
  <c r="U104"/>
  <c r="F114"/>
  <c r="T8"/>
  <c r="S73"/>
  <c r="G73"/>
  <c r="D130"/>
  <c r="D129"/>
  <c r="D128"/>
  <c r="Q103"/>
  <c r="Q101"/>
  <c r="Q104"/>
  <c r="P104"/>
  <c r="C130"/>
  <c r="C129"/>
  <c r="C128"/>
  <c r="P103"/>
  <c r="P101"/>
  <c r="B130"/>
  <c r="B129"/>
  <c r="B128"/>
  <c r="O103"/>
  <c r="O101"/>
  <c r="O104"/>
  <c r="R104"/>
  <c r="R103"/>
  <c r="R101"/>
  <c r="S73" i="8"/>
  <c r="G73"/>
  <c r="D130"/>
  <c r="D129"/>
  <c r="D128"/>
  <c r="Q103"/>
  <c r="Q101"/>
  <c r="Q104"/>
  <c r="R104"/>
  <c r="R103"/>
  <c r="R101"/>
  <c r="T104"/>
  <c r="T103"/>
  <c r="T101"/>
  <c r="S103"/>
  <c r="S101"/>
  <c r="S104"/>
  <c r="V104"/>
  <c r="V103"/>
  <c r="V101"/>
  <c r="U103"/>
  <c r="U101"/>
  <c r="U104"/>
  <c r="F114"/>
  <c r="T8"/>
  <c r="P104"/>
  <c r="C130"/>
  <c r="C129"/>
  <c r="C128"/>
  <c r="P103"/>
  <c r="P101"/>
  <c r="B130"/>
  <c r="B129"/>
  <c r="B128"/>
  <c r="O103"/>
  <c r="O101"/>
  <c r="O104"/>
  <c r="Q63" i="2"/>
  <c r="D125"/>
  <c r="E11" i="5" s="1"/>
  <c r="D101" i="2"/>
  <c r="Q98"/>
  <c r="C125"/>
  <c r="C101"/>
  <c r="P98"/>
  <c r="T104"/>
  <c r="G130"/>
  <c r="T103"/>
  <c r="T101"/>
  <c r="R104"/>
  <c r="E130"/>
  <c r="E129"/>
  <c r="E128"/>
  <c r="R103"/>
  <c r="R101"/>
  <c r="F148"/>
  <c r="B148"/>
  <c r="Q11" i="5"/>
  <c r="V104" i="2"/>
  <c r="V103"/>
  <c r="V101"/>
  <c r="D155"/>
  <c r="D148"/>
  <c r="U103"/>
  <c r="U101"/>
  <c r="U104"/>
  <c r="R73"/>
  <c r="F73"/>
  <c r="F114"/>
  <c r="T8"/>
  <c r="S103"/>
  <c r="S101"/>
  <c r="S104"/>
  <c r="B125"/>
  <c r="B101"/>
  <c r="O98"/>
  <c r="I19" i="5" l="1"/>
  <c r="K19"/>
  <c r="M19"/>
  <c r="I18"/>
  <c r="M18"/>
  <c r="K18"/>
  <c r="D24"/>
  <c r="D22"/>
  <c r="I17"/>
  <c r="M17"/>
  <c r="K17"/>
  <c r="I16"/>
  <c r="M16"/>
  <c r="K16"/>
  <c r="Q24"/>
  <c r="Q22"/>
  <c r="Q23"/>
  <c r="E24"/>
  <c r="E22"/>
  <c r="E23"/>
  <c r="T73" i="19"/>
  <c r="H73"/>
  <c r="G114"/>
  <c r="U8"/>
  <c r="S73" i="18"/>
  <c r="G73"/>
  <c r="G114"/>
  <c r="U8"/>
  <c r="G114" i="17"/>
  <c r="U8"/>
  <c r="T73"/>
  <c r="H73"/>
  <c r="T73" i="16"/>
  <c r="H73"/>
  <c r="G114"/>
  <c r="U8"/>
  <c r="G114" i="8"/>
  <c r="U8"/>
  <c r="T73"/>
  <c r="H73"/>
  <c r="B130" i="2"/>
  <c r="B129"/>
  <c r="B128"/>
  <c r="O103"/>
  <c r="O101"/>
  <c r="O104"/>
  <c r="G114"/>
  <c r="U8"/>
  <c r="S73"/>
  <c r="G73"/>
  <c r="C130"/>
  <c r="C129"/>
  <c r="C128"/>
  <c r="P103"/>
  <c r="P101"/>
  <c r="P104"/>
  <c r="D130"/>
  <c r="M11" i="5" s="1"/>
  <c r="D129" i="2"/>
  <c r="K11" i="5" s="1"/>
  <c r="D128" i="2"/>
  <c r="I11" i="5" s="1"/>
  <c r="Q103" i="2"/>
  <c r="Q101"/>
  <c r="Q104"/>
  <c r="I22" i="5" l="1"/>
  <c r="I24"/>
  <c r="I23"/>
  <c r="L23"/>
  <c r="L24"/>
  <c r="L22"/>
  <c r="H23"/>
  <c r="H24"/>
  <c r="H22"/>
  <c r="J24"/>
  <c r="J22"/>
  <c r="J23"/>
  <c r="K24"/>
  <c r="K22"/>
  <c r="K23"/>
  <c r="M24"/>
  <c r="M22"/>
  <c r="M23"/>
  <c r="H114" i="19"/>
  <c r="V8"/>
  <c r="I114" s="1"/>
  <c r="U73"/>
  <c r="I73"/>
  <c r="V73" s="1"/>
  <c r="H114" i="18"/>
  <c r="V8"/>
  <c r="I114" s="1"/>
  <c r="T73"/>
  <c r="H73"/>
  <c r="U73" i="17"/>
  <c r="I73"/>
  <c r="H114"/>
  <c r="V8"/>
  <c r="I114" s="1"/>
  <c r="H114" i="16"/>
  <c r="V8"/>
  <c r="I114" s="1"/>
  <c r="U73"/>
  <c r="I73"/>
  <c r="V73" s="1"/>
  <c r="U73" i="8"/>
  <c r="I73"/>
  <c r="V73" s="1"/>
  <c r="H114"/>
  <c r="V8"/>
  <c r="I114" s="1"/>
  <c r="T73" i="2"/>
  <c r="H73"/>
  <c r="H114"/>
  <c r="V8"/>
  <c r="I114" s="1"/>
  <c r="U73" i="18" l="1"/>
  <c r="I73"/>
  <c r="V73" s="1"/>
  <c r="U73" i="2"/>
  <c r="I73"/>
  <c r="V73" s="1"/>
</calcChain>
</file>

<file path=xl/sharedStrings.xml><?xml version="1.0" encoding="utf-8"?>
<sst xmlns="http://schemas.openxmlformats.org/spreadsheetml/2006/main" count="1650" uniqueCount="193">
  <si>
    <t>Exhibit 1</t>
  </si>
  <si>
    <t>page 1 of 5</t>
  </si>
  <si>
    <t>Page 2 of 5</t>
  </si>
  <si>
    <t>Alliant Energy</t>
  </si>
  <si>
    <t>Historical Balance Sheets</t>
  </si>
  <si>
    <t>Common Size</t>
  </si>
  <si>
    <t>Fiscal Years Ended December 31</t>
  </si>
  <si>
    <t>Avg. Annual</t>
  </si>
  <si>
    <t>Account Name</t>
  </si>
  <si>
    <t>Pct. Change</t>
  </si>
  <si>
    <t>Wt. Average</t>
  </si>
  <si>
    <t>Current Assets:</t>
  </si>
  <si>
    <t>Cash &amp; Equivalents</t>
  </si>
  <si>
    <t>Accounts Receivable</t>
  </si>
  <si>
    <t>Material, Supplies, Fuel</t>
  </si>
  <si>
    <t>Other Current Assets</t>
  </si>
  <si>
    <t>Total Current Assets</t>
  </si>
  <si>
    <t>Plant &amp; Equipment:</t>
  </si>
  <si>
    <t xml:space="preserve">  Domestic Electric Plant in Service</t>
  </si>
  <si>
    <t xml:space="preserve">  Electric Construction Work in Progress</t>
  </si>
  <si>
    <t>Other Regulated PP &amp; E</t>
  </si>
  <si>
    <t>Other PP&amp;E</t>
  </si>
  <si>
    <t>Total Plant &amp; Equipment:</t>
  </si>
  <si>
    <t>Total Plant &amp; Equipment</t>
  </si>
  <si>
    <t>Accumulated Depreciation &amp; Amort.</t>
  </si>
  <si>
    <t>Net Plant &amp; Equipment</t>
  </si>
  <si>
    <t>Other Assets:</t>
  </si>
  <si>
    <t>Regulatory Assets</t>
  </si>
  <si>
    <t>Intangible Assets-net</t>
  </si>
  <si>
    <t>Finance Assets</t>
  </si>
  <si>
    <t xml:space="preserve">Investments </t>
  </si>
  <si>
    <t>Deferred Charges and Other</t>
  </si>
  <si>
    <t>Total Other Assets</t>
  </si>
  <si>
    <t>Total Non-Current Assets</t>
  </si>
  <si>
    <t xml:space="preserve"> Electric Assets</t>
  </si>
  <si>
    <t>Other Regulated Assets</t>
  </si>
  <si>
    <t>Total Assets</t>
  </si>
  <si>
    <t>Current Liabilities:</t>
  </si>
  <si>
    <t>Current Maturities LTD</t>
  </si>
  <si>
    <t>Notes Payable and Commercial Paper</t>
  </si>
  <si>
    <t>Accounts Payable</t>
  </si>
  <si>
    <t>Payable to Affiliates</t>
  </si>
  <si>
    <t>Other Payables and Accrued Expenses</t>
  </si>
  <si>
    <t xml:space="preserve">Other </t>
  </si>
  <si>
    <t>Total Current Liabilities</t>
  </si>
  <si>
    <t>Long-Term Debt</t>
  </si>
  <si>
    <t>Deferred Income Taxes</t>
  </si>
  <si>
    <t>Other Deferred Credits</t>
  </si>
  <si>
    <t>Total LTD &amp; Deferrals</t>
  </si>
  <si>
    <t>Total Liabilities</t>
  </si>
  <si>
    <t>Preferred Stock</t>
  </si>
  <si>
    <t>Common Equity:</t>
  </si>
  <si>
    <t>Common Stock</t>
  </si>
  <si>
    <t>Retained Earnings</t>
  </si>
  <si>
    <t>Total Common Equity</t>
  </si>
  <si>
    <t>Total Liabilities &amp; Equity</t>
  </si>
  <si>
    <t>Page 3 of 5</t>
  </si>
  <si>
    <t>Page 4 of 5</t>
  </si>
  <si>
    <t>Historical Income Statements</t>
  </si>
  <si>
    <t>(dollars in millions, except per share amounts)</t>
  </si>
  <si>
    <t>Average</t>
  </si>
  <si>
    <t>Operating Sales and Revenues:</t>
  </si>
  <si>
    <t>Electric</t>
  </si>
  <si>
    <t>Operating Revenues:</t>
  </si>
  <si>
    <t>Other Regulated Operations</t>
  </si>
  <si>
    <t>Non-Regulated Operations</t>
  </si>
  <si>
    <t>Total Sales</t>
  </si>
  <si>
    <t>Total Revenues</t>
  </si>
  <si>
    <t>Operating Expenses:</t>
  </si>
  <si>
    <t xml:space="preserve">   Purchased power</t>
  </si>
  <si>
    <t xml:space="preserve">   Fuel</t>
  </si>
  <si>
    <t xml:space="preserve">   Other operations and maintenance</t>
  </si>
  <si>
    <t xml:space="preserve">   Depreciation and amortization</t>
  </si>
  <si>
    <t xml:space="preserve">   Taxes, other than income taxes</t>
  </si>
  <si>
    <t xml:space="preserve">   Other Operating Expenses</t>
  </si>
  <si>
    <t>Total Operating Expenses</t>
  </si>
  <si>
    <t xml:space="preserve">  Electric Earnings from Operations</t>
  </si>
  <si>
    <t xml:space="preserve">  Other Regulated Operating Earnings</t>
  </si>
  <si>
    <t>Total Earnings From Operations</t>
  </si>
  <si>
    <t xml:space="preserve">   Interest expense (net)</t>
  </si>
  <si>
    <t xml:space="preserve">   Interest income</t>
  </si>
  <si>
    <t xml:space="preserve">   Loss (Gain) on Sale of Assets</t>
  </si>
  <si>
    <t xml:space="preserve">   Other Income (Expense)</t>
  </si>
  <si>
    <t>Total Other Income/Expense</t>
  </si>
  <si>
    <t>Earnings Before Taxes</t>
  </si>
  <si>
    <t>Extraordinary Items</t>
  </si>
  <si>
    <t>Income Taxes</t>
  </si>
  <si>
    <t>Net Income</t>
  </si>
  <si>
    <t>Preferred Stock Dividends</t>
  </si>
  <si>
    <t>Preferred Dividend Payout Ratio</t>
  </si>
  <si>
    <t>Common Stock Dividends</t>
  </si>
  <si>
    <t>Common Dividend Payout Ratio</t>
  </si>
  <si>
    <t>Page 5 of 5</t>
  </si>
  <si>
    <t>Historical Financial Ratios</t>
  </si>
  <si>
    <t>Ratio Group And Name</t>
  </si>
  <si>
    <t>Short-term Liquidity Ratios:</t>
  </si>
  <si>
    <t>Current</t>
  </si>
  <si>
    <t>Quick</t>
  </si>
  <si>
    <t>Days Revenues Receivable</t>
  </si>
  <si>
    <t>Long-term Solvency Ratios:</t>
  </si>
  <si>
    <t>Net Worth/Total Debt</t>
  </si>
  <si>
    <t>Net Worth/Non Current Debt</t>
  </si>
  <si>
    <t>Net Worth/Fixed Assets</t>
  </si>
  <si>
    <t>Times Interest Earned</t>
  </si>
  <si>
    <t>Profitability Ratios:</t>
  </si>
  <si>
    <t>Return On Total Assets</t>
  </si>
  <si>
    <t>2005 omitted from average</t>
  </si>
  <si>
    <t>Return On Total Capital</t>
  </si>
  <si>
    <t>Return On Common Equity</t>
  </si>
  <si>
    <t>Asset-utilization Ratios:</t>
  </si>
  <si>
    <t>Sales/Cash</t>
  </si>
  <si>
    <t>Sales/Accounts Receivable</t>
  </si>
  <si>
    <t>Sales/Working Capital</t>
  </si>
  <si>
    <t>Sales/Fixed Assets</t>
  </si>
  <si>
    <t>Sales/Total Assets</t>
  </si>
  <si>
    <t>Other Financial Indicators:</t>
  </si>
  <si>
    <t>Bond Rating</t>
  </si>
  <si>
    <t>Commercial Paper Ratings</t>
  </si>
  <si>
    <t>Common Stock Rating</t>
  </si>
  <si>
    <t>Capital Structure (Regulatory):</t>
  </si>
  <si>
    <t>Common Equity</t>
  </si>
  <si>
    <t>Total</t>
  </si>
  <si>
    <t>Capital Structure:</t>
  </si>
  <si>
    <t>Short-Term Debt</t>
  </si>
  <si>
    <t>DTE Energy Co.</t>
  </si>
  <si>
    <t>SCANA Corp</t>
  </si>
  <si>
    <t>SOUTHERN COMPANY</t>
  </si>
  <si>
    <t>Wisconsin Energy</t>
  </si>
  <si>
    <t>Xcel Energy</t>
  </si>
  <si>
    <t>Investments in Affiliates</t>
  </si>
  <si>
    <t xml:space="preserve">  PacifiCorp Company </t>
  </si>
  <si>
    <t>Comparison with Financial Ratios &amp; Other Financial</t>
  </si>
  <si>
    <t>of Guideline Companies Results</t>
  </si>
  <si>
    <t>Days Revenue Receivable</t>
  </si>
  <si>
    <t>Operating Income as a % of Revenue</t>
  </si>
  <si>
    <t>Return on Total Assets</t>
  </si>
  <si>
    <t>Return on Total Capital</t>
  </si>
  <si>
    <t>Return on Common Equity</t>
  </si>
  <si>
    <t>Sales/ Total Assets</t>
  </si>
  <si>
    <t>Company Name</t>
  </si>
  <si>
    <t>S&amp;P</t>
  </si>
  <si>
    <t>Moody</t>
  </si>
  <si>
    <t>Alliant</t>
  </si>
  <si>
    <t>A-</t>
  </si>
  <si>
    <t>A2</t>
  </si>
  <si>
    <t>DTE Energy</t>
  </si>
  <si>
    <t>A3</t>
  </si>
  <si>
    <t>A</t>
  </si>
  <si>
    <t>SCANA</t>
  </si>
  <si>
    <t>Southern Co.</t>
  </si>
  <si>
    <t>Wisconsin</t>
  </si>
  <si>
    <t>Mean</t>
  </si>
  <si>
    <t>St. Deviation</t>
  </si>
  <si>
    <t>Median</t>
  </si>
  <si>
    <t>PacifiCorp</t>
  </si>
  <si>
    <t>Above Average</t>
  </si>
  <si>
    <t>Below Average</t>
  </si>
  <si>
    <t xml:space="preserve">   Other (Income) Expense</t>
  </si>
  <si>
    <t>page 3 of 7</t>
  </si>
  <si>
    <t>page 4 of 7</t>
  </si>
  <si>
    <t xml:space="preserve">  Domestic Plant in Service</t>
  </si>
  <si>
    <t xml:space="preserve">  Construction Work in Progress</t>
  </si>
  <si>
    <t xml:space="preserve">  Domestic Electric Operations</t>
  </si>
  <si>
    <t>Australian Electric Operations</t>
  </si>
  <si>
    <t>page 2 of 7</t>
  </si>
  <si>
    <t>page 1 of 7</t>
  </si>
  <si>
    <t>Sales</t>
  </si>
  <si>
    <t>Revenues</t>
  </si>
  <si>
    <t>na</t>
  </si>
  <si>
    <t>Earnings From Operations</t>
  </si>
  <si>
    <t>*</t>
  </si>
  <si>
    <t>Average includes both fuel and power costs.</t>
  </si>
  <si>
    <t>Percent change includes both fuel and power costs.</t>
  </si>
  <si>
    <t>page 7 of 7</t>
  </si>
  <si>
    <t>Asset-Utilization Ratios:</t>
  </si>
  <si>
    <t>Regulatory Capital Structure</t>
  </si>
  <si>
    <t>Long Term Debt (incl. current portion)</t>
  </si>
  <si>
    <t>Total Capital (Millions of Dollars)</t>
  </si>
  <si>
    <t>A- / BBB+</t>
  </si>
  <si>
    <t>Fiscal Years Ended March 31 (through 3/31/2006), Fiscal Year Ended December 31 (beginning 12/31/ 2006)</t>
  </si>
  <si>
    <t>Entergy Corp</t>
  </si>
  <si>
    <t>A/BBB</t>
  </si>
  <si>
    <t>2005-2010</t>
  </si>
  <si>
    <t>Average 2005-2010</t>
  </si>
  <si>
    <t>Edison International</t>
  </si>
  <si>
    <t>PG &amp; E</t>
  </si>
  <si>
    <t>PG &amp; E Corp</t>
  </si>
  <si>
    <t>BBB+</t>
  </si>
  <si>
    <t>A1</t>
  </si>
  <si>
    <t>Baa1</t>
  </si>
  <si>
    <t>`</t>
  </si>
  <si>
    <t xml:space="preserve">DPU Exhibit 4.16 </t>
  </si>
  <si>
    <t>PacifiCorp compared to Mean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</si>
</sst>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&quot;$&quot;#,##0.0_);\(&quot;$&quot;#,##0.0\)"/>
    <numFmt numFmtId="167" formatCode="&quot;$&quot;#,##0.00"/>
    <numFmt numFmtId="168" formatCode="#,##0.000_);\(#,##0.000\)"/>
    <numFmt numFmtId="169" formatCode="_(* #,##0.0_);_(* \(#,##0.0\);_(* &quot;-&quot;??_);_(@_)"/>
    <numFmt numFmtId="170" formatCode="[$-409]mmmm\ d\,\ 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u/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2">
    <xf numFmtId="0" fontId="0" fillId="0" borderId="0" xfId="0"/>
    <xf numFmtId="39" fontId="2" fillId="0" borderId="0" xfId="0" applyNumberFormat="1" applyFont="1"/>
    <xf numFmtId="39" fontId="3" fillId="0" borderId="0" xfId="0" applyNumberFormat="1" applyFont="1"/>
    <xf numFmtId="39" fontId="3" fillId="0" borderId="0" xfId="0" applyNumberFormat="1" applyFont="1" applyAlignment="1">
      <alignment horizontal="right" wrapText="1"/>
    </xf>
    <xf numFmtId="0" fontId="3" fillId="0" borderId="0" xfId="0" applyNumberFormat="1" applyFont="1" applyFill="1"/>
    <xf numFmtId="0" fontId="3" fillId="0" borderId="0" xfId="0" applyNumberFormat="1" applyFont="1"/>
    <xf numFmtId="39" fontId="4" fillId="0" borderId="0" xfId="0" applyNumberFormat="1" applyFont="1"/>
    <xf numFmtId="10" fontId="2" fillId="0" borderId="0" xfId="0" applyNumberFormat="1" applyFont="1"/>
    <xf numFmtId="39" fontId="2" fillId="0" borderId="0" xfId="0" applyNumberFormat="1" applyFont="1" applyAlignment="1">
      <alignment horizontal="right"/>
    </xf>
    <xf numFmtId="39" fontId="2" fillId="0" borderId="0" xfId="0" applyNumberFormat="1" applyFont="1" applyFill="1"/>
    <xf numFmtId="39" fontId="3" fillId="0" borderId="0" xfId="0" applyNumberFormat="1" applyFont="1" applyAlignment="1">
      <alignment horizontal="right"/>
    </xf>
    <xf numFmtId="164" fontId="2" fillId="0" borderId="0" xfId="0" applyNumberFormat="1" applyFont="1"/>
    <xf numFmtId="2" fontId="2" fillId="0" borderId="0" xfId="0" applyNumberFormat="1" applyFont="1"/>
    <xf numFmtId="0" fontId="5" fillId="0" borderId="0" xfId="0" applyFont="1"/>
    <xf numFmtId="0" fontId="2" fillId="0" borderId="0" xfId="0" applyFont="1"/>
    <xf numFmtId="10" fontId="2" fillId="0" borderId="0" xfId="2" applyNumberFormat="1" applyFont="1"/>
    <xf numFmtId="10" fontId="5" fillId="0" borderId="0" xfId="0" applyNumberFormat="1" applyFont="1"/>
    <xf numFmtId="0" fontId="3" fillId="0" borderId="0" xfId="0" applyFont="1" applyFill="1"/>
    <xf numFmtId="0" fontId="3" fillId="0" borderId="0" xfId="0" applyFont="1"/>
    <xf numFmtId="5" fontId="2" fillId="0" borderId="0" xfId="0" applyNumberFormat="1" applyFont="1"/>
    <xf numFmtId="5" fontId="3" fillId="0" borderId="0" xfId="0" applyNumberFormat="1" applyFont="1"/>
    <xf numFmtId="165" fontId="2" fillId="0" borderId="0" xfId="1" applyNumberFormat="1" applyFont="1"/>
    <xf numFmtId="37" fontId="2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/>
    <xf numFmtId="0" fontId="6" fillId="0" borderId="0" xfId="0" applyFont="1"/>
    <xf numFmtId="37" fontId="2" fillId="0" borderId="0" xfId="0" applyNumberFormat="1" applyFont="1"/>
    <xf numFmtId="0" fontId="3" fillId="0" borderId="0" xfId="0" quotePrefix="1" applyFont="1" applyFill="1" applyAlignment="1">
      <alignment horizontal="left"/>
    </xf>
    <xf numFmtId="37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/>
    <xf numFmtId="10" fontId="0" fillId="0" borderId="0" xfId="0" applyNumberFormat="1"/>
    <xf numFmtId="0" fontId="7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10" fontId="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0" fontId="0" fillId="0" borderId="0" xfId="0" applyNumberFormat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0" fontId="9" fillId="0" borderId="0" xfId="0" applyNumberFormat="1" applyFont="1" applyAlignment="1">
      <alignment horizontal="centerContinuous"/>
    </xf>
    <xf numFmtId="10" fontId="8" fillId="0" borderId="0" xfId="0" applyNumberFormat="1" applyFont="1" applyAlignment="1"/>
    <xf numFmtId="10" fontId="8" fillId="0" borderId="0" xfId="0" applyNumberFormat="1" applyFont="1"/>
    <xf numFmtId="49" fontId="8" fillId="0" borderId="0" xfId="0" applyNumberFormat="1" applyFont="1" applyAlignment="1"/>
    <xf numFmtId="0" fontId="6" fillId="0" borderId="0" xfId="0" applyFont="1" applyAlignment="1"/>
    <xf numFmtId="0" fontId="10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2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5" xfId="0" applyFill="1" applyBorder="1"/>
    <xf numFmtId="2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/>
    <xf numFmtId="2" fontId="0" fillId="0" borderId="0" xfId="0" applyNumberFormat="1" applyBorder="1"/>
    <xf numFmtId="10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10" fontId="0" fillId="0" borderId="1" xfId="0" applyNumberFormat="1" applyBorder="1"/>
    <xf numFmtId="10" fontId="0" fillId="2" borderId="1" xfId="0" applyNumberFormat="1" applyFill="1" applyBorder="1"/>
    <xf numFmtId="0" fontId="0" fillId="0" borderId="4" xfId="0" applyBorder="1"/>
    <xf numFmtId="0" fontId="0" fillId="0" borderId="9" xfId="0" applyBorder="1"/>
    <xf numFmtId="0" fontId="6" fillId="3" borderId="1" xfId="0" applyFont="1" applyFill="1" applyBorder="1"/>
    <xf numFmtId="2" fontId="6" fillId="3" borderId="1" xfId="0" applyNumberFormat="1" applyFont="1" applyFill="1" applyBorder="1"/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0" fontId="6" fillId="2" borderId="1" xfId="0" quotePrefix="1" applyNumberFormat="1" applyFont="1" applyFill="1" applyBorder="1" applyAlignment="1">
      <alignment horizontal="center" wrapText="1"/>
    </xf>
    <xf numFmtId="10" fontId="6" fillId="2" borderId="1" xfId="0" applyNumberFormat="1" applyFont="1" applyFill="1" applyBorder="1" applyAlignment="1">
      <alignment horizontal="center" wrapText="1"/>
    </xf>
    <xf numFmtId="5" fontId="0" fillId="0" borderId="0" xfId="0" applyNumberFormat="1" applyFill="1"/>
    <xf numFmtId="5" fontId="2" fillId="0" borderId="0" xfId="0" applyNumberFormat="1" applyFont="1" applyFill="1"/>
    <xf numFmtId="5" fontId="11" fillId="4" borderId="0" xfId="0" applyNumberFormat="1" applyFont="1" applyFill="1"/>
    <xf numFmtId="0" fontId="2" fillId="0" borderId="0" xfId="0" applyFont="1" applyFill="1"/>
    <xf numFmtId="10" fontId="2" fillId="0" borderId="0" xfId="0" applyNumberFormat="1" applyFont="1" applyFill="1"/>
    <xf numFmtId="5" fontId="12" fillId="0" borderId="0" xfId="0" applyNumberFormat="1" applyFont="1" applyFill="1" applyAlignment="1">
      <alignment horizontal="centerContinuous"/>
    </xf>
    <xf numFmtId="5" fontId="11" fillId="0" borderId="0" xfId="0" applyNumberFormat="1" applyFont="1" applyFill="1" applyAlignment="1">
      <alignment horizontal="centerContinuous"/>
    </xf>
    <xf numFmtId="5" fontId="12" fillId="4" borderId="0" xfId="0" applyNumberFormat="1" applyFont="1" applyFill="1" applyAlignment="1">
      <alignment horizontal="centerContinuous"/>
    </xf>
    <xf numFmtId="5" fontId="11" fillId="4" borderId="0" xfId="0" applyNumberFormat="1" applyFont="1" applyFill="1" applyAlignment="1">
      <alignment horizontal="centerContinuous"/>
    </xf>
    <xf numFmtId="10" fontId="11" fillId="4" borderId="0" xfId="0" applyNumberFormat="1" applyFont="1" applyFill="1" applyAlignment="1">
      <alignment horizontal="centerContinuous"/>
    </xf>
    <xf numFmtId="5" fontId="13" fillId="0" borderId="0" xfId="0" applyNumberFormat="1" applyFont="1" applyFill="1" applyAlignment="1">
      <alignment horizontal="centerContinuous"/>
    </xf>
    <xf numFmtId="5" fontId="0" fillId="0" borderId="0" xfId="0" applyNumberFormat="1" applyFill="1" applyAlignment="1">
      <alignment horizontal="centerContinuous"/>
    </xf>
    <xf numFmtId="10" fontId="11" fillId="0" borderId="0" xfId="0" applyNumberFormat="1" applyFont="1" applyFill="1" applyAlignment="1">
      <alignment horizontal="centerContinuous"/>
    </xf>
    <xf numFmtId="5" fontId="13" fillId="4" borderId="0" xfId="0" applyNumberFormat="1" applyFont="1" applyFill="1" applyAlignment="1">
      <alignment horizontal="centerContinuous"/>
    </xf>
    <xf numFmtId="10" fontId="11" fillId="0" borderId="0" xfId="0" applyNumberFormat="1" applyFont="1" applyFill="1" applyAlignment="1">
      <alignment horizontal="right"/>
    </xf>
    <xf numFmtId="5" fontId="14" fillId="4" borderId="0" xfId="0" applyNumberFormat="1" applyFont="1" applyFill="1" applyAlignment="1">
      <alignment horizontal="centerContinuous"/>
    </xf>
    <xf numFmtId="5" fontId="11" fillId="0" borderId="0" xfId="0" applyNumberFormat="1" applyFont="1" applyFill="1"/>
    <xf numFmtId="5" fontId="11" fillId="0" borderId="0" xfId="0" applyNumberFormat="1" applyFont="1" applyFill="1" applyAlignment="1">
      <alignment horizontal="right"/>
    </xf>
    <xf numFmtId="10" fontId="11" fillId="4" borderId="0" xfId="0" applyNumberFormat="1" applyFont="1" applyFill="1"/>
    <xf numFmtId="0" fontId="11" fillId="0" borderId="10" xfId="0" applyFont="1" applyFill="1" applyBorder="1"/>
    <xf numFmtId="0" fontId="11" fillId="0" borderId="10" xfId="0" applyFont="1" applyFill="1" applyBorder="1" applyAlignment="1">
      <alignment horizontal="right"/>
    </xf>
    <xf numFmtId="10" fontId="11" fillId="0" borderId="10" xfId="0" applyNumberFormat="1" applyFont="1" applyFill="1" applyBorder="1" applyAlignment="1">
      <alignment horizontal="right"/>
    </xf>
    <xf numFmtId="5" fontId="11" fillId="4" borderId="0" xfId="0" applyNumberFormat="1" applyFont="1" applyFill="1" applyAlignment="1">
      <alignment horizontal="right"/>
    </xf>
    <xf numFmtId="10" fontId="11" fillId="4" borderId="0" xfId="0" applyNumberFormat="1" applyFont="1" applyFill="1" applyAlignment="1">
      <alignment horizontal="right"/>
    </xf>
    <xf numFmtId="5" fontId="11" fillId="4" borderId="10" xfId="0" applyNumberFormat="1" applyFont="1" applyFill="1" applyBorder="1"/>
    <xf numFmtId="0" fontId="11" fillId="4" borderId="10" xfId="0" applyFont="1" applyFill="1" applyBorder="1"/>
    <xf numFmtId="10" fontId="11" fillId="4" borderId="10" xfId="0" applyNumberFormat="1" applyFont="1" applyFill="1" applyBorder="1" applyAlignment="1">
      <alignment horizontal="right"/>
    </xf>
    <xf numFmtId="5" fontId="15" fillId="0" borderId="0" xfId="0" applyNumberFormat="1" applyFont="1" applyFill="1"/>
    <xf numFmtId="10" fontId="11" fillId="0" borderId="0" xfId="0" applyNumberFormat="1" applyFont="1" applyFill="1"/>
    <xf numFmtId="5" fontId="11" fillId="4" borderId="0" xfId="0" applyNumberFormat="1" applyFont="1" applyFill="1" applyBorder="1"/>
    <xf numFmtId="0" fontId="11" fillId="4" borderId="0" xfId="0" applyFont="1" applyFill="1" applyBorder="1"/>
    <xf numFmtId="10" fontId="11" fillId="4" borderId="0" xfId="0" applyNumberFormat="1" applyFont="1" applyFill="1" applyBorder="1" applyAlignment="1">
      <alignment horizontal="right"/>
    </xf>
    <xf numFmtId="5" fontId="11" fillId="0" borderId="0" xfId="0" applyNumberFormat="1" applyFont="1" applyFill="1" applyBorder="1"/>
    <xf numFmtId="10" fontId="11" fillId="0" borderId="0" xfId="0" applyNumberFormat="1" applyFont="1" applyFill="1" applyBorder="1"/>
    <xf numFmtId="5" fontId="11" fillId="0" borderId="10" xfId="0" applyNumberFormat="1" applyFont="1" applyFill="1" applyBorder="1"/>
    <xf numFmtId="168" fontId="2" fillId="0" borderId="0" xfId="0" applyNumberFormat="1" applyFont="1" applyFill="1" applyBorder="1"/>
    <xf numFmtId="10" fontId="11" fillId="4" borderId="0" xfId="0" applyNumberFormat="1" applyFont="1" applyFill="1" applyBorder="1"/>
    <xf numFmtId="10" fontId="11" fillId="4" borderId="10" xfId="0" applyNumberFormat="1" applyFont="1" applyFill="1" applyBorder="1"/>
    <xf numFmtId="10" fontId="11" fillId="4" borderId="11" xfId="0" applyNumberFormat="1" applyFont="1" applyFill="1" applyBorder="1"/>
    <xf numFmtId="168" fontId="3" fillId="0" borderId="0" xfId="0" applyNumberFormat="1" applyFont="1" applyFill="1" applyBorder="1"/>
    <xf numFmtId="5" fontId="2" fillId="0" borderId="0" xfId="0" applyNumberFormat="1" applyFont="1" applyFill="1" applyBorder="1"/>
    <xf numFmtId="10" fontId="11" fillId="4" borderId="12" xfId="0" applyNumberFormat="1" applyFont="1" applyFill="1" applyBorder="1"/>
    <xf numFmtId="10" fontId="11" fillId="4" borderId="13" xfId="0" applyNumberFormat="1" applyFont="1" applyFill="1" applyBorder="1"/>
    <xf numFmtId="10" fontId="11" fillId="4" borderId="14" xfId="0" applyNumberFormat="1" applyFont="1" applyFill="1" applyBorder="1"/>
    <xf numFmtId="10" fontId="11" fillId="4" borderId="15" xfId="0" applyNumberFormat="1" applyFont="1" applyFill="1" applyBorder="1"/>
    <xf numFmtId="5" fontId="0" fillId="4" borderId="0" xfId="0" applyNumberFormat="1" applyFill="1"/>
    <xf numFmtId="5" fontId="11" fillId="4" borderId="0" xfId="0" applyNumberFormat="1" applyFont="1" applyFill="1" applyAlignment="1">
      <alignment horizontal="left"/>
    </xf>
    <xf numFmtId="5" fontId="11" fillId="0" borderId="0" xfId="0" applyNumberFormat="1" applyFont="1" applyFill="1" applyAlignment="1">
      <alignment horizontal="left"/>
    </xf>
    <xf numFmtId="10" fontId="11" fillId="0" borderId="16" xfId="0" applyNumberFormat="1" applyFont="1" applyFill="1" applyBorder="1"/>
    <xf numFmtId="5" fontId="14" fillId="0" borderId="0" xfId="0" applyNumberFormat="1" applyFont="1" applyFill="1" applyAlignment="1">
      <alignment horizontal="centerContinuous"/>
    </xf>
    <xf numFmtId="166" fontId="11" fillId="0" borderId="0" xfId="0" applyNumberFormat="1" applyFont="1" applyFill="1"/>
    <xf numFmtId="0" fontId="16" fillId="5" borderId="0" xfId="0" applyFont="1" applyFill="1"/>
    <xf numFmtId="0" fontId="16" fillId="0" borderId="0" xfId="0" applyFont="1" applyFill="1"/>
    <xf numFmtId="5" fontId="17" fillId="4" borderId="0" xfId="0" applyNumberFormat="1" applyFont="1" applyFill="1"/>
    <xf numFmtId="5" fontId="17" fillId="0" borderId="0" xfId="0" quotePrefix="1" applyNumberFormat="1" applyFont="1" applyFill="1" applyAlignment="1">
      <alignment horizontal="left"/>
    </xf>
    <xf numFmtId="166" fontId="11" fillId="4" borderId="0" xfId="0" quotePrefix="1" applyNumberFormat="1" applyFont="1" applyFill="1" applyAlignment="1">
      <alignment horizontal="left"/>
    </xf>
    <xf numFmtId="0" fontId="11" fillId="0" borderId="0" xfId="0" applyFont="1" applyFill="1" applyBorder="1"/>
    <xf numFmtId="10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/>
    <xf numFmtId="10" fontId="11" fillId="0" borderId="0" xfId="2" applyNumberFormat="1" applyFont="1" applyFill="1"/>
    <xf numFmtId="5" fontId="15" fillId="0" borderId="0" xfId="0" quotePrefix="1" applyNumberFormat="1" applyFont="1" applyFill="1" applyAlignment="1">
      <alignment horizontal="left"/>
    </xf>
    <xf numFmtId="10" fontId="2" fillId="0" borderId="11" xfId="0" applyNumberFormat="1" applyFont="1" applyFill="1" applyBorder="1"/>
    <xf numFmtId="10" fontId="0" fillId="0" borderId="0" xfId="0" applyNumberFormat="1" applyFill="1"/>
    <xf numFmtId="49" fontId="11" fillId="0" borderId="10" xfId="0" applyNumberFormat="1" applyFont="1" applyFill="1" applyBorder="1" applyAlignment="1">
      <alignment horizontal="right"/>
    </xf>
    <xf numFmtId="164" fontId="4" fillId="0" borderId="0" xfId="0" applyNumberFormat="1" applyFont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/>
    <xf numFmtId="10" fontId="0" fillId="0" borderId="1" xfId="2" applyNumberFormat="1" applyFont="1" applyFill="1" applyBorder="1"/>
    <xf numFmtId="10" fontId="6" fillId="3" borderId="1" xfId="2" applyNumberFormat="1" applyFont="1" applyFill="1" applyBorder="1"/>
    <xf numFmtId="2" fontId="2" fillId="0" borderId="0" xfId="0" applyNumberFormat="1" applyFont="1" applyFill="1"/>
    <xf numFmtId="164" fontId="2" fillId="0" borderId="0" xfId="1" applyNumberFormat="1" applyFont="1" applyFill="1"/>
    <xf numFmtId="164" fontId="2" fillId="0" borderId="0" xfId="0" applyNumberFormat="1" applyFont="1" applyFill="1" applyAlignment="1">
      <alignment horizontal="center"/>
    </xf>
    <xf numFmtId="165" fontId="2" fillId="0" borderId="0" xfId="1" applyNumberFormat="1" applyFont="1" applyAlignment="1">
      <alignment horizontal="right"/>
    </xf>
    <xf numFmtId="169" fontId="11" fillId="0" borderId="0" xfId="1" applyNumberFormat="1" applyFont="1" applyFill="1"/>
    <xf numFmtId="169" fontId="11" fillId="0" borderId="0" xfId="1" applyNumberFormat="1" applyFont="1" applyFill="1" applyBorder="1"/>
    <xf numFmtId="169" fontId="11" fillId="0" borderId="10" xfId="1" applyNumberFormat="1" applyFont="1" applyFill="1" applyBorder="1"/>
    <xf numFmtId="169" fontId="11" fillId="0" borderId="11" xfId="1" applyNumberFormat="1" applyFont="1" applyFill="1" applyBorder="1"/>
    <xf numFmtId="169" fontId="11" fillId="0" borderId="13" xfId="1" applyNumberFormat="1" applyFont="1" applyFill="1" applyBorder="1"/>
    <xf numFmtId="169" fontId="11" fillId="0" borderId="14" xfId="1" applyNumberFormat="1" applyFont="1" applyFill="1" applyBorder="1"/>
    <xf numFmtId="169" fontId="11" fillId="0" borderId="15" xfId="1" applyNumberFormat="1" applyFont="1" applyFill="1" applyBorder="1"/>
    <xf numFmtId="169" fontId="11" fillId="0" borderId="12" xfId="1" applyNumberFormat="1" applyFont="1" applyFill="1" applyBorder="1"/>
    <xf numFmtId="169" fontId="0" fillId="0" borderId="0" xfId="1" applyNumberFormat="1" applyFont="1" applyFill="1"/>
    <xf numFmtId="169" fontId="16" fillId="0" borderId="11" xfId="1" applyNumberFormat="1" applyFont="1" applyFill="1" applyBorder="1"/>
    <xf numFmtId="169" fontId="2" fillId="0" borderId="0" xfId="1" applyNumberFormat="1" applyFont="1" applyFill="1"/>
    <xf numFmtId="169" fontId="11" fillId="0" borderId="0" xfId="1" applyNumberFormat="1" applyFont="1" applyFill="1" applyAlignment="1">
      <alignment horizontal="center"/>
    </xf>
    <xf numFmtId="169" fontId="11" fillId="0" borderId="0" xfId="1" applyNumberFormat="1" applyFont="1" applyFill="1" applyAlignment="1">
      <alignment horizontal="right"/>
    </xf>
    <xf numFmtId="169" fontId="2" fillId="0" borderId="10" xfId="1" applyNumberFormat="1" applyFont="1" applyFill="1" applyBorder="1"/>
    <xf numFmtId="169" fontId="11" fillId="0" borderId="0" xfId="1" applyNumberFormat="1" applyFont="1" applyFill="1" applyBorder="1" applyProtection="1"/>
    <xf numFmtId="5" fontId="2" fillId="0" borderId="0" xfId="0" applyNumberFormat="1" applyFont="1" applyFill="1" applyAlignment="1">
      <alignment horizontal="right"/>
    </xf>
    <xf numFmtId="10" fontId="5" fillId="0" borderId="0" xfId="0" applyNumberFormat="1" applyFont="1" applyFill="1" applyAlignment="1">
      <alignment horizontal="right"/>
    </xf>
    <xf numFmtId="0" fontId="3" fillId="0" borderId="0" xfId="0" quotePrefix="1" applyNumberFormat="1" applyFont="1" applyFill="1" applyAlignment="1">
      <alignment horizontal="right" wrapText="1"/>
    </xf>
    <xf numFmtId="0" fontId="3" fillId="0" borderId="0" xfId="0" applyNumberFormat="1" applyFont="1" applyAlignment="1">
      <alignment horizontal="right" wrapText="1"/>
    </xf>
    <xf numFmtId="10" fontId="2" fillId="0" borderId="11" xfId="2" applyNumberFormat="1" applyFont="1" applyBorder="1"/>
    <xf numFmtId="10" fontId="2" fillId="0" borderId="11" xfId="0" applyNumberFormat="1" applyFont="1" applyBorder="1"/>
    <xf numFmtId="39" fontId="3" fillId="0" borderId="0" xfId="0" quotePrefix="1" applyNumberFormat="1" applyFont="1" applyAlignment="1">
      <alignment horizontal="right"/>
    </xf>
    <xf numFmtId="0" fontId="0" fillId="0" borderId="1" xfId="0" quotePrefix="1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164" fontId="2" fillId="0" borderId="11" xfId="0" applyNumberFormat="1" applyFont="1" applyFill="1" applyBorder="1"/>
    <xf numFmtId="164" fontId="2" fillId="0" borderId="11" xfId="0" applyNumberFormat="1" applyFont="1" applyBorder="1"/>
    <xf numFmtId="169" fontId="18" fillId="0" borderId="0" xfId="1" applyNumberFormat="1" applyFont="1"/>
    <xf numFmtId="0" fontId="0" fillId="6" borderId="1" xfId="0" applyFill="1" applyBorder="1" applyAlignment="1">
      <alignment horizontal="center"/>
    </xf>
    <xf numFmtId="10" fontId="2" fillId="0" borderId="0" xfId="0" applyNumberFormat="1" applyFon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10" fontId="5" fillId="4" borderId="0" xfId="0" applyNumberFormat="1" applyFont="1" applyFill="1" applyAlignment="1">
      <alignment horizontal="right"/>
    </xf>
    <xf numFmtId="10" fontId="2" fillId="4" borderId="0" xfId="0" quotePrefix="1" applyNumberFormat="1" applyFont="1" applyFill="1" applyAlignment="1">
      <alignment horizontal="right"/>
    </xf>
    <xf numFmtId="0" fontId="11" fillId="0" borderId="10" xfId="0" quotePrefix="1" applyNumberFormat="1" applyFont="1" applyFill="1" applyBorder="1" applyAlignment="1">
      <alignment horizontal="right"/>
    </xf>
    <xf numFmtId="5" fontId="13" fillId="4" borderId="0" xfId="0" applyNumberFormat="1" applyFont="1" applyFill="1" applyAlignment="1"/>
    <xf numFmtId="5" fontId="3" fillId="0" borderId="0" xfId="0" applyNumberFormat="1" applyFont="1" applyFill="1" applyAlignment="1">
      <alignment horizontal="centerContinuous"/>
    </xf>
    <xf numFmtId="39" fontId="18" fillId="0" borderId="0" xfId="0" applyNumberFormat="1" applyFont="1"/>
    <xf numFmtId="169" fontId="2" fillId="0" borderId="0" xfId="1" applyNumberFormat="1" applyFont="1"/>
    <xf numFmtId="0" fontId="3" fillId="0" borderId="0" xfId="0" applyNumberFormat="1" applyFont="1" applyFill="1" applyAlignment="1">
      <alignment horizontal="right" wrapText="1"/>
    </xf>
    <xf numFmtId="2" fontId="0" fillId="0" borderId="1" xfId="0" quotePrefix="1" applyNumberFormat="1" applyFill="1" applyBorder="1"/>
    <xf numFmtId="10" fontId="0" fillId="0" borderId="1" xfId="2" quotePrefix="1" applyNumberFormat="1" applyFont="1" applyFill="1" applyBorder="1"/>
    <xf numFmtId="10" fontId="11" fillId="0" borderId="12" xfId="0" applyNumberFormat="1" applyFont="1" applyFill="1" applyBorder="1"/>
    <xf numFmtId="10" fontId="11" fillId="0" borderId="15" xfId="0" applyNumberFormat="1" applyFont="1" applyFill="1" applyBorder="1"/>
    <xf numFmtId="166" fontId="11" fillId="0" borderId="12" xfId="3" applyNumberFormat="1" applyFont="1" applyFill="1" applyBorder="1"/>
    <xf numFmtId="10" fontId="11" fillId="4" borderId="0" xfId="0" applyNumberFormat="1" applyFont="1" applyFill="1" applyAlignment="1">
      <alignment horizontal="center"/>
    </xf>
    <xf numFmtId="170" fontId="9" fillId="0" borderId="0" xfId="0" applyNumberFormat="1" applyFont="1" applyAlignment="1">
      <alignment horizontal="centerContinuous"/>
    </xf>
    <xf numFmtId="10" fontId="0" fillId="0" borderId="0" xfId="2" applyNumberFormat="1" applyFont="1"/>
    <xf numFmtId="10" fontId="2" fillId="0" borderId="0" xfId="2" applyNumberFormat="1" applyFont="1" applyFill="1"/>
    <xf numFmtId="10" fontId="2" fillId="0" borderId="13" xfId="0" applyNumberFormat="1" applyFont="1" applyBorder="1"/>
    <xf numFmtId="10" fontId="2" fillId="0" borderId="15" xfId="0" applyNumberFormat="1" applyFont="1" applyBorder="1"/>
    <xf numFmtId="10" fontId="2" fillId="4" borderId="10" xfId="0" applyNumberFormat="1" applyFont="1" applyFill="1" applyBorder="1" applyAlignment="1">
      <alignment horizontal="right"/>
    </xf>
    <xf numFmtId="10" fontId="2" fillId="0" borderId="12" xfId="0" applyNumberFormat="1" applyFont="1" applyBorder="1"/>
    <xf numFmtId="10" fontId="2" fillId="4" borderId="0" xfId="0" applyNumberFormat="1" applyFont="1" applyFill="1"/>
    <xf numFmtId="10" fontId="2" fillId="0" borderId="16" xfId="0" applyNumberFormat="1" applyFont="1" applyBorder="1"/>
    <xf numFmtId="0" fontId="10" fillId="0" borderId="1" xfId="0" applyFont="1" applyBorder="1" applyAlignment="1">
      <alignment horizontal="center" wrapText="1"/>
    </xf>
    <xf numFmtId="10" fontId="10" fillId="0" borderId="1" xfId="0" applyNumberFormat="1" applyFont="1" applyBorder="1" applyAlignment="1">
      <alignment horizontal="center" wrapText="1"/>
    </xf>
    <xf numFmtId="10" fontId="10" fillId="0" borderId="2" xfId="0" applyNumberFormat="1" applyFont="1" applyBorder="1" applyAlignment="1">
      <alignment horizontal="center" wrapText="1"/>
    </xf>
    <xf numFmtId="10" fontId="10" fillId="0" borderId="3" xfId="0" applyNumberFormat="1" applyFont="1" applyBorder="1" applyAlignment="1">
      <alignment horizontal="center" wrapText="1"/>
    </xf>
    <xf numFmtId="5" fontId="13" fillId="4" borderId="0" xfId="0" applyNumberFormat="1" applyFont="1" applyFill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abSelected="1" workbookViewId="0">
      <pane xSplit="1" topLeftCell="B1" activePane="topRight" state="frozen"/>
      <selection activeCell="A7" sqref="A7"/>
      <selection pane="topRight"/>
    </sheetView>
  </sheetViews>
  <sheetFormatPr defaultRowHeight="15"/>
  <cols>
    <col min="1" max="1" width="19.7109375" customWidth="1"/>
  </cols>
  <sheetData>
    <row r="1" spans="1:21">
      <c r="D1" s="30"/>
      <c r="E1" s="30"/>
      <c r="F1" s="30"/>
      <c r="G1" s="30"/>
      <c r="H1" s="30"/>
      <c r="I1" s="30"/>
      <c r="J1" s="30"/>
      <c r="K1" s="30"/>
      <c r="U1" s="31" t="s">
        <v>191</v>
      </c>
    </row>
    <row r="2" spans="1:21">
      <c r="D2" s="30"/>
      <c r="E2" s="30"/>
      <c r="F2" s="30"/>
      <c r="G2" s="30"/>
      <c r="H2" s="30"/>
      <c r="I2" s="30"/>
      <c r="J2" s="30"/>
      <c r="K2" s="30"/>
      <c r="U2" s="32"/>
    </row>
    <row r="3" spans="1:21" ht="20.25">
      <c r="A3" s="33" t="s">
        <v>130</v>
      </c>
      <c r="B3" s="34"/>
      <c r="C3" s="34"/>
      <c r="D3" s="35"/>
      <c r="E3" s="35"/>
      <c r="F3" s="35"/>
      <c r="G3" s="36"/>
      <c r="H3" s="35"/>
      <c r="I3" s="36"/>
      <c r="J3" s="36"/>
      <c r="K3" s="36"/>
      <c r="L3" s="37"/>
      <c r="M3" s="37"/>
      <c r="N3" s="37"/>
      <c r="O3" s="34"/>
      <c r="P3" s="34"/>
      <c r="Q3" s="34"/>
      <c r="R3" s="34"/>
      <c r="S3" s="34"/>
      <c r="T3" s="34"/>
      <c r="U3" s="34"/>
    </row>
    <row r="4" spans="1:21" ht="20.25">
      <c r="A4" s="38" t="s">
        <v>131</v>
      </c>
      <c r="B4" s="34"/>
      <c r="C4" s="34"/>
      <c r="D4" s="35"/>
      <c r="E4" s="35"/>
      <c r="F4" s="35"/>
      <c r="G4" s="33"/>
      <c r="H4" s="35"/>
      <c r="I4" s="33"/>
      <c r="J4" s="33"/>
      <c r="K4" s="37"/>
      <c r="L4" s="37"/>
      <c r="M4" s="37"/>
      <c r="N4" s="37"/>
      <c r="O4" s="34"/>
      <c r="P4" s="34"/>
      <c r="Q4" s="34"/>
      <c r="R4" s="34"/>
      <c r="S4" s="34"/>
      <c r="T4" s="34"/>
      <c r="U4" s="34"/>
    </row>
    <row r="5" spans="1:21" ht="20.25">
      <c r="A5" s="38" t="s">
        <v>132</v>
      </c>
      <c r="B5" s="34"/>
      <c r="C5" s="34"/>
      <c r="D5" s="35"/>
      <c r="E5" s="35"/>
      <c r="F5" s="35"/>
      <c r="G5" s="33"/>
      <c r="H5" s="35"/>
      <c r="I5" s="33"/>
      <c r="J5" s="33"/>
      <c r="K5" s="33"/>
      <c r="L5" s="37"/>
      <c r="M5" s="37"/>
      <c r="N5" s="37"/>
      <c r="O5" s="34"/>
      <c r="P5" s="34"/>
      <c r="Q5" s="34"/>
      <c r="R5" s="34"/>
      <c r="S5" s="34"/>
      <c r="T5" s="34"/>
      <c r="U5" s="34"/>
    </row>
    <row r="6" spans="1:21" ht="20.25">
      <c r="A6" s="188">
        <v>40674</v>
      </c>
      <c r="B6" s="34"/>
      <c r="C6" s="34"/>
      <c r="D6" s="35"/>
      <c r="E6" s="35"/>
      <c r="F6" s="35"/>
      <c r="G6" s="33"/>
      <c r="H6" s="35"/>
      <c r="I6" s="35"/>
      <c r="J6" s="33"/>
      <c r="K6" s="33"/>
      <c r="L6" s="37"/>
      <c r="M6" s="37"/>
      <c r="N6" s="37"/>
      <c r="O6" s="34"/>
      <c r="P6" s="34"/>
      <c r="Q6" s="34"/>
      <c r="R6" s="34"/>
      <c r="S6" s="34"/>
      <c r="T6" s="34"/>
      <c r="U6" s="34"/>
    </row>
    <row r="7" spans="1:21" ht="20.25">
      <c r="A7" s="39"/>
      <c r="D7" s="30"/>
      <c r="E7" s="30"/>
      <c r="F7" s="30"/>
      <c r="G7" s="40"/>
      <c r="H7" s="30"/>
      <c r="I7" s="41"/>
      <c r="J7" s="39"/>
      <c r="K7" s="39"/>
      <c r="L7" s="42"/>
      <c r="M7" s="25"/>
      <c r="N7" s="25"/>
    </row>
    <row r="8" spans="1:21">
      <c r="D8" s="30"/>
      <c r="E8" s="30"/>
      <c r="F8" s="30"/>
      <c r="G8" s="30"/>
      <c r="H8" s="30"/>
      <c r="I8" s="30"/>
      <c r="J8" s="30"/>
      <c r="K8" s="30"/>
    </row>
    <row r="9" spans="1:21" ht="45.75" customHeight="1">
      <c r="A9" s="43"/>
      <c r="B9" s="198" t="s">
        <v>133</v>
      </c>
      <c r="C9" s="198"/>
      <c r="D9" s="198" t="s">
        <v>103</v>
      </c>
      <c r="E9" s="198"/>
      <c r="F9" s="199" t="s">
        <v>134</v>
      </c>
      <c r="G9" s="200"/>
      <c r="H9" s="198" t="s">
        <v>135</v>
      </c>
      <c r="I9" s="198"/>
      <c r="J9" s="198" t="s">
        <v>136</v>
      </c>
      <c r="K9" s="198"/>
      <c r="L9" s="197" t="s">
        <v>137</v>
      </c>
      <c r="M9" s="197"/>
      <c r="N9" s="197" t="s">
        <v>113</v>
      </c>
      <c r="O9" s="197"/>
      <c r="P9" s="197" t="s">
        <v>138</v>
      </c>
      <c r="Q9" s="197"/>
      <c r="R9" s="197" t="s">
        <v>52</v>
      </c>
      <c r="S9" s="197"/>
      <c r="T9" s="197" t="s">
        <v>116</v>
      </c>
      <c r="U9" s="197"/>
    </row>
    <row r="10" spans="1:21" ht="45">
      <c r="A10" s="44" t="s">
        <v>139</v>
      </c>
      <c r="B10" s="166">
        <v>2010</v>
      </c>
      <c r="C10" s="166" t="s">
        <v>183</v>
      </c>
      <c r="D10" s="166">
        <f>B10</f>
        <v>2010</v>
      </c>
      <c r="E10" s="167" t="str">
        <f>C10</f>
        <v>Average 2005-2010</v>
      </c>
      <c r="F10" s="167">
        <f>B10</f>
        <v>2010</v>
      </c>
      <c r="G10" s="167" t="str">
        <f>C10</f>
        <v>Average 2005-2010</v>
      </c>
      <c r="H10" s="166">
        <f>D10</f>
        <v>2010</v>
      </c>
      <c r="I10" s="167" t="str">
        <f>E10</f>
        <v>Average 2005-2010</v>
      </c>
      <c r="J10" s="166">
        <f>D10</f>
        <v>2010</v>
      </c>
      <c r="K10" s="167" t="str">
        <f>I10</f>
        <v>Average 2005-2010</v>
      </c>
      <c r="L10" s="167">
        <f>D10</f>
        <v>2010</v>
      </c>
      <c r="M10" s="167" t="str">
        <f>K10</f>
        <v>Average 2005-2010</v>
      </c>
      <c r="N10" s="167">
        <f>H10</f>
        <v>2010</v>
      </c>
      <c r="O10" s="167" t="str">
        <f>M10</f>
        <v>Average 2005-2010</v>
      </c>
      <c r="P10" s="167">
        <f>J10</f>
        <v>2010</v>
      </c>
      <c r="Q10" s="167" t="str">
        <f>O10</f>
        <v>Average 2005-2010</v>
      </c>
      <c r="R10" s="167">
        <f>D10</f>
        <v>2010</v>
      </c>
      <c r="S10" s="167" t="str">
        <f>Q10</f>
        <v>Average 2005-2010</v>
      </c>
      <c r="T10" s="167" t="s">
        <v>140</v>
      </c>
      <c r="U10" s="167" t="s">
        <v>141</v>
      </c>
    </row>
    <row r="11" spans="1:21">
      <c r="A11" s="45" t="s">
        <v>142</v>
      </c>
      <c r="B11" s="46">
        <f>Alliant!K119</f>
        <v>40.087918514547496</v>
      </c>
      <c r="C11" s="46">
        <f>Alliant!L119</f>
        <v>42.607379472097136</v>
      </c>
      <c r="D11" s="182">
        <f>Alliant!K125</f>
        <v>3.6656441717791348</v>
      </c>
      <c r="E11" s="182">
        <f>Alliant!L125</f>
        <v>3.6081614117989109</v>
      </c>
      <c r="F11" s="183">
        <f>Alliant!X90</f>
        <v>0.16278797459090749</v>
      </c>
      <c r="G11" s="183">
        <f>Alliant!Y90</f>
        <v>0.14342540470443108</v>
      </c>
      <c r="H11" s="183">
        <f>Alliant!K128</f>
        <v>8.6496266462298396E-2</v>
      </c>
      <c r="I11" s="183">
        <f>Alliant!L128</f>
        <v>5.7750769917294886E-2</v>
      </c>
      <c r="J11" s="183">
        <f>Alliant!K129</f>
        <v>6.9688284208090617E-2</v>
      </c>
      <c r="K11" s="183">
        <f>Alliant!L129</f>
        <v>6.9457375005527511E-2</v>
      </c>
      <c r="L11" s="183">
        <f>Alliant!K130</f>
        <v>0.10144084087261664</v>
      </c>
      <c r="M11" s="183">
        <f>Alliant!L130</f>
        <v>9.7368560778632249E-2</v>
      </c>
      <c r="N11" s="182">
        <f>Alliant!K136</f>
        <v>0.55189628014055481</v>
      </c>
      <c r="O11" s="182">
        <f>Alliant!L136</f>
        <v>0.67459044938675838</v>
      </c>
      <c r="P11" s="182">
        <f>Alliant!K137</f>
        <v>0.37295907505363307</v>
      </c>
      <c r="Q11" s="182">
        <f>Alliant!L137</f>
        <v>0.43204057323733175</v>
      </c>
      <c r="R11" s="183">
        <f>Alliant!K147</f>
        <v>0.4954740678633151</v>
      </c>
      <c r="S11" s="183">
        <f>Alliant!L147</f>
        <v>0.54704535139654686</v>
      </c>
      <c r="T11" s="171" t="s">
        <v>143</v>
      </c>
      <c r="U11" s="171" t="s">
        <v>146</v>
      </c>
    </row>
    <row r="12" spans="1:21">
      <c r="A12" s="45" t="s">
        <v>145</v>
      </c>
      <c r="B12" s="46">
        <f>DTE!K119</f>
        <v>50.113419293218719</v>
      </c>
      <c r="C12" s="46">
        <f>DTE!L119</f>
        <v>77.832624662259676</v>
      </c>
      <c r="D12" s="46">
        <f>DTE!K125</f>
        <v>2.7304189435336976</v>
      </c>
      <c r="E12" s="46">
        <f>DTE!L125</f>
        <v>2.4637669982281634</v>
      </c>
      <c r="F12" s="138">
        <f>DTE!X90</f>
        <v>0.17108799813018583</v>
      </c>
      <c r="G12" s="138">
        <f>DTE!Y90</f>
        <v>0.14890969424034131</v>
      </c>
      <c r="H12" s="138">
        <f>DTE!K128</f>
        <v>4.0711117591497641E-2</v>
      </c>
      <c r="I12" s="138">
        <f>DTE!L128</f>
        <v>3.9777844239410796E-2</v>
      </c>
      <c r="J12" s="138">
        <f>DTE!K129</f>
        <v>6.8589109536831991E-2</v>
      </c>
      <c r="K12" s="138">
        <f>DTE!L129</f>
        <v>6.8357589668301674E-2</v>
      </c>
      <c r="L12" s="138">
        <f>DTE!K130</f>
        <v>9.6308186195826651E-2</v>
      </c>
      <c r="M12" s="138">
        <f>DTE!L130</f>
        <v>0.10008121671228028</v>
      </c>
      <c r="N12" s="46">
        <f>DTE!K136</f>
        <v>0.67316996420564057</v>
      </c>
      <c r="O12" s="46">
        <f>DTE!L136</f>
        <v>0.72424869320968843</v>
      </c>
      <c r="P12" s="46">
        <f>DTE!K137</f>
        <v>0.34861787292986496</v>
      </c>
      <c r="Q12" s="46">
        <f>DTE!L137</f>
        <v>0.35480763518635289</v>
      </c>
      <c r="R12" s="138">
        <f>DTE!K147</f>
        <v>0.45781746837155807</v>
      </c>
      <c r="S12" s="138">
        <f>DTE!L147</f>
        <v>0.43687821993606035</v>
      </c>
      <c r="T12" s="171" t="s">
        <v>147</v>
      </c>
      <c r="U12" s="171" t="s">
        <v>144</v>
      </c>
    </row>
    <row r="13" spans="1:21">
      <c r="A13" s="45" t="s">
        <v>184</v>
      </c>
      <c r="B13" s="46">
        <f>+'Edison Int'!K119</f>
        <v>19.124236800344281</v>
      </c>
      <c r="C13" s="46">
        <f>+'Edison Int'!L119</f>
        <v>27.566097607011642</v>
      </c>
      <c r="D13" s="46">
        <f>+'Edison Int'!K125</f>
        <v>3.2844950213371265</v>
      </c>
      <c r="E13" s="46">
        <f>+'Edison Int'!L125</f>
        <v>3.0356216863999141</v>
      </c>
      <c r="F13" s="138">
        <f>+'Edison Int'!X90</f>
        <v>0.17132726247078733</v>
      </c>
      <c r="G13" s="138">
        <f>+'Edison Int'!Y90</f>
        <v>0.17522133151996233</v>
      </c>
      <c r="H13" s="138">
        <f>+'Edison Int'!K128</f>
        <v>4.1484635436347034E-2</v>
      </c>
      <c r="I13" s="138">
        <f>+'Edison Int'!L128</f>
        <v>4.3777067288530765E-2</v>
      </c>
      <c r="J13" s="138">
        <f>+'Edison Int'!K129</f>
        <v>7.8894554969952693E-2</v>
      </c>
      <c r="K13" s="138">
        <f>+'Edison Int'!L129</f>
        <v>8.6874482153628516E-2</v>
      </c>
      <c r="L13" s="138">
        <f>+'Edison Int'!K130</f>
        <v>0.11164444444444445</v>
      </c>
      <c r="M13" s="138">
        <f>+'Edison Int'!L130</f>
        <v>0.11989726734422219</v>
      </c>
      <c r="N13" s="46">
        <f>+'Edison Int'!K136</f>
        <v>0.53870197525504671</v>
      </c>
      <c r="O13" s="46">
        <f>+'Edison Int'!L136</f>
        <v>0.72672612540570658</v>
      </c>
      <c r="P13" s="46">
        <f>+'Edison Int'!K137</f>
        <v>0.285349644721411</v>
      </c>
      <c r="Q13" s="46">
        <f>+'Edison Int'!L137</f>
        <v>0.32787974710598017</v>
      </c>
      <c r="R13" s="138">
        <f>+'Edison Int'!K147</f>
        <v>0.48065905574373774</v>
      </c>
      <c r="S13" s="138">
        <f>+'Edison Int'!L147</f>
        <v>0.48615500320206168</v>
      </c>
      <c r="T13" s="171" t="s">
        <v>187</v>
      </c>
      <c r="U13" s="171" t="s">
        <v>188</v>
      </c>
    </row>
    <row r="14" spans="1:21">
      <c r="A14" s="45" t="s">
        <v>180</v>
      </c>
      <c r="B14" s="46">
        <f>Entergy!K119</f>
        <v>21.82597084577224</v>
      </c>
      <c r="C14" s="46">
        <f>Entergy!L119</f>
        <v>35.749920254792983</v>
      </c>
      <c r="D14" s="46">
        <f>Entergy!K125</f>
        <v>4.0606346677680456</v>
      </c>
      <c r="E14" s="46">
        <f>Entergy!L125</f>
        <v>3.8726160729460086</v>
      </c>
      <c r="F14" s="138">
        <f>Entergy!X90</f>
        <v>0.19352975827713725</v>
      </c>
      <c r="G14" s="138">
        <f>Entergy!Y90</f>
        <v>0.18341305927435791</v>
      </c>
      <c r="H14" s="138">
        <f>Entergy!K128</f>
        <v>4.3507695937555706E-2</v>
      </c>
      <c r="I14" s="138">
        <f>Entergy!L128</f>
        <v>4.5732304386357413E-2</v>
      </c>
      <c r="J14" s="138">
        <f>Entergy!K129</f>
        <v>8.1374794497708416E-2</v>
      </c>
      <c r="K14" s="138">
        <f>Entergy!L129</f>
        <v>8.2718619130138865E-2</v>
      </c>
      <c r="L14" s="138">
        <f>Entergy!K130</f>
        <v>0.14379332733791214</v>
      </c>
      <c r="M14" s="138">
        <f>Entergy!L130</f>
        <v>0.13781740643296048</v>
      </c>
      <c r="N14" s="46">
        <f>Entergy!K136</f>
        <v>0.48637281421341405</v>
      </c>
      <c r="O14" s="46">
        <f>Entergy!L136</f>
        <v>0.53774466452941139</v>
      </c>
      <c r="P14" s="46">
        <f>Entergy!K137</f>
        <v>0.30132442574900492</v>
      </c>
      <c r="Q14" s="46">
        <f>Entergy!L137</f>
        <v>0.33553861922248979</v>
      </c>
      <c r="R14" s="138">
        <f>Entergy!K147</f>
        <v>0.41600372388455564</v>
      </c>
      <c r="S14" s="138">
        <f>Entergy!L147</f>
        <v>0.4290408281055394</v>
      </c>
      <c r="T14" s="171" t="s">
        <v>143</v>
      </c>
      <c r="U14" s="171" t="s">
        <v>189</v>
      </c>
    </row>
    <row r="15" spans="1:21">
      <c r="A15" s="45" t="s">
        <v>186</v>
      </c>
      <c r="B15" s="46">
        <f>+'PG &amp; E'!K119</f>
        <v>16.019449380492198</v>
      </c>
      <c r="C15" s="46">
        <f>+'PG &amp; E'!L119</f>
        <v>47.666776330850659</v>
      </c>
      <c r="D15" s="46">
        <f>+'PG &amp; E'!K125</f>
        <v>3.4269005847953218</v>
      </c>
      <c r="E15" s="46">
        <f>+'PG &amp; E'!L125</f>
        <v>3.2773155054953373</v>
      </c>
      <c r="F15" s="138">
        <f>'PG &amp; E'!X90</f>
        <v>0.16675095730077308</v>
      </c>
      <c r="G15" s="138">
        <f>'PG &amp; E'!Y90</f>
        <v>0.16459349439802387</v>
      </c>
      <c r="H15" s="138">
        <f>+'PG &amp; E'!K128</f>
        <v>3.5328979173973631E-2</v>
      </c>
      <c r="I15" s="138">
        <f>+'PG &amp; E'!L128</f>
        <v>4.1264605721688365E-2</v>
      </c>
      <c r="J15" s="138">
        <f>+'PG &amp; E'!K129</f>
        <v>7.0543781608017456E-2</v>
      </c>
      <c r="K15" s="138">
        <f>+'PG &amp; E'!L129</f>
        <v>9.0075483256110866E-2</v>
      </c>
      <c r="L15" s="138">
        <f>+'PG &amp; E'!K130</f>
        <v>0.10063746100637461</v>
      </c>
      <c r="M15" s="138">
        <f>+'PG &amp; E'!L130</f>
        <v>0.12288539133684057</v>
      </c>
      <c r="N15" s="46">
        <f>+'PG &amp; E'!K136</f>
        <v>0.45875938416665285</v>
      </c>
      <c r="O15" s="46">
        <f>+'PG &amp; E'!L136</f>
        <v>0.55010379287284383</v>
      </c>
      <c r="P15" s="46">
        <f>+'PG &amp; E'!K137</f>
        <v>0.31113858604023831</v>
      </c>
      <c r="Q15" s="46">
        <f>+'PG &amp; E'!L137</f>
        <v>0.34776662945088793</v>
      </c>
      <c r="R15" s="138">
        <f>+'PG &amp; E'!K147</f>
        <v>0.49610735945632073</v>
      </c>
      <c r="S15" s="138">
        <f>+'PG &amp; E'!L147</f>
        <v>0.5095281980554287</v>
      </c>
      <c r="T15" s="171" t="s">
        <v>187</v>
      </c>
      <c r="U15" s="171" t="s">
        <v>146</v>
      </c>
    </row>
    <row r="16" spans="1:21">
      <c r="A16" s="45" t="s">
        <v>148</v>
      </c>
      <c r="B16" s="46">
        <f>SCANA!K119</f>
        <v>41.581590892179477</v>
      </c>
      <c r="C16" s="46">
        <f>SCANA!L119</f>
        <v>53.658029361100411</v>
      </c>
      <c r="D16" s="46">
        <f>SCANA!K125</f>
        <v>3.007518796992481</v>
      </c>
      <c r="E16" s="46">
        <f>SCANA!L125</f>
        <v>3.048222142677254</v>
      </c>
      <c r="F16" s="138">
        <f>SCANA!X90</f>
        <v>0.1669202347315801</v>
      </c>
      <c r="G16" s="138">
        <f>SCANA!Y90</f>
        <v>0.13688740308699054</v>
      </c>
      <c r="H16" s="138">
        <f>SCANA!K128</f>
        <v>4.4912437380016663E-2</v>
      </c>
      <c r="I16" s="138">
        <f>SCANA!L128</f>
        <v>4.2643690777347705E-2</v>
      </c>
      <c r="J16" s="138">
        <f>SCANA!K129</f>
        <v>6.9869367201612506E-2</v>
      </c>
      <c r="K16" s="138">
        <f>SCANA!L129</f>
        <v>6.7198672689170999E-2</v>
      </c>
      <c r="L16" s="138">
        <f>SCANA!K130</f>
        <v>0.10576652601969058</v>
      </c>
      <c r="M16" s="138">
        <f>SCANA!L130</f>
        <v>9.8772167812022235E-2</v>
      </c>
      <c r="N16" s="46">
        <f>SCANA!K136</f>
        <v>0.49284987413636122</v>
      </c>
      <c r="O16" s="46">
        <f>SCANA!L136</f>
        <v>0.61020145770925249</v>
      </c>
      <c r="P16" s="46">
        <f>SCANA!K137</f>
        <v>0.3671694198387998</v>
      </c>
      <c r="Q16" s="46">
        <f>SCANA!L137</f>
        <v>0.44458271472580096</v>
      </c>
      <c r="R16" s="138">
        <f>SCANA!K147</f>
        <v>0.45195946770846052</v>
      </c>
      <c r="S16" s="138">
        <f>SCANA!L147</f>
        <v>0.44646385731255783</v>
      </c>
      <c r="T16" s="171" t="s">
        <v>143</v>
      </c>
      <c r="U16" s="171" t="s">
        <v>146</v>
      </c>
    </row>
    <row r="17" spans="1:21">
      <c r="A17" s="47" t="s">
        <v>149</v>
      </c>
      <c r="B17" s="46">
        <f>Southern!K119</f>
        <v>29.247557003257327</v>
      </c>
      <c r="C17" s="46">
        <f>Southern!L119</f>
        <v>47.256490972132688</v>
      </c>
      <c r="D17" s="46">
        <f>Southern!K125</f>
        <v>4.3530726256983243</v>
      </c>
      <c r="E17" s="46">
        <f>Southern!L125</f>
        <v>3.9616229291890135</v>
      </c>
      <c r="F17" s="138">
        <f>Southern!X90</f>
        <v>0.21780476626947753</v>
      </c>
      <c r="G17" s="138">
        <f>Southern!Y90</f>
        <v>0.21464060947333555</v>
      </c>
      <c r="H17" s="138">
        <f>Southern!K128</f>
        <v>4.7890547003144109E-2</v>
      </c>
      <c r="I17" s="138">
        <f>Southern!L128</f>
        <v>5.0260440842027944E-2</v>
      </c>
      <c r="J17" s="138">
        <f>Southern!K129</f>
        <v>7.127898464065531E-2</v>
      </c>
      <c r="K17" s="138">
        <f>Southern!L129</f>
        <v>7.833611001981923E-2</v>
      </c>
      <c r="L17" s="138">
        <f>Southern!K130</f>
        <v>0.11756016495352989</v>
      </c>
      <c r="M17" s="138">
        <f>Southern!L130</f>
        <v>0.13133139444289632</v>
      </c>
      <c r="N17" s="46">
        <f>Southern!K136</f>
        <v>0.42978136694898561</v>
      </c>
      <c r="O17" s="46">
        <f>Southern!L136</f>
        <v>0.43666932054169655</v>
      </c>
      <c r="P17" s="46">
        <f>Southern!K137</f>
        <v>0.3260426978464297</v>
      </c>
      <c r="Q17" s="46">
        <f>Southern!L137</f>
        <v>0.34163174894351661</v>
      </c>
      <c r="R17" s="138">
        <f>Southern!K147</f>
        <v>0.46024660442581455</v>
      </c>
      <c r="S17" s="138">
        <f>Southern!L147</f>
        <v>0.43575886187068208</v>
      </c>
      <c r="T17" s="171" t="s">
        <v>147</v>
      </c>
      <c r="U17" s="171" t="s">
        <v>146</v>
      </c>
    </row>
    <row r="18" spans="1:21">
      <c r="A18" s="45" t="s">
        <v>150</v>
      </c>
      <c r="B18" s="46">
        <f>Wisconsin!K119</f>
        <v>18.775497964960536</v>
      </c>
      <c r="C18" s="46">
        <f>Wisconsin!L119</f>
        <v>48.798599255043321</v>
      </c>
      <c r="D18" s="46">
        <f>Wisconsin!K125</f>
        <v>4.4123062015503871</v>
      </c>
      <c r="E18" s="46">
        <f>Wisconsin!L125</f>
        <v>4.2713313862052518</v>
      </c>
      <c r="F18" s="138">
        <f>Wisconsin!X90</f>
        <v>0.19286139202855443</v>
      </c>
      <c r="G18" s="138">
        <f>Wisconsin!Y90</f>
        <v>0.15697117812203348</v>
      </c>
      <c r="H18" s="138">
        <f>Wisconsin!K128</f>
        <v>4.5785537660769371E-2</v>
      </c>
      <c r="I18" s="138">
        <f>Wisconsin!L128</f>
        <v>4.0256481133186049E-2</v>
      </c>
      <c r="J18" s="138">
        <f>Wisconsin!K129</f>
        <v>7.3677281601129477E-2</v>
      </c>
      <c r="K18" s="138">
        <f>Wisconsin!L129</f>
        <v>6.7847007121660627E-2</v>
      </c>
      <c r="L18" s="138">
        <f>Wisconsin!K130</f>
        <v>0.12389740806079522</v>
      </c>
      <c r="M18" s="138">
        <f>Wisconsin!L130</f>
        <v>0.11522526986117708</v>
      </c>
      <c r="N18" s="46">
        <f>Wisconsin!K136</f>
        <v>0.45146181240029437</v>
      </c>
      <c r="O18" s="46">
        <f>Wisconsin!L136</f>
        <v>0.54312213411698307</v>
      </c>
      <c r="P18" s="46">
        <f>Wisconsin!K137</f>
        <v>0.32631019073907996</v>
      </c>
      <c r="Q18" s="46">
        <f>Wisconsin!L137</f>
        <v>0.35569586480663445</v>
      </c>
      <c r="R18" s="138">
        <f>Wisconsin!K147</f>
        <v>0.46153752776799911</v>
      </c>
      <c r="S18" s="138">
        <f>Wisconsin!L147</f>
        <v>0.45334631967779071</v>
      </c>
      <c r="T18" s="171" t="s">
        <v>143</v>
      </c>
      <c r="U18" s="171" t="s">
        <v>188</v>
      </c>
    </row>
    <row r="19" spans="1:21">
      <c r="A19" s="45" t="s">
        <v>128</v>
      </c>
      <c r="B19" s="46">
        <f>XCEL!K119</f>
        <v>17.469934858350388</v>
      </c>
      <c r="C19" s="46">
        <f>XCEL!L119</f>
        <v>28.745127212443261</v>
      </c>
      <c r="D19" s="46">
        <f>XCEL!K125</f>
        <v>3.166506568286668</v>
      </c>
      <c r="E19" s="46">
        <f>XCEL!L125</f>
        <v>2.8195750815568341</v>
      </c>
      <c r="F19" s="138">
        <f>XCEL!X90</f>
        <v>0.15711156307951152</v>
      </c>
      <c r="G19" s="138">
        <f>XCEL!Y90</f>
        <v>0.13353671943339976</v>
      </c>
      <c r="H19" s="138">
        <f>XCEL!K128</f>
        <v>4.1861447855810578E-2</v>
      </c>
      <c r="I19" s="138">
        <f>XCEL!L128</f>
        <v>4.1132133525928663E-2</v>
      </c>
      <c r="J19" s="138">
        <f>XCEL!K129</f>
        <v>6.6186111523327221E-2</v>
      </c>
      <c r="K19" s="138">
        <f>XCEL!L129</f>
        <v>6.8992941779607339E-2</v>
      </c>
      <c r="L19" s="138">
        <f>XCEL!K130</f>
        <v>9.7820595149375633E-2</v>
      </c>
      <c r="M19" s="138">
        <f>XCEL!L130</f>
        <v>9.6887998092973285E-2</v>
      </c>
      <c r="N19" s="46">
        <f>XCEL!K136</f>
        <v>0.52645311584392052</v>
      </c>
      <c r="O19" s="46">
        <f>XCEL!L136</f>
        <v>0.60898437764831448</v>
      </c>
      <c r="P19" s="46">
        <f>XCEL!K137</f>
        <v>0.39135443471168851</v>
      </c>
      <c r="Q19" s="46">
        <f>XCEL!L137</f>
        <v>0.43305130537677911</v>
      </c>
      <c r="R19" s="138">
        <f>XCEL!K147</f>
        <v>0.46172914946646088</v>
      </c>
      <c r="S19" s="138">
        <f>XCEL!L147</f>
        <v>0.45749476687197288</v>
      </c>
      <c r="T19" s="171" t="s">
        <v>147</v>
      </c>
      <c r="U19" s="171" t="s">
        <v>146</v>
      </c>
    </row>
    <row r="20" spans="1:21">
      <c r="A20" s="48"/>
      <c r="B20" s="49"/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49"/>
      <c r="O20" s="49"/>
      <c r="P20" s="49"/>
      <c r="Q20" s="49"/>
      <c r="R20" s="50"/>
      <c r="S20" s="50"/>
      <c r="T20" s="51"/>
      <c r="U20" s="52"/>
    </row>
    <row r="21" spans="1:21">
      <c r="A21" s="53"/>
      <c r="B21" s="54"/>
      <c r="C21" s="54"/>
      <c r="D21" s="54"/>
      <c r="E21" s="54"/>
      <c r="F21" s="55"/>
      <c r="G21" s="55"/>
      <c r="H21" s="55"/>
      <c r="I21" s="55"/>
      <c r="J21" s="55"/>
      <c r="K21" s="55"/>
      <c r="L21" s="56"/>
      <c r="M21" s="56"/>
      <c r="N21" s="54"/>
      <c r="O21" s="54"/>
      <c r="P21" s="54"/>
      <c r="Q21" s="54"/>
      <c r="R21" s="56"/>
      <c r="S21" s="56"/>
      <c r="T21" s="57"/>
      <c r="U21" s="58"/>
    </row>
    <row r="22" spans="1:21">
      <c r="A22" s="59" t="s">
        <v>151</v>
      </c>
      <c r="B22" s="60">
        <f>AVERAGE(B11:B19)</f>
        <v>28.249508394791409</v>
      </c>
      <c r="C22" s="60">
        <f>AVERAGE(C11:C19)</f>
        <v>45.542338347525757</v>
      </c>
      <c r="D22" s="60">
        <f>AVERAGE(D11:D19)</f>
        <v>3.5674997313045771</v>
      </c>
      <c r="E22" s="60">
        <f t="shared" ref="E22:S22" si="0">AVERAGE(E11:E19)</f>
        <v>3.3731370238329652</v>
      </c>
      <c r="F22" s="61">
        <f>AVERAGE(F11:F19)</f>
        <v>0.17779798965321272</v>
      </c>
      <c r="G22" s="61">
        <f>AVERAGE(G11:G19)</f>
        <v>0.16195543269476398</v>
      </c>
      <c r="H22" s="61">
        <f t="shared" si="0"/>
        <v>4.7553184944601458E-2</v>
      </c>
      <c r="I22" s="61">
        <f t="shared" si="0"/>
        <v>4.4732815314641398E-2</v>
      </c>
      <c r="J22" s="61">
        <f t="shared" si="0"/>
        <v>7.2233585531925076E-2</v>
      </c>
      <c r="K22" s="61">
        <f t="shared" si="0"/>
        <v>7.5539808980440631E-2</v>
      </c>
      <c r="L22" s="61">
        <f t="shared" si="0"/>
        <v>0.11098543933784064</v>
      </c>
      <c r="M22" s="61">
        <f t="shared" si="0"/>
        <v>0.11336296364600051</v>
      </c>
      <c r="N22" s="60">
        <f t="shared" si="0"/>
        <v>0.51216073192343003</v>
      </c>
      <c r="O22" s="60">
        <f t="shared" si="0"/>
        <v>0.60137677949118395</v>
      </c>
      <c r="P22" s="60">
        <f t="shared" si="0"/>
        <v>0.33669626084779453</v>
      </c>
      <c r="Q22" s="60">
        <f t="shared" si="0"/>
        <v>0.37477720422841931</v>
      </c>
      <c r="R22" s="61">
        <f t="shared" si="0"/>
        <v>0.46461493607646909</v>
      </c>
      <c r="S22" s="61">
        <f t="shared" si="0"/>
        <v>0.46685682293651559</v>
      </c>
      <c r="T22" s="62"/>
      <c r="U22" s="62"/>
    </row>
    <row r="23" spans="1:21">
      <c r="A23" s="59" t="s">
        <v>152</v>
      </c>
      <c r="B23" s="60">
        <f>STDEV(B11:B19)</f>
        <v>12.634189317786387</v>
      </c>
      <c r="C23" s="60">
        <f>STDEV(C11:C19)</f>
        <v>15.150820071696515</v>
      </c>
      <c r="D23" s="60">
        <f>STDEV(D11:D19)</f>
        <v>0.59776409812215592</v>
      </c>
      <c r="E23" s="60">
        <f t="shared" ref="E23:S23" si="1">STDEV(E11:E19)</f>
        <v>0.59369997374749861</v>
      </c>
      <c r="F23" s="61">
        <f>STDEV(F11:F19)</f>
        <v>1.9542973095786603E-2</v>
      </c>
      <c r="G23" s="61">
        <f>STDEV(G11:G19)</f>
        <v>2.5965184445827055E-2</v>
      </c>
      <c r="H23" s="61">
        <f t="shared" si="1"/>
        <v>1.503583126147201E-2</v>
      </c>
      <c r="I23" s="61">
        <f t="shared" si="1"/>
        <v>5.8724074409333563E-3</v>
      </c>
      <c r="J23" s="61">
        <f t="shared" si="1"/>
        <v>4.9460010111646545E-3</v>
      </c>
      <c r="K23" s="61">
        <f t="shared" si="1"/>
        <v>9.0782071452722019E-3</v>
      </c>
      <c r="L23" s="61">
        <f t="shared" si="1"/>
        <v>1.5414642835281911E-2</v>
      </c>
      <c r="M23" s="61">
        <f t="shared" si="1"/>
        <v>1.5709343372050197E-2</v>
      </c>
      <c r="N23" s="60">
        <f t="shared" si="1"/>
        <v>7.3119717743695398E-2</v>
      </c>
      <c r="O23" s="60">
        <f t="shared" si="1"/>
        <v>9.5855407782725804E-2</v>
      </c>
      <c r="P23" s="60">
        <f t="shared" si="1"/>
        <v>3.5593979866985523E-2</v>
      </c>
      <c r="Q23" s="60">
        <f t="shared" si="1"/>
        <v>4.7272990684731633E-2</v>
      </c>
      <c r="R23" s="61">
        <f t="shared" si="1"/>
        <v>2.451471355665235E-2</v>
      </c>
      <c r="S23" s="61">
        <f t="shared" si="1"/>
        <v>3.9694726093419466E-2</v>
      </c>
      <c r="T23" s="62"/>
      <c r="U23" s="62"/>
    </row>
    <row r="24" spans="1:21">
      <c r="A24" s="59" t="s">
        <v>153</v>
      </c>
      <c r="B24" s="60">
        <f>MEDIAN(B11:B19)</f>
        <v>21.82597084577224</v>
      </c>
      <c r="C24" s="60">
        <f>MEDIAN(C11:C19)</f>
        <v>47.256490972132688</v>
      </c>
      <c r="D24" s="60">
        <f>MEDIAN(D11:D19)</f>
        <v>3.4269005847953218</v>
      </c>
      <c r="E24" s="60">
        <f t="shared" ref="E24:S24" si="2">MEDIAN(E11:E19)</f>
        <v>3.2773155054953373</v>
      </c>
      <c r="F24" s="61">
        <f>MEDIAN(F11:F19)</f>
        <v>0.17108799813018583</v>
      </c>
      <c r="G24" s="61">
        <f>MEDIAN(G11:G19)</f>
        <v>0.15697117812203348</v>
      </c>
      <c r="H24" s="61">
        <f t="shared" si="2"/>
        <v>4.3507695937555706E-2</v>
      </c>
      <c r="I24" s="61">
        <f t="shared" si="2"/>
        <v>4.2643690777347705E-2</v>
      </c>
      <c r="J24" s="61">
        <f t="shared" si="2"/>
        <v>7.0543781608017456E-2</v>
      </c>
      <c r="K24" s="61">
        <f t="shared" si="2"/>
        <v>6.9457375005527511E-2</v>
      </c>
      <c r="L24" s="61">
        <f t="shared" si="2"/>
        <v>0.10576652601969058</v>
      </c>
      <c r="M24" s="61">
        <f t="shared" si="2"/>
        <v>0.11522526986117708</v>
      </c>
      <c r="N24" s="60">
        <f t="shared" si="2"/>
        <v>0.49284987413636122</v>
      </c>
      <c r="O24" s="60">
        <f t="shared" si="2"/>
        <v>0.60898437764831448</v>
      </c>
      <c r="P24" s="60">
        <f t="shared" si="2"/>
        <v>0.32631019073907996</v>
      </c>
      <c r="Q24" s="60">
        <f t="shared" si="2"/>
        <v>0.35480763518635289</v>
      </c>
      <c r="R24" s="61">
        <f t="shared" si="2"/>
        <v>0.46153752776799911</v>
      </c>
      <c r="S24" s="61">
        <f t="shared" si="2"/>
        <v>0.45334631967779071</v>
      </c>
      <c r="T24" s="62"/>
      <c r="U24" s="62"/>
    </row>
    <row r="25" spans="1:21">
      <c r="A25" s="63"/>
      <c r="B25" s="54"/>
      <c r="C25" s="54"/>
      <c r="D25" s="54"/>
      <c r="E25" s="55"/>
      <c r="F25" s="55"/>
      <c r="G25" s="55"/>
      <c r="H25" s="55"/>
      <c r="I25" s="55"/>
      <c r="J25" s="55"/>
      <c r="K25" s="55"/>
      <c r="L25" s="56"/>
      <c r="M25" s="56"/>
      <c r="N25" s="54"/>
      <c r="O25" s="54"/>
      <c r="P25" s="54"/>
      <c r="Q25" s="54"/>
      <c r="R25" s="56"/>
      <c r="S25" s="56"/>
      <c r="T25" s="56"/>
      <c r="U25" s="64"/>
    </row>
    <row r="26" spans="1:21">
      <c r="A26" s="65" t="s">
        <v>154</v>
      </c>
      <c r="B26" s="66">
        <f>PacifiCorp!L113</f>
        <v>34.16823061331732</v>
      </c>
      <c r="C26" s="66">
        <f>PacifiCorp!M113</f>
        <v>37.10474451131698</v>
      </c>
      <c r="D26" s="66">
        <f>PacifiCorp!L119</f>
        <v>3.0077519379844961</v>
      </c>
      <c r="E26" s="66">
        <f>PacifiCorp!M119</f>
        <v>2.9505054584509947</v>
      </c>
      <c r="F26" s="139">
        <f>PacifiCorp!Z83</f>
        <v>0.23375451263537905</v>
      </c>
      <c r="G26" s="139">
        <f>PacifiCorp!AA83</f>
        <v>0.21904393973282363</v>
      </c>
      <c r="H26" s="139">
        <f>PacifiCorp!L122</f>
        <v>4.3357912451796682E-2</v>
      </c>
      <c r="I26" s="139">
        <f>PacifiCorp!M122</f>
        <v>4.2603117488235219E-2</v>
      </c>
      <c r="J26" s="139">
        <f>PacifiCorp!L123</f>
        <v>6.3135319129362322E-2</v>
      </c>
      <c r="K26" s="139">
        <f>PacifiCorp!M123</f>
        <v>6.519404662960436E-2</v>
      </c>
      <c r="L26" s="139">
        <f>PacifiCorp!L124</f>
        <v>8.0796504548384787E-2</v>
      </c>
      <c r="M26" s="139">
        <f>PacifiCorp!M124</f>
        <v>8.6715648140626156E-2</v>
      </c>
      <c r="N26" s="66">
        <f>PacifiCorp!L130</f>
        <v>0.55523192082432893</v>
      </c>
      <c r="O26" s="66">
        <f>PacifiCorp!M130</f>
        <v>0.4379018609216882</v>
      </c>
      <c r="P26" s="66">
        <f>PacifiCorp!L131</f>
        <v>0.45326242585395787</v>
      </c>
      <c r="Q26" s="66">
        <f>PacifiCorp!M131</f>
        <v>0.34931195672997989</v>
      </c>
      <c r="R26" s="139">
        <f>PacifiCorp!L134</f>
        <v>0.53019253208868145</v>
      </c>
      <c r="S26" s="139">
        <f>PacifiCorp!M134</f>
        <v>0.50003368459297182</v>
      </c>
      <c r="T26" s="67" t="s">
        <v>147</v>
      </c>
      <c r="U26" s="67" t="s">
        <v>146</v>
      </c>
    </row>
    <row r="27" spans="1:21">
      <c r="A27" s="63"/>
      <c r="B27" s="56"/>
      <c r="C27" s="56"/>
      <c r="D27" s="55"/>
      <c r="E27" s="55"/>
      <c r="F27" s="55"/>
      <c r="G27" s="55"/>
      <c r="H27" s="55"/>
      <c r="I27" s="55"/>
      <c r="J27" s="55"/>
      <c r="K27" s="55"/>
      <c r="L27" s="56"/>
      <c r="M27" s="56"/>
      <c r="N27" s="54"/>
      <c r="O27" s="54"/>
      <c r="P27" s="54"/>
      <c r="Q27" s="54"/>
      <c r="R27" s="56"/>
      <c r="S27" s="56"/>
      <c r="T27" s="56"/>
      <c r="U27" s="64"/>
    </row>
    <row r="28" spans="1:21" ht="26.25">
      <c r="A28" s="68" t="s">
        <v>192</v>
      </c>
      <c r="B28" s="69" t="s">
        <v>60</v>
      </c>
      <c r="C28" s="70" t="s">
        <v>60</v>
      </c>
      <c r="D28" s="70" t="s">
        <v>60</v>
      </c>
      <c r="E28" s="70" t="s">
        <v>60</v>
      </c>
      <c r="F28" s="69" t="s">
        <v>155</v>
      </c>
      <c r="G28" s="69" t="s">
        <v>155</v>
      </c>
      <c r="H28" s="70" t="s">
        <v>60</v>
      </c>
      <c r="I28" s="70" t="s">
        <v>60</v>
      </c>
      <c r="J28" s="69" t="s">
        <v>156</v>
      </c>
      <c r="K28" s="69" t="s">
        <v>156</v>
      </c>
      <c r="L28" s="69" t="s">
        <v>156</v>
      </c>
      <c r="M28" s="70" t="s">
        <v>156</v>
      </c>
      <c r="N28" s="70" t="s">
        <v>60</v>
      </c>
      <c r="O28" s="70" t="s">
        <v>156</v>
      </c>
      <c r="P28" s="69" t="s">
        <v>155</v>
      </c>
      <c r="Q28" s="70" t="s">
        <v>60</v>
      </c>
      <c r="R28" s="69" t="s">
        <v>155</v>
      </c>
      <c r="S28" s="70" t="s">
        <v>60</v>
      </c>
      <c r="T28" s="70" t="s">
        <v>60</v>
      </c>
      <c r="U28" s="70" t="s">
        <v>60</v>
      </c>
    </row>
  </sheetData>
  <mergeCells count="10">
    <mergeCell ref="N9:O9"/>
    <mergeCell ref="P9:Q9"/>
    <mergeCell ref="R9:S9"/>
    <mergeCell ref="T9:U9"/>
    <mergeCell ref="B9:C9"/>
    <mergeCell ref="D9:E9"/>
    <mergeCell ref="F9:G9"/>
    <mergeCell ref="H9:I9"/>
    <mergeCell ref="J9:K9"/>
    <mergeCell ref="L9:M9"/>
  </mergeCells>
  <printOptions horizontalCentered="1"/>
  <pageMargins left="0.5" right="0.5" top="0.75" bottom="0.75" header="0.3" footer="0.3"/>
  <pageSetup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61"/>
  <sheetViews>
    <sheetView topLeftCell="A64" zoomScaleNormal="100" workbookViewId="0">
      <pane xSplit="3" topLeftCell="K1" activePane="topRight" state="frozen"/>
      <selection pane="topRight" activeCell="A5" sqref="A5"/>
    </sheetView>
  </sheetViews>
  <sheetFormatPr defaultRowHeight="15"/>
  <cols>
    <col min="1" max="1" width="25.7109375" customWidth="1"/>
    <col min="2" max="3" width="14.85546875" hidden="1" customWidth="1"/>
    <col min="4" max="4" width="13.85546875" hidden="1" customWidth="1"/>
    <col min="5" max="5" width="9.85546875" hidden="1" customWidth="1"/>
    <col min="6" max="12" width="10.7109375" customWidth="1"/>
    <col min="13" max="13" width="8.42578125" customWidth="1"/>
    <col min="14" max="14" width="32.28515625" bestFit="1" customWidth="1"/>
    <col min="15" max="16" width="9.140625" hidden="1" customWidth="1"/>
    <col min="17" max="18" width="0" hidden="1" customWidth="1"/>
    <col min="19" max="25" width="10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18" t="s">
        <v>128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Xcel Energy</v>
      </c>
      <c r="O3" s="2"/>
      <c r="P3" s="2"/>
      <c r="Q3" s="2"/>
      <c r="R3" s="2"/>
      <c r="S3" s="2"/>
      <c r="T3" s="2"/>
      <c r="U3" s="2"/>
      <c r="V3" s="2"/>
      <c r="W3" s="2"/>
      <c r="X3" s="2"/>
      <c r="Y3" s="10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10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10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10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26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9">
        <f>261305+142676</f>
        <v>403981</v>
      </c>
      <c r="C11" s="19">
        <f>484700+23000</f>
        <v>507700</v>
      </c>
      <c r="D11" s="21">
        <f>568283+37363</f>
        <v>605646</v>
      </c>
      <c r="E11" s="21">
        <f>23361</f>
        <v>23361</v>
      </c>
      <c r="F11" s="21">
        <f>72196</f>
        <v>72196</v>
      </c>
      <c r="G11" s="21">
        <f>37458</f>
        <v>37458</v>
      </c>
      <c r="H11" s="21">
        <f>51120</f>
        <v>51120</v>
      </c>
      <c r="I11" s="21">
        <v>249198</v>
      </c>
      <c r="J11" s="21">
        <v>115648</v>
      </c>
      <c r="K11" s="21">
        <v>108437</v>
      </c>
      <c r="L11" s="7">
        <f>RATE(5,,-F11,K11)</f>
        <v>8.4758024575396482E-2</v>
      </c>
      <c r="M11" s="1"/>
      <c r="N11" s="1" t="str">
        <f>A11</f>
        <v>Cash &amp; Equivalents</v>
      </c>
      <c r="O11" s="7">
        <f t="shared" ref="O11:X15" si="2">B11/B$38</f>
        <v>1.4049502620738027E-2</v>
      </c>
      <c r="P11" s="7">
        <f t="shared" si="2"/>
        <v>1.7247331937625468E-2</v>
      </c>
      <c r="Q11" s="7">
        <f t="shared" si="2"/>
        <v>2.9974491942245086E-2</v>
      </c>
      <c r="R11" s="7">
        <f t="shared" si="2"/>
        <v>1.1505136976434638E-3</v>
      </c>
      <c r="S11" s="7">
        <f t="shared" si="2"/>
        <v>3.3571852394707817E-3</v>
      </c>
      <c r="T11" s="7">
        <f t="shared" si="2"/>
        <v>1.705866188646449E-3</v>
      </c>
      <c r="U11" s="7">
        <f t="shared" si="2"/>
        <v>2.2048998032195934E-3</v>
      </c>
      <c r="V11" s="7">
        <f t="shared" si="2"/>
        <v>9.9844962606920017E-3</v>
      </c>
      <c r="W11" s="7">
        <f t="shared" si="2"/>
        <v>4.5699904461245318E-3</v>
      </c>
      <c r="X11" s="7">
        <f t="shared" si="2"/>
        <v>3.9593335546006256E-3</v>
      </c>
      <c r="Y11" s="7">
        <f>SUM(F11:K11)/SUM(F$38:K$38)</f>
        <v>4.3940151713921776E-3</v>
      </c>
      <c r="Z11" s="189"/>
    </row>
    <row r="12" spans="1:26">
      <c r="A12" s="1" t="s">
        <v>13</v>
      </c>
      <c r="B12" s="19">
        <v>1048073</v>
      </c>
      <c r="C12" s="19">
        <f>536476</f>
        <v>536476</v>
      </c>
      <c r="D12" s="21">
        <f>646638</f>
        <v>646638</v>
      </c>
      <c r="E12" s="21">
        <f>761264</f>
        <v>761264</v>
      </c>
      <c r="F12" s="21">
        <f>1011569</f>
        <v>1011569</v>
      </c>
      <c r="G12" s="21">
        <f>833293</f>
        <v>833293</v>
      </c>
      <c r="H12" s="21">
        <f>951580</f>
        <v>951580</v>
      </c>
      <c r="I12" s="21">
        <v>900781</v>
      </c>
      <c r="J12" s="21">
        <v>730152</v>
      </c>
      <c r="K12" s="21">
        <v>718474</v>
      </c>
      <c r="L12" s="7">
        <f t="shared" ref="L12:L15" si="3">RATE(5,,-F12,K12)</f>
        <v>-6.6137128717531496E-2</v>
      </c>
      <c r="M12" s="1"/>
      <c r="N12" s="1" t="str">
        <f>A12</f>
        <v>Accounts Receivable</v>
      </c>
      <c r="O12" s="7">
        <f t="shared" si="2"/>
        <v>3.6449497278893725E-2</v>
      </c>
      <c r="P12" s="7">
        <f t="shared" si="2"/>
        <v>1.8224895900274887E-2</v>
      </c>
      <c r="Q12" s="7">
        <f t="shared" si="2"/>
        <v>3.2003258538072531E-2</v>
      </c>
      <c r="R12" s="7">
        <f t="shared" si="2"/>
        <v>3.7491745195961379E-2</v>
      </c>
      <c r="S12" s="7">
        <f t="shared" si="2"/>
        <v>4.703895666666047E-2</v>
      </c>
      <c r="T12" s="7">
        <f t="shared" si="2"/>
        <v>3.7948805433706163E-2</v>
      </c>
      <c r="U12" s="7">
        <f t="shared" si="2"/>
        <v>4.104339895828836E-2</v>
      </c>
      <c r="V12" s="7">
        <f t="shared" si="2"/>
        <v>3.6091158541410449E-2</v>
      </c>
      <c r="W12" s="7">
        <f t="shared" si="2"/>
        <v>2.8852964722422516E-2</v>
      </c>
      <c r="X12" s="7">
        <f t="shared" si="2"/>
        <v>2.623346474273661E-2</v>
      </c>
      <c r="Y12" s="7">
        <f t="shared" ref="Y12:Y15" si="4">SUM(F12:K12)/SUM(F$38:K$38)</f>
        <v>3.5660734879818794E-2</v>
      </c>
      <c r="Z12" s="189"/>
    </row>
    <row r="13" spans="1:26">
      <c r="A13" s="1" t="s">
        <v>14</v>
      </c>
      <c r="B13" s="19">
        <f>308593+250043+126563+52583</f>
        <v>737782</v>
      </c>
      <c r="C13" s="19">
        <f>191041+67875+114981+63975</f>
        <v>437872</v>
      </c>
      <c r="D13" s="21">
        <f>162140+59706+140636</f>
        <v>362482</v>
      </c>
      <c r="E13" s="21">
        <f>161323+64265+214964</f>
        <v>440552</v>
      </c>
      <c r="F13" s="21">
        <f>159560+64987+310610</f>
        <v>535157</v>
      </c>
      <c r="G13" s="21">
        <f>158721+95651+251818+258600</f>
        <v>764790</v>
      </c>
      <c r="H13" s="21">
        <f>152770+142764+236076+73415</f>
        <v>605025</v>
      </c>
      <c r="I13" s="21">
        <f>666709+32843</f>
        <v>699552</v>
      </c>
      <c r="J13" s="21">
        <v>566205</v>
      </c>
      <c r="K13" s="21">
        <v>560800</v>
      </c>
      <c r="L13" s="7">
        <f t="shared" si="3"/>
        <v>9.4047844281795606E-3</v>
      </c>
      <c r="M13" s="1"/>
      <c r="N13" s="1" t="str">
        <f>A13</f>
        <v>Material, Supplies, Fuel</v>
      </c>
      <c r="O13" s="7">
        <f t="shared" si="2"/>
        <v>2.5658311015947143E-2</v>
      </c>
      <c r="P13" s="7">
        <f t="shared" si="2"/>
        <v>1.4875169844774352E-2</v>
      </c>
      <c r="Q13" s="7">
        <f t="shared" si="2"/>
        <v>1.7939875419319014E-2</v>
      </c>
      <c r="R13" s="7">
        <f t="shared" si="2"/>
        <v>2.1696892706828612E-2</v>
      </c>
      <c r="S13" s="7">
        <f t="shared" si="2"/>
        <v>2.4885328566672183E-2</v>
      </c>
      <c r="T13" s="7">
        <f t="shared" si="2"/>
        <v>3.4829126018872281E-2</v>
      </c>
      <c r="U13" s="7">
        <f t="shared" si="2"/>
        <v>2.6095843181591052E-2</v>
      </c>
      <c r="V13" s="7">
        <f t="shared" si="2"/>
        <v>2.802861310347439E-2</v>
      </c>
      <c r="W13" s="7">
        <f t="shared" si="2"/>
        <v>2.2374372583597989E-2</v>
      </c>
      <c r="X13" s="7">
        <f t="shared" si="2"/>
        <v>2.0476352697142403E-2</v>
      </c>
      <c r="Y13" s="7">
        <f t="shared" si="4"/>
        <v>2.5859496919819321E-2</v>
      </c>
      <c r="Z13" s="189"/>
    </row>
    <row r="14" spans="1:26">
      <c r="A14" s="1" t="s">
        <v>15</v>
      </c>
      <c r="B14" s="19">
        <f>20794+307169+316621+495994</f>
        <v>1140578</v>
      </c>
      <c r="C14" s="19">
        <f>6565+118768+1738803+390984</f>
        <v>2255120</v>
      </c>
      <c r="D14" s="21">
        <f>217473+93063+110876+728056+367005</f>
        <v>1516473</v>
      </c>
      <c r="E14" s="21">
        <f>264628+129218+149538+367248+435431</f>
        <v>1346063</v>
      </c>
      <c r="F14" s="21">
        <f>395070+213138+99904+200811+614016</f>
        <v>1522939</v>
      </c>
      <c r="G14" s="21">
        <f>514300+101562+205743+177040</f>
        <v>998645</v>
      </c>
      <c r="H14" s="21">
        <f>731959+94554+244134+128821</f>
        <v>1199468</v>
      </c>
      <c r="I14" s="21">
        <f>743479+101972+263906+56641</f>
        <v>1165998</v>
      </c>
      <c r="J14" s="21">
        <f>2976635-1412005</f>
        <v>1564630</v>
      </c>
      <c r="K14" s="21">
        <f>2732643-1387711</f>
        <v>1344932</v>
      </c>
      <c r="L14" s="7">
        <f t="shared" si="3"/>
        <v>-2.455325535091726E-2</v>
      </c>
      <c r="M14" s="1"/>
      <c r="N14" s="1" t="str">
        <f>A14</f>
        <v>Other Current Assets</v>
      </c>
      <c r="O14" s="7">
        <f t="shared" si="2"/>
        <v>3.9666602142566454E-2</v>
      </c>
      <c r="P14" s="7">
        <f t="shared" si="2"/>
        <v>7.6609815243604384E-2</v>
      </c>
      <c r="Q14" s="7">
        <f t="shared" si="2"/>
        <v>7.5052931446971061E-2</v>
      </c>
      <c r="R14" s="7">
        <f t="shared" si="2"/>
        <v>6.6292706621765063E-2</v>
      </c>
      <c r="S14" s="7">
        <f t="shared" si="2"/>
        <v>7.0818166261488069E-2</v>
      </c>
      <c r="T14" s="7">
        <f t="shared" si="2"/>
        <v>4.5479062949458943E-2</v>
      </c>
      <c r="U14" s="7">
        <f t="shared" si="2"/>
        <v>5.1735265202820804E-2</v>
      </c>
      <c r="V14" s="7">
        <f t="shared" si="2"/>
        <v>4.671748036089516E-2</v>
      </c>
      <c r="W14" s="7">
        <f t="shared" si="2"/>
        <v>6.1828515423698001E-2</v>
      </c>
      <c r="X14" s="7">
        <f t="shared" si="2"/>
        <v>4.9107171871742378E-2</v>
      </c>
      <c r="Y14" s="7">
        <f t="shared" si="4"/>
        <v>5.4030523144541112E-2</v>
      </c>
      <c r="Z14" s="189"/>
    </row>
    <row r="15" spans="1:26">
      <c r="A15" s="1" t="s">
        <v>16</v>
      </c>
      <c r="B15" s="19">
        <f t="shared" ref="B15:H15" si="5">SUM(B10:B14)</f>
        <v>3330414</v>
      </c>
      <c r="C15" s="19">
        <f t="shared" si="5"/>
        <v>3737168</v>
      </c>
      <c r="D15" s="21">
        <f t="shared" si="5"/>
        <v>3131239</v>
      </c>
      <c r="E15" s="21">
        <f t="shared" si="5"/>
        <v>2571240</v>
      </c>
      <c r="F15" s="21">
        <f t="shared" si="5"/>
        <v>3141861</v>
      </c>
      <c r="G15" s="21">
        <f t="shared" si="5"/>
        <v>2634186</v>
      </c>
      <c r="H15" s="21">
        <f t="shared" si="5"/>
        <v>2807193</v>
      </c>
      <c r="I15" s="21">
        <f t="shared" ref="I15:J15" si="6">SUM(I10:I14)</f>
        <v>3015529</v>
      </c>
      <c r="J15" s="21">
        <f t="shared" si="6"/>
        <v>2976635</v>
      </c>
      <c r="K15" s="21">
        <f t="shared" ref="K15" si="7">SUM(K10:K14)</f>
        <v>2732643</v>
      </c>
      <c r="L15" s="7">
        <f t="shared" si="3"/>
        <v>-2.7523341536813503E-2</v>
      </c>
      <c r="M15" s="1"/>
      <c r="N15" s="1" t="str">
        <f>A15</f>
        <v>Total Current Assets</v>
      </c>
      <c r="O15" s="7">
        <f t="shared" si="2"/>
        <v>0.11582391305814535</v>
      </c>
      <c r="P15" s="7">
        <f t="shared" si="2"/>
        <v>0.12695721292627909</v>
      </c>
      <c r="Q15" s="7">
        <f t="shared" si="2"/>
        <v>0.1549705573466077</v>
      </c>
      <c r="R15" s="7">
        <f t="shared" si="2"/>
        <v>0.12663185822219852</v>
      </c>
      <c r="S15" s="7">
        <f t="shared" si="2"/>
        <v>0.14609963673429149</v>
      </c>
      <c r="T15" s="7">
        <f t="shared" si="2"/>
        <v>0.11996286059068384</v>
      </c>
      <c r="U15" s="7">
        <f t="shared" si="2"/>
        <v>0.12107940714591982</v>
      </c>
      <c r="V15" s="7">
        <f t="shared" si="2"/>
        <v>0.12082174826647199</v>
      </c>
      <c r="W15" s="7">
        <f t="shared" si="2"/>
        <v>0.11762584317584304</v>
      </c>
      <c r="X15" s="7">
        <f t="shared" si="2"/>
        <v>9.9776322866222011E-2</v>
      </c>
      <c r="Y15" s="7">
        <f t="shared" si="4"/>
        <v>0.11994477011557141</v>
      </c>
      <c r="Z15" s="189"/>
    </row>
    <row r="16" spans="1:26">
      <c r="A16" s="1"/>
      <c r="B16" s="19"/>
      <c r="C16" s="19"/>
      <c r="D16" s="21"/>
      <c r="E16" s="21"/>
      <c r="F16" s="21"/>
      <c r="G16" s="21"/>
      <c r="H16" s="21"/>
      <c r="I16" s="21"/>
      <c r="J16" s="21"/>
      <c r="K16" s="2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9"/>
      <c r="C17" s="19"/>
      <c r="D17" s="21"/>
      <c r="E17" s="21"/>
      <c r="F17" s="21"/>
      <c r="G17" s="21"/>
      <c r="H17" s="21"/>
      <c r="I17" s="21"/>
      <c r="J17" s="21"/>
      <c r="K17" s="2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9">
        <v>16099655</v>
      </c>
      <c r="C18" s="19">
        <f>16516790</f>
        <v>16516790</v>
      </c>
      <c r="D18" s="21">
        <f>17242636</f>
        <v>17242636</v>
      </c>
      <c r="E18" s="21">
        <f>18236957</f>
        <v>18236957</v>
      </c>
      <c r="F18" s="21">
        <f>18870516</f>
        <v>18870516</v>
      </c>
      <c r="G18" s="21">
        <f>19367671</f>
        <v>19367671</v>
      </c>
      <c r="H18" s="21">
        <f>20313313</f>
        <v>20313313</v>
      </c>
      <c r="I18" s="21">
        <v>21601094</v>
      </c>
      <c r="J18" s="143">
        <v>22402657</v>
      </c>
      <c r="K18" s="143">
        <v>24993582</v>
      </c>
      <c r="L18" s="7">
        <f t="shared" ref="L18:L22" si="8">RATE(5,,-F18,K18)</f>
        <v>5.7813110383069653E-2</v>
      </c>
      <c r="M18" s="1"/>
      <c r="N18" s="1" t="str">
        <f>A18</f>
        <v xml:space="preserve">  Domestic Electric Plant in Service</v>
      </c>
      <c r="O18" s="7">
        <f t="shared" ref="O18:X22" si="9">B18/B$38</f>
        <v>0.55990787961680888</v>
      </c>
      <c r="P18" s="7">
        <f t="shared" si="9"/>
        <v>0.56110017662803413</v>
      </c>
      <c r="Q18" s="7">
        <f t="shared" si="9"/>
        <v>0.8533685582750733</v>
      </c>
      <c r="R18" s="7">
        <f t="shared" si="9"/>
        <v>0.89815799117481476</v>
      </c>
      <c r="S18" s="7">
        <f t="shared" si="9"/>
        <v>0.87749761449937969</v>
      </c>
      <c r="T18" s="7">
        <f t="shared" si="9"/>
        <v>0.8820186638829719</v>
      </c>
      <c r="U18" s="7">
        <f t="shared" si="9"/>
        <v>0.8761506227785214</v>
      </c>
      <c r="V18" s="7">
        <f t="shared" si="9"/>
        <v>0.86548063094349237</v>
      </c>
      <c r="W18" s="7">
        <f t="shared" si="9"/>
        <v>0.88527193256956338</v>
      </c>
      <c r="X18" s="7">
        <f t="shared" si="9"/>
        <v>0.91258452246246402</v>
      </c>
      <c r="Y18" s="7">
        <f t="shared" ref="Y18:Y22" si="10">SUM(F18:K18)/SUM(F$38:K$38)</f>
        <v>0.88391344515614079</v>
      </c>
      <c r="Z18" s="189"/>
    </row>
    <row r="19" spans="1:26">
      <c r="A19" s="1" t="s">
        <v>19</v>
      </c>
      <c r="B19" s="19">
        <v>3663371</v>
      </c>
      <c r="C19" s="19">
        <f>889902</f>
        <v>889902</v>
      </c>
      <c r="D19" s="21">
        <f>917530</f>
        <v>917530</v>
      </c>
      <c r="E19" s="21">
        <f>721335</f>
        <v>721335</v>
      </c>
      <c r="F19" s="21">
        <f>783490</f>
        <v>783490</v>
      </c>
      <c r="G19" s="21">
        <f>1425484</f>
        <v>1425484</v>
      </c>
      <c r="H19" s="21">
        <f>1810664</f>
        <v>1810664</v>
      </c>
      <c r="I19" s="21">
        <v>1832022</v>
      </c>
      <c r="J19" s="143">
        <v>1769545</v>
      </c>
      <c r="K19" s="143">
        <v>1186433</v>
      </c>
      <c r="L19" s="7">
        <f t="shared" si="8"/>
        <v>8.6530575329387141E-2</v>
      </c>
      <c r="M19" s="1"/>
      <c r="N19" s="1" t="str">
        <f>A19</f>
        <v xml:space="preserve">  Electric Construction Work in Progress</v>
      </c>
      <c r="O19" s="7">
        <f t="shared" si="9"/>
        <v>0.12740336913180494</v>
      </c>
      <c r="P19" s="7">
        <f t="shared" si="9"/>
        <v>3.0231308225244787E-2</v>
      </c>
      <c r="Q19" s="7">
        <f t="shared" si="9"/>
        <v>4.541018283249313E-2</v>
      </c>
      <c r="R19" s="7">
        <f t="shared" si="9"/>
        <v>3.5525268528301353E-2</v>
      </c>
      <c r="S19" s="7">
        <f t="shared" si="9"/>
        <v>3.6433058109493086E-2</v>
      </c>
      <c r="T19" s="7">
        <f t="shared" si="9"/>
        <v>6.4917639971608057E-2</v>
      </c>
      <c r="U19" s="7">
        <f t="shared" si="9"/>
        <v>7.8097274986244178E-2</v>
      </c>
      <c r="V19" s="7">
        <f t="shared" si="9"/>
        <v>7.3402743234317613E-2</v>
      </c>
      <c r="W19" s="7">
        <f t="shared" si="9"/>
        <v>6.9926014665082276E-2</v>
      </c>
      <c r="X19" s="7">
        <f t="shared" si="9"/>
        <v>4.331993680372459E-2</v>
      </c>
      <c r="Y19" s="7">
        <f t="shared" si="10"/>
        <v>6.1036933581886568E-2</v>
      </c>
      <c r="Z19" s="189"/>
    </row>
    <row r="20" spans="1:26">
      <c r="A20" s="9" t="s">
        <v>20</v>
      </c>
      <c r="B20" s="19">
        <f>2493028+96315</f>
        <v>2589343</v>
      </c>
      <c r="C20" s="19">
        <f>2384051+74139</f>
        <v>2458190</v>
      </c>
      <c r="D20" s="21">
        <f>2442994+80289</f>
        <v>2523283</v>
      </c>
      <c r="E20" s="21">
        <f>2617552+74308</f>
        <v>2691860</v>
      </c>
      <c r="F20" s="21">
        <f>2779043+102409</f>
        <v>2881452</v>
      </c>
      <c r="G20" s="21">
        <f>2846435+140152</f>
        <v>2986587</v>
      </c>
      <c r="H20" s="21">
        <f>2946455+179859</f>
        <v>3126314</v>
      </c>
      <c r="I20" s="21">
        <f>3004088+1611193-1355573</f>
        <v>3259708</v>
      </c>
      <c r="J20" s="143">
        <v>3269934</v>
      </c>
      <c r="K20" s="143">
        <v>3463343</v>
      </c>
      <c r="L20" s="7">
        <f t="shared" si="8"/>
        <v>3.7473047802765565E-2</v>
      </c>
      <c r="M20" s="1"/>
      <c r="N20" s="1" t="str">
        <f>A20</f>
        <v>Other Regulated PP &amp; E</v>
      </c>
      <c r="O20" s="7">
        <f t="shared" si="9"/>
        <v>9.0051218409998648E-2</v>
      </c>
      <c r="P20" s="7">
        <f t="shared" si="9"/>
        <v>8.3508408303627241E-2</v>
      </c>
      <c r="Q20" s="7">
        <f t="shared" si="9"/>
        <v>0.1248817394179174</v>
      </c>
      <c r="R20" s="7">
        <f>E20/E$38</f>
        <v>0.13257231292061702</v>
      </c>
      <c r="S20" s="7">
        <f t="shared" si="9"/>
        <v>0.13399036127546626</v>
      </c>
      <c r="T20" s="7">
        <f t="shared" si="9"/>
        <v>0.13601147372393166</v>
      </c>
      <c r="U20" s="7">
        <f t="shared" si="9"/>
        <v>0.13484368394762639</v>
      </c>
      <c r="V20" s="7">
        <f t="shared" si="9"/>
        <v>0.13060515067114423</v>
      </c>
      <c r="W20" s="7">
        <f t="shared" si="9"/>
        <v>0.12921595824794008</v>
      </c>
      <c r="X20" s="7">
        <f t="shared" si="9"/>
        <v>0.12645619254489882</v>
      </c>
      <c r="Y20" s="7">
        <f t="shared" si="10"/>
        <v>0.1315822571730163</v>
      </c>
      <c r="Z20" s="189"/>
    </row>
    <row r="21" spans="1:26">
      <c r="A21" s="1" t="s">
        <v>21</v>
      </c>
      <c r="B21" s="19">
        <v>6924894</v>
      </c>
      <c r="C21" s="19">
        <f>1534449</f>
        <v>1534449</v>
      </c>
      <c r="D21" s="21">
        <f>1217461</f>
        <v>1217461</v>
      </c>
      <c r="E21" s="21">
        <f>1476553</f>
        <v>1476553</v>
      </c>
      <c r="F21" s="21">
        <f>1518266</f>
        <v>1518266</v>
      </c>
      <c r="G21" s="21">
        <f>1439020</f>
        <v>1439020</v>
      </c>
      <c r="H21" s="21">
        <f>1475325</f>
        <v>1475325</v>
      </c>
      <c r="I21" s="21">
        <v>1497162</v>
      </c>
      <c r="J21" s="143">
        <f>1492463+48572+1737469-1435677</f>
        <v>1842827</v>
      </c>
      <c r="K21" s="143">
        <f>1555287+236606+1837697-1541046</f>
        <v>2088544</v>
      </c>
      <c r="L21" s="7">
        <f t="shared" si="8"/>
        <v>6.5857517213083056E-2</v>
      </c>
      <c r="M21" s="1"/>
      <c r="N21" s="1" t="str">
        <f>A21</f>
        <v>Other PP&amp;E</v>
      </c>
      <c r="O21" s="7">
        <f t="shared" si="9"/>
        <v>0.24083141633228553</v>
      </c>
      <c r="P21" s="7">
        <f t="shared" si="9"/>
        <v>5.2127538397395035E-2</v>
      </c>
      <c r="Q21" s="7">
        <f t="shared" si="9"/>
        <v>6.0254298607598573E-2</v>
      </c>
      <c r="R21" s="7">
        <f>E21/E$38</f>
        <v>7.2719252249327904E-2</v>
      </c>
      <c r="S21" s="7">
        <f t="shared" si="9"/>
        <v>7.0600867150400926E-2</v>
      </c>
      <c r="T21" s="7">
        <f t="shared" si="9"/>
        <v>6.5534079843718646E-2</v>
      </c>
      <c r="U21" s="7">
        <f t="shared" si="9"/>
        <v>6.3633485958234481E-2</v>
      </c>
      <c r="V21" s="7">
        <f t="shared" si="9"/>
        <v>5.9986068871540531E-2</v>
      </c>
      <c r="W21" s="7">
        <f t="shared" si="9"/>
        <v>7.2821854107812778E-2</v>
      </c>
      <c r="X21" s="7">
        <f t="shared" si="9"/>
        <v>7.6258494235914021E-2</v>
      </c>
      <c r="Y21" s="7">
        <f t="shared" si="10"/>
        <v>6.8337730430044832E-2</v>
      </c>
      <c r="Z21" s="189"/>
    </row>
    <row r="22" spans="1:26">
      <c r="A22" s="1" t="s">
        <v>22</v>
      </c>
      <c r="B22" s="19">
        <f t="shared" ref="B22:H22" si="11">SUM(B18:B21)</f>
        <v>29277263</v>
      </c>
      <c r="C22" s="19">
        <f t="shared" si="11"/>
        <v>21399331</v>
      </c>
      <c r="D22" s="21">
        <f t="shared" si="11"/>
        <v>21900910</v>
      </c>
      <c r="E22" s="21">
        <f t="shared" si="11"/>
        <v>23126705</v>
      </c>
      <c r="F22" s="21">
        <f t="shared" si="11"/>
        <v>24053724</v>
      </c>
      <c r="G22" s="21">
        <f t="shared" si="11"/>
        <v>25218762</v>
      </c>
      <c r="H22" s="21">
        <f t="shared" si="11"/>
        <v>26725616</v>
      </c>
      <c r="I22" s="21">
        <f t="shared" ref="I22:J22" si="12">SUM(I18:I21)</f>
        <v>28189986</v>
      </c>
      <c r="J22" s="21">
        <f t="shared" si="12"/>
        <v>29284963</v>
      </c>
      <c r="K22" s="21">
        <f t="shared" ref="K22" si="13">SUM(K18:K21)</f>
        <v>31731902</v>
      </c>
      <c r="L22" s="7">
        <f t="shared" si="8"/>
        <v>5.6970231914653204E-2</v>
      </c>
      <c r="M22" s="1"/>
      <c r="N22" s="1" t="s">
        <v>23</v>
      </c>
      <c r="O22" s="7">
        <f t="shared" si="9"/>
        <v>1.0181938834908981</v>
      </c>
      <c r="P22" s="7">
        <f t="shared" si="9"/>
        <v>0.72696743155430121</v>
      </c>
      <c r="Q22" s="7">
        <f t="shared" si="9"/>
        <v>1.0839147791330823</v>
      </c>
      <c r="R22" s="7">
        <f>E22/E$38</f>
        <v>1.1389748248730611</v>
      </c>
      <c r="S22" s="7">
        <f t="shared" si="9"/>
        <v>1.11852190103474</v>
      </c>
      <c r="T22" s="7">
        <f t="shared" si="9"/>
        <v>1.1484818574222302</v>
      </c>
      <c r="U22" s="7">
        <f t="shared" si="9"/>
        <v>1.1527250676706264</v>
      </c>
      <c r="V22" s="7">
        <f t="shared" si="9"/>
        <v>1.1294745937204949</v>
      </c>
      <c r="W22" s="7">
        <f t="shared" si="9"/>
        <v>1.1572357595903986</v>
      </c>
      <c r="X22" s="7">
        <f t="shared" si="9"/>
        <v>1.1586191460470014</v>
      </c>
      <c r="Y22" s="7">
        <f t="shared" si="10"/>
        <v>1.1448703663410886</v>
      </c>
      <c r="Z22" s="189"/>
    </row>
    <row r="23" spans="1:26">
      <c r="A23" s="1"/>
      <c r="B23" s="19"/>
      <c r="C23" s="19"/>
      <c r="D23" s="21"/>
      <c r="E23" s="21"/>
      <c r="F23" s="21"/>
      <c r="G23" s="21"/>
      <c r="H23" s="21"/>
      <c r="I23" s="21"/>
      <c r="J23" s="21"/>
      <c r="K23" s="2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9">
        <v>9495835</v>
      </c>
      <c r="C24" s="19">
        <f>8084987</f>
        <v>8084987</v>
      </c>
      <c r="D24" s="21">
        <f>8605082</f>
        <v>8605082</v>
      </c>
      <c r="E24" s="21">
        <f>9050636</f>
        <v>9050636</v>
      </c>
      <c r="F24" s="21">
        <f>9357414</f>
        <v>9357414</v>
      </c>
      <c r="G24" s="21">
        <f>9670104</f>
        <v>9670104</v>
      </c>
      <c r="H24" s="21">
        <f>10049927</f>
        <v>10049927</v>
      </c>
      <c r="I24" s="21">
        <v>10501266</v>
      </c>
      <c r="J24" s="21">
        <v>10776667</v>
      </c>
      <c r="K24" s="21">
        <v>11068820</v>
      </c>
      <c r="L24" s="7">
        <f>RATE(5,,-F24,K24)</f>
        <v>3.4163239285123943E-2</v>
      </c>
      <c r="M24" s="2"/>
      <c r="N24" s="1" t="str">
        <f>A24</f>
        <v>Accumulated Depreciation &amp; Amort.</v>
      </c>
      <c r="O24" s="7">
        <f t="shared" ref="O24:X24" si="14">B24/B$38</f>
        <v>0.33024265675513426</v>
      </c>
      <c r="P24" s="7">
        <f t="shared" si="14"/>
        <v>0.27465915796806523</v>
      </c>
      <c r="Q24" s="7">
        <f t="shared" si="14"/>
        <v>0.42588073077566468</v>
      </c>
      <c r="R24" s="7">
        <f t="shared" si="14"/>
        <v>0.44573779762788612</v>
      </c>
      <c r="S24" s="7">
        <f t="shared" si="14"/>
        <v>0.43512898443704978</v>
      </c>
      <c r="T24" s="7">
        <f t="shared" si="14"/>
        <v>0.44038398884870472</v>
      </c>
      <c r="U24" s="7">
        <f t="shared" si="14"/>
        <v>0.43347187137463383</v>
      </c>
      <c r="V24" s="7">
        <f t="shared" si="14"/>
        <v>0.42074916776832899</v>
      </c>
      <c r="W24" s="7">
        <f t="shared" si="14"/>
        <v>0.42585488059512933</v>
      </c>
      <c r="X24" s="7">
        <f t="shared" si="14"/>
        <v>0.40415310674248173</v>
      </c>
      <c r="Y24" s="7">
        <f>SUM(F24:K24)/SUM(F$38:K$38)</f>
        <v>0.42566970777484836</v>
      </c>
      <c r="Z24" s="189"/>
    </row>
    <row r="25" spans="1:26">
      <c r="A25" s="1"/>
      <c r="B25" s="19"/>
      <c r="C25" s="19"/>
      <c r="D25" s="21"/>
      <c r="E25" s="21"/>
      <c r="F25" s="21"/>
      <c r="G25" s="21"/>
      <c r="H25" s="21"/>
      <c r="I25" s="21"/>
      <c r="J25" s="21"/>
      <c r="K25" s="2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9">
        <f t="shared" ref="B26:J26" si="15">B22-B24</f>
        <v>19781428</v>
      </c>
      <c r="C26" s="19">
        <f>C22-C24</f>
        <v>13314344</v>
      </c>
      <c r="D26" s="21">
        <f t="shared" si="15"/>
        <v>13295828</v>
      </c>
      <c r="E26" s="21">
        <f t="shared" si="15"/>
        <v>14076069</v>
      </c>
      <c r="F26" s="21">
        <f t="shared" si="15"/>
        <v>14696310</v>
      </c>
      <c r="G26" s="21">
        <f t="shared" si="15"/>
        <v>15548658</v>
      </c>
      <c r="H26" s="21">
        <f t="shared" si="15"/>
        <v>16675689</v>
      </c>
      <c r="I26" s="21">
        <f t="shared" si="15"/>
        <v>17688720</v>
      </c>
      <c r="J26" s="21">
        <f t="shared" si="15"/>
        <v>18508296</v>
      </c>
      <c r="K26" s="21">
        <f t="shared" ref="K26" si="16">K22-K24</f>
        <v>20663082</v>
      </c>
      <c r="L26" s="7">
        <f>RATE(5,,-F26,K26)</f>
        <v>7.0526343748219256E-2</v>
      </c>
      <c r="M26" s="1"/>
      <c r="N26" s="1" t="s">
        <v>23</v>
      </c>
      <c r="O26" s="7">
        <f t="shared" ref="O26:X26" si="17">B26/B$38</f>
        <v>0.68795122673576381</v>
      </c>
      <c r="P26" s="7">
        <f t="shared" si="17"/>
        <v>0.45230827358623599</v>
      </c>
      <c r="Q26" s="7">
        <f t="shared" si="17"/>
        <v>0.65803404835741763</v>
      </c>
      <c r="R26" s="7">
        <f t="shared" si="17"/>
        <v>0.693237027245175</v>
      </c>
      <c r="S26" s="7">
        <f t="shared" si="17"/>
        <v>0.68339291659769019</v>
      </c>
      <c r="T26" s="7">
        <f t="shared" si="17"/>
        <v>0.70809786857352552</v>
      </c>
      <c r="U26" s="7">
        <f t="shared" si="17"/>
        <v>0.7192531962959926</v>
      </c>
      <c r="V26" s="7">
        <f t="shared" si="17"/>
        <v>0.70872542595216581</v>
      </c>
      <c r="W26" s="7">
        <f t="shared" si="17"/>
        <v>0.73138087899526916</v>
      </c>
      <c r="X26" s="7">
        <f t="shared" si="17"/>
        <v>0.75446603930451961</v>
      </c>
      <c r="Y26" s="7">
        <f>SUM(F26:K26)/SUM(F$38:K$38)</f>
        <v>0.71920065856624016</v>
      </c>
      <c r="Z26" s="189"/>
    </row>
    <row r="27" spans="1:26">
      <c r="A27" s="1"/>
      <c r="B27" s="19"/>
      <c r="C27" s="19"/>
      <c r="D27" s="21"/>
      <c r="E27" s="21"/>
      <c r="F27" s="21"/>
      <c r="G27" s="21"/>
      <c r="H27" s="21"/>
      <c r="I27" s="21"/>
      <c r="J27" s="21"/>
      <c r="K27" s="2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9"/>
      <c r="C28" s="19"/>
      <c r="D28" s="21"/>
      <c r="E28" s="21"/>
      <c r="F28" s="21"/>
      <c r="G28" s="21"/>
      <c r="H28" s="21"/>
      <c r="I28" s="21"/>
      <c r="J28" s="21"/>
      <c r="K28" s="2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9">
        <v>502442</v>
      </c>
      <c r="C29" s="19">
        <f>576876</f>
        <v>576876</v>
      </c>
      <c r="D29" s="21">
        <f>879320</f>
        <v>879320</v>
      </c>
      <c r="E29" s="21">
        <f>850636</f>
        <v>850636</v>
      </c>
      <c r="F29" s="21">
        <f>820007</f>
        <v>820007</v>
      </c>
      <c r="G29" s="21">
        <f>1189145</f>
        <v>1189145</v>
      </c>
      <c r="H29" s="21">
        <f>1115443</f>
        <v>1115443</v>
      </c>
      <c r="I29" s="21">
        <v>2357279</v>
      </c>
      <c r="J29" s="21">
        <v>1987369</v>
      </c>
      <c r="K29" s="21">
        <v>2151460</v>
      </c>
      <c r="L29" s="7">
        <f t="shared" ref="L29:L35" si="18">RATE(5,,-F29,K29)</f>
        <v>0.21278311893319599</v>
      </c>
      <c r="M29" s="1"/>
      <c r="N29" s="1" t="s">
        <v>27</v>
      </c>
      <c r="O29" s="7">
        <f t="shared" ref="O29:X36" si="19">B29/B$38</f>
        <v>1.747374306160155E-2</v>
      </c>
      <c r="P29" s="7">
        <f t="shared" si="19"/>
        <v>1.9597344610694564E-2</v>
      </c>
      <c r="Q29" s="7">
        <f t="shared" si="19"/>
        <v>4.351910233809015E-2</v>
      </c>
      <c r="R29" s="7">
        <f t="shared" si="19"/>
        <v>4.1893256697429278E-2</v>
      </c>
      <c r="S29" s="7">
        <f t="shared" si="19"/>
        <v>3.8131134642677117E-2</v>
      </c>
      <c r="T29" s="7">
        <f t="shared" si="19"/>
        <v>5.4154579766618124E-2</v>
      </c>
      <c r="U29" s="7">
        <f t="shared" si="19"/>
        <v>4.8111112112728352E-2</v>
      </c>
      <c r="V29" s="7">
        <f t="shared" si="19"/>
        <v>9.444796250735471E-2</v>
      </c>
      <c r="W29" s="7">
        <f t="shared" si="19"/>
        <v>7.8533630870607912E-2</v>
      </c>
      <c r="X29" s="7">
        <f t="shared" si="19"/>
        <v>7.8555730695067744E-2</v>
      </c>
      <c r="Y29" s="7">
        <f t="shared" ref="Y29:Y36" si="20">SUM(F29:K29)/SUM(F$38:K$38)</f>
        <v>6.6671474238843245E-2</v>
      </c>
      <c r="Z29" s="189"/>
    </row>
    <row r="30" spans="1:26">
      <c r="A30" s="1" t="s">
        <v>28</v>
      </c>
      <c r="B30" s="19"/>
      <c r="C30" s="19"/>
      <c r="D30" s="21"/>
      <c r="E30" s="21"/>
      <c r="F30" s="21"/>
      <c r="G30" s="21"/>
      <c r="H30" s="21"/>
      <c r="I30" s="21"/>
      <c r="J30" s="21"/>
      <c r="K30" s="21"/>
      <c r="L30" s="7"/>
      <c r="M30" s="1"/>
      <c r="N30" s="1" t="str">
        <f>A30</f>
        <v>Intangible Assets-net</v>
      </c>
      <c r="O30" s="7">
        <f t="shared" si="19"/>
        <v>0</v>
      </c>
      <c r="P30" s="7">
        <f t="shared" si="19"/>
        <v>0</v>
      </c>
      <c r="Q30" s="7">
        <f t="shared" si="19"/>
        <v>0</v>
      </c>
      <c r="R30" s="7">
        <f t="shared" si="19"/>
        <v>0</v>
      </c>
      <c r="S30" s="7">
        <f t="shared" si="19"/>
        <v>0</v>
      </c>
      <c r="T30" s="7">
        <f t="shared" si="19"/>
        <v>0</v>
      </c>
      <c r="U30" s="7">
        <f t="shared" si="19"/>
        <v>0</v>
      </c>
      <c r="V30" s="7">
        <f t="shared" si="19"/>
        <v>0</v>
      </c>
      <c r="W30" s="7">
        <f t="shared" si="19"/>
        <v>0</v>
      </c>
      <c r="X30" s="7">
        <f t="shared" si="19"/>
        <v>0</v>
      </c>
      <c r="Y30" s="7">
        <f t="shared" si="20"/>
        <v>0</v>
      </c>
      <c r="Z30" s="189"/>
    </row>
    <row r="31" spans="1:26">
      <c r="A31" s="1" t="s">
        <v>29</v>
      </c>
      <c r="B31" s="19">
        <f>779186+96095+378825</f>
        <v>1254106</v>
      </c>
      <c r="C31" s="19">
        <f>116094+699077</f>
        <v>815171</v>
      </c>
      <c r="D31" s="21">
        <f>429531+566568</f>
        <v>996099</v>
      </c>
      <c r="E31" s="21">
        <f>424786+642873</f>
        <v>1067659</v>
      </c>
      <c r="F31" s="21">
        <f>451937+683649</f>
        <v>1135586</v>
      </c>
      <c r="G31" s="21">
        <f>437520+586712</f>
        <v>1024232</v>
      </c>
      <c r="H31" s="21">
        <f>383861+568055</f>
        <v>951916</v>
      </c>
      <c r="I31" s="21">
        <v>325688</v>
      </c>
      <c r="J31" s="21">
        <v>289530</v>
      </c>
      <c r="K31" s="21">
        <v>184026</v>
      </c>
      <c r="L31" s="7">
        <f t="shared" si="18"/>
        <v>-0.30508476775773324</v>
      </c>
      <c r="M31" s="1"/>
      <c r="N31" s="1" t="str">
        <f t="shared" ref="N31:N36" si="21">A31</f>
        <v>Finance Assets</v>
      </c>
      <c r="O31" s="7">
        <f t="shared" si="19"/>
        <v>4.3614837167300649E-2</v>
      </c>
      <c r="P31" s="7">
        <f t="shared" si="19"/>
        <v>2.7692583854492987E-2</v>
      </c>
      <c r="Q31" s="7">
        <f t="shared" si="19"/>
        <v>4.929870163293143E-2</v>
      </c>
      <c r="R31" s="7">
        <f t="shared" si="19"/>
        <v>5.2581494966496417E-2</v>
      </c>
      <c r="S31" s="7">
        <f t="shared" si="19"/>
        <v>5.280586954055165E-2</v>
      </c>
      <c r="T31" s="7">
        <f t="shared" si="19"/>
        <v>4.6644314649199901E-2</v>
      </c>
      <c r="U31" s="7">
        <f t="shared" si="19"/>
        <v>4.1057891257464452E-2</v>
      </c>
      <c r="V31" s="7">
        <f t="shared" si="19"/>
        <v>1.3049184255701316E-2</v>
      </c>
      <c r="W31" s="7">
        <f t="shared" si="19"/>
        <v>1.1441177831578891E-2</v>
      </c>
      <c r="X31" s="7">
        <f t="shared" si="19"/>
        <v>6.7192961509349638E-3</v>
      </c>
      <c r="Y31" s="7">
        <f t="shared" si="20"/>
        <v>2.7103078535496074E-2</v>
      </c>
      <c r="Z31" s="189"/>
    </row>
    <row r="32" spans="1:26">
      <c r="A32" s="1" t="s">
        <v>30</v>
      </c>
      <c r="B32" s="19">
        <f>695070+1196702</f>
        <v>1891772</v>
      </c>
      <c r="C32" s="19">
        <f>1494+448749</f>
        <v>450243</v>
      </c>
      <c r="D32" s="21">
        <f>124462+842832</f>
        <v>967294</v>
      </c>
      <c r="E32" s="21">
        <f>1023481</f>
        <v>1023481</v>
      </c>
      <c r="F32" s="21">
        <f>1145659</f>
        <v>1145659</v>
      </c>
      <c r="G32" s="21">
        <f>1279573</f>
        <v>1279573</v>
      </c>
      <c r="H32" s="21">
        <f>1372098</f>
        <v>1372098</v>
      </c>
      <c r="I32" s="21">
        <v>1232081</v>
      </c>
      <c r="J32" s="21">
        <v>1381835</v>
      </c>
      <c r="K32" s="21">
        <v>1476435</v>
      </c>
      <c r="L32" s="7">
        <f t="shared" si="18"/>
        <v>5.2038884602300585E-2</v>
      </c>
      <c r="M32" s="1"/>
      <c r="N32" s="1" t="str">
        <f t="shared" si="21"/>
        <v xml:space="preserve">Investments </v>
      </c>
      <c r="O32" s="7">
        <f t="shared" si="19"/>
        <v>6.5791350761146741E-2</v>
      </c>
      <c r="P32" s="7">
        <f t="shared" si="19"/>
        <v>1.5295431305086277E-2</v>
      </c>
      <c r="Q32" s="7">
        <f t="shared" si="19"/>
        <v>4.7873091226198171E-2</v>
      </c>
      <c r="R32" s="7">
        <f t="shared" si="19"/>
        <v>5.0405757877566452E-2</v>
      </c>
      <c r="S32" s="7">
        <f t="shared" si="19"/>
        <v>5.3274273980093857E-2</v>
      </c>
      <c r="T32" s="7">
        <f t="shared" si="19"/>
        <v>5.8272740578912456E-2</v>
      </c>
      <c r="U32" s="7">
        <f t="shared" si="19"/>
        <v>5.9181115222965534E-2</v>
      </c>
      <c r="V32" s="7">
        <f t="shared" si="19"/>
        <v>4.9365196098562832E-2</v>
      </c>
      <c r="W32" s="7">
        <f t="shared" si="19"/>
        <v>5.4605118533139284E-2</v>
      </c>
      <c r="X32" s="7">
        <f t="shared" si="19"/>
        <v>5.390870862055179E-2</v>
      </c>
      <c r="Y32" s="7">
        <f t="shared" si="20"/>
        <v>5.4661631337721721E-2</v>
      </c>
      <c r="Z32" s="189"/>
    </row>
    <row r="33" spans="1:26">
      <c r="A33" s="1" t="s">
        <v>31</v>
      </c>
      <c r="B33" s="19">
        <f>36916+66700+360158+1530178</f>
        <v>1993952</v>
      </c>
      <c r="C33" s="19">
        <f>211738+10330897</f>
        <v>10542635</v>
      </c>
      <c r="D33" s="21">
        <f>206870+728730</f>
        <v>935600</v>
      </c>
      <c r="E33" s="21">
        <f>175174+540584</f>
        <v>715758</v>
      </c>
      <c r="F33" s="21">
        <f>164212+401285</f>
        <v>565497</v>
      </c>
      <c r="G33" s="21">
        <f>135746+146806</f>
        <v>282552</v>
      </c>
      <c r="H33" s="21">
        <f>142078+120310</f>
        <v>262388</v>
      </c>
      <c r="I33" s="21">
        <f>157742+181456</f>
        <v>339198</v>
      </c>
      <c r="J33" s="21">
        <v>162296</v>
      </c>
      <c r="K33" s="21">
        <v>180044</v>
      </c>
      <c r="L33" s="7">
        <f t="shared" si="18"/>
        <v>-0.20459252224982952</v>
      </c>
      <c r="M33" s="1"/>
      <c r="N33" s="1" t="str">
        <f t="shared" si="21"/>
        <v>Deferred Charges and Other</v>
      </c>
      <c r="O33" s="7">
        <f t="shared" si="19"/>
        <v>6.934492921604192E-2</v>
      </c>
      <c r="P33" s="7">
        <f t="shared" si="19"/>
        <v>0.35814915371721107</v>
      </c>
      <c r="Q33" s="7">
        <f t="shared" si="19"/>
        <v>4.6304499098754885E-2</v>
      </c>
      <c r="R33" s="7">
        <f t="shared" si="19"/>
        <v>3.5250604991134381E-2</v>
      </c>
      <c r="S33" s="7">
        <f t="shared" si="19"/>
        <v>2.6296168504695669E-2</v>
      </c>
      <c r="T33" s="7">
        <f t="shared" si="19"/>
        <v>1.286763584106016E-2</v>
      </c>
      <c r="U33" s="7">
        <f t="shared" si="19"/>
        <v>1.131727796492924E-2</v>
      </c>
      <c r="V33" s="7">
        <f t="shared" si="19"/>
        <v>1.3590482919743357E-2</v>
      </c>
      <c r="W33" s="7">
        <f t="shared" si="19"/>
        <v>6.4133505935617301E-3</v>
      </c>
      <c r="X33" s="7">
        <f t="shared" si="19"/>
        <v>6.5739023627038283E-3</v>
      </c>
      <c r="Y33" s="7">
        <f t="shared" si="20"/>
        <v>1.2418387206127363E-2</v>
      </c>
      <c r="Z33" s="189"/>
    </row>
    <row r="34" spans="1:26">
      <c r="A34" s="1" t="s">
        <v>32</v>
      </c>
      <c r="B34" s="19">
        <f t="shared" ref="B34:I34" si="22">SUM(B29:B33)</f>
        <v>5642272</v>
      </c>
      <c r="C34" s="19">
        <f t="shared" si="22"/>
        <v>12384925</v>
      </c>
      <c r="D34" s="21">
        <f t="shared" si="22"/>
        <v>3778313</v>
      </c>
      <c r="E34" s="21">
        <f t="shared" si="22"/>
        <v>3657534</v>
      </c>
      <c r="F34" s="21">
        <f t="shared" si="22"/>
        <v>3666749</v>
      </c>
      <c r="G34" s="21">
        <f t="shared" si="22"/>
        <v>3775502</v>
      </c>
      <c r="H34" s="21">
        <f t="shared" si="22"/>
        <v>3701845</v>
      </c>
      <c r="I34" s="21">
        <f t="shared" si="22"/>
        <v>4254246</v>
      </c>
      <c r="J34" s="21">
        <f>SUM(J29:J33)</f>
        <v>3821030</v>
      </c>
      <c r="K34" s="21">
        <f>SUM(K29:K33)</f>
        <v>3991965</v>
      </c>
      <c r="L34" s="7">
        <f t="shared" si="18"/>
        <v>1.7140877908719748E-2</v>
      </c>
      <c r="M34" s="1"/>
      <c r="N34" s="1" t="str">
        <f t="shared" si="21"/>
        <v>Total Other Assets</v>
      </c>
      <c r="O34" s="7">
        <f t="shared" si="19"/>
        <v>0.19622486020609087</v>
      </c>
      <c r="P34" s="7">
        <f t="shared" si="19"/>
        <v>0.42073451348748492</v>
      </c>
      <c r="Q34" s="7">
        <f t="shared" si="19"/>
        <v>0.18699539429597464</v>
      </c>
      <c r="R34" s="7">
        <f t="shared" si="19"/>
        <v>0.18013111453262654</v>
      </c>
      <c r="S34" s="7">
        <f t="shared" si="19"/>
        <v>0.17050744666801829</v>
      </c>
      <c r="T34" s="7">
        <f t="shared" si="19"/>
        <v>0.17193927083579064</v>
      </c>
      <c r="U34" s="7">
        <f t="shared" si="19"/>
        <v>0.15966739655808757</v>
      </c>
      <c r="V34" s="7">
        <f t="shared" si="19"/>
        <v>0.17045282578136223</v>
      </c>
      <c r="W34" s="7">
        <f t="shared" si="19"/>
        <v>0.15099327782888783</v>
      </c>
      <c r="X34" s="7">
        <f t="shared" si="19"/>
        <v>0.14575763782925832</v>
      </c>
      <c r="Y34" s="7">
        <f t="shared" si="20"/>
        <v>0.16085457131818839</v>
      </c>
      <c r="Z34" s="189"/>
    </row>
    <row r="35" spans="1:26">
      <c r="A35" s="1" t="s">
        <v>33</v>
      </c>
      <c r="B35" s="19">
        <f t="shared" ref="B35:H35" si="23">B26+B34</f>
        <v>25423700</v>
      </c>
      <c r="C35" s="19">
        <f t="shared" si="23"/>
        <v>25699269</v>
      </c>
      <c r="D35" s="21">
        <f t="shared" si="23"/>
        <v>17074141</v>
      </c>
      <c r="E35" s="21">
        <f t="shared" si="23"/>
        <v>17733603</v>
      </c>
      <c r="F35" s="21">
        <f t="shared" si="23"/>
        <v>18363059</v>
      </c>
      <c r="G35" s="21">
        <f t="shared" si="23"/>
        <v>19324160</v>
      </c>
      <c r="H35" s="21">
        <f t="shared" si="23"/>
        <v>20377534</v>
      </c>
      <c r="I35" s="21">
        <f t="shared" ref="I35" si="24">I26+I34</f>
        <v>21942966</v>
      </c>
      <c r="J35" s="21">
        <f>J26+J34</f>
        <v>22329326</v>
      </c>
      <c r="K35" s="21">
        <f>K26+K34</f>
        <v>24655047</v>
      </c>
      <c r="L35" s="7">
        <f t="shared" si="18"/>
        <v>6.069900396505945E-2</v>
      </c>
      <c r="M35" s="1"/>
      <c r="N35" s="1" t="str">
        <f t="shared" si="21"/>
        <v>Total Non-Current Assets</v>
      </c>
      <c r="O35" s="7">
        <f t="shared" si="19"/>
        <v>0.88417608694185468</v>
      </c>
      <c r="P35" s="7">
        <f t="shared" si="19"/>
        <v>0.87304278707372096</v>
      </c>
      <c r="Q35" s="7">
        <f t="shared" si="19"/>
        <v>0.8450294426533923</v>
      </c>
      <c r="R35" s="7">
        <f t="shared" si="19"/>
        <v>0.87336814177780153</v>
      </c>
      <c r="S35" s="7">
        <f t="shared" si="19"/>
        <v>0.85390036326570851</v>
      </c>
      <c r="T35" s="7">
        <f t="shared" si="19"/>
        <v>0.88003713940931616</v>
      </c>
      <c r="U35" s="7">
        <f t="shared" si="19"/>
        <v>0.8789205928540802</v>
      </c>
      <c r="V35" s="7">
        <f t="shared" si="19"/>
        <v>0.87917825173352804</v>
      </c>
      <c r="W35" s="7">
        <f t="shared" si="19"/>
        <v>0.88237415682415699</v>
      </c>
      <c r="X35" s="7">
        <f t="shared" si="19"/>
        <v>0.90022367713377793</v>
      </c>
      <c r="Y35" s="7">
        <f t="shared" si="20"/>
        <v>0.88005522988442864</v>
      </c>
      <c r="Z35" s="189"/>
    </row>
    <row r="36" spans="1:26">
      <c r="A36" s="1" t="s">
        <v>34</v>
      </c>
      <c r="B36" s="19"/>
      <c r="C36" s="19"/>
      <c r="D36" s="21"/>
      <c r="E36" s="21"/>
      <c r="F36" s="21"/>
      <c r="G36" s="21"/>
      <c r="H36" s="21"/>
      <c r="I36" s="21"/>
      <c r="J36" s="21"/>
      <c r="K36" s="21"/>
      <c r="L36" s="7"/>
      <c r="M36" s="1"/>
      <c r="N36" s="1" t="str">
        <f t="shared" si="21"/>
        <v xml:space="preserve"> Electric Assets</v>
      </c>
      <c r="O36" s="7">
        <f>B36/B$38</f>
        <v>0</v>
      </c>
      <c r="P36" s="7">
        <f t="shared" si="19"/>
        <v>0</v>
      </c>
      <c r="Q36" s="7">
        <f t="shared" si="19"/>
        <v>0</v>
      </c>
      <c r="R36" s="7">
        <f t="shared" si="19"/>
        <v>0</v>
      </c>
      <c r="S36" s="7">
        <f t="shared" si="19"/>
        <v>0</v>
      </c>
      <c r="T36" s="7">
        <f t="shared" si="19"/>
        <v>0</v>
      </c>
      <c r="U36" s="7">
        <f t="shared" si="19"/>
        <v>0</v>
      </c>
      <c r="V36" s="7">
        <f t="shared" si="19"/>
        <v>0</v>
      </c>
      <c r="W36" s="7">
        <f t="shared" si="19"/>
        <v>0</v>
      </c>
      <c r="X36" s="7">
        <f t="shared" si="19"/>
        <v>0</v>
      </c>
      <c r="Y36" s="7">
        <f t="shared" si="20"/>
        <v>0</v>
      </c>
      <c r="Z36" s="189"/>
    </row>
    <row r="37" spans="1:26">
      <c r="A37" s="1" t="s">
        <v>35</v>
      </c>
      <c r="B37" s="19"/>
      <c r="C37" s="19"/>
      <c r="D37" s="21"/>
      <c r="E37" s="21"/>
      <c r="F37" s="21"/>
      <c r="G37" s="21"/>
      <c r="H37" s="21"/>
      <c r="I37" s="21"/>
      <c r="J37" s="21"/>
      <c r="K37" s="21"/>
      <c r="L37" s="7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89"/>
    </row>
    <row r="38" spans="1:26">
      <c r="A38" s="1" t="s">
        <v>36</v>
      </c>
      <c r="B38" s="19">
        <f t="shared" ref="B38:H38" si="25">B15+B26+B34</f>
        <v>28754114</v>
      </c>
      <c r="C38" s="19">
        <f>C15+C26+C34</f>
        <v>29436437</v>
      </c>
      <c r="D38" s="21">
        <f t="shared" si="25"/>
        <v>20205380</v>
      </c>
      <c r="E38" s="21">
        <f t="shared" si="25"/>
        <v>20304843</v>
      </c>
      <c r="F38" s="21">
        <f t="shared" si="25"/>
        <v>21504920</v>
      </c>
      <c r="G38" s="21">
        <f t="shared" si="25"/>
        <v>21958346</v>
      </c>
      <c r="H38" s="21">
        <f t="shared" si="25"/>
        <v>23184727</v>
      </c>
      <c r="I38" s="21">
        <f t="shared" ref="I38:J38" si="26">I15+I26+I34</f>
        <v>24958495</v>
      </c>
      <c r="J38" s="21">
        <f t="shared" si="26"/>
        <v>25305961</v>
      </c>
      <c r="K38" s="21">
        <f t="shared" ref="K38" si="27">K15+K26+K34</f>
        <v>27387690</v>
      </c>
      <c r="L38" s="7">
        <f>RATE(5,,-F38,K38)</f>
        <v>4.9550921886485584E-2</v>
      </c>
      <c r="M38" s="1"/>
      <c r="N38" s="1" t="s">
        <v>36</v>
      </c>
      <c r="O38" s="7">
        <f t="shared" ref="O38:X38" si="28">B38/B$38</f>
        <v>1</v>
      </c>
      <c r="P38" s="7">
        <f t="shared" si="28"/>
        <v>1</v>
      </c>
      <c r="Q38" s="7">
        <f t="shared" si="28"/>
        <v>1</v>
      </c>
      <c r="R38" s="7">
        <f t="shared" si="28"/>
        <v>1</v>
      </c>
      <c r="S38" s="7">
        <f t="shared" si="28"/>
        <v>1</v>
      </c>
      <c r="T38" s="7">
        <f t="shared" si="28"/>
        <v>1</v>
      </c>
      <c r="U38" s="7">
        <f t="shared" si="28"/>
        <v>1</v>
      </c>
      <c r="V38" s="7">
        <f t="shared" si="28"/>
        <v>1</v>
      </c>
      <c r="W38" s="7">
        <f t="shared" si="28"/>
        <v>1</v>
      </c>
      <c r="X38" s="7">
        <f t="shared" si="28"/>
        <v>1</v>
      </c>
      <c r="Y38" s="7">
        <f>SUM(F38:K38)/SUM(F$38:K$38)</f>
        <v>1</v>
      </c>
      <c r="Z38" s="189"/>
    </row>
    <row r="39" spans="1:26">
      <c r="A39" s="1"/>
      <c r="B39" s="19"/>
      <c r="C39" s="19"/>
      <c r="D39" s="21"/>
      <c r="E39" s="21"/>
      <c r="F39" s="21"/>
      <c r="G39" s="21"/>
      <c r="H39" s="21"/>
      <c r="I39" s="21"/>
      <c r="J39" s="21"/>
      <c r="K39" s="2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9"/>
      <c r="C40" s="19"/>
      <c r="D40" s="21"/>
      <c r="E40" s="21"/>
      <c r="F40" s="21"/>
      <c r="G40" s="21"/>
      <c r="H40" s="21"/>
      <c r="I40" s="21"/>
      <c r="J40" s="21"/>
      <c r="K40" s="2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9"/>
      <c r="C41" s="19"/>
      <c r="D41" s="21"/>
      <c r="E41" s="21"/>
      <c r="F41" s="21"/>
      <c r="G41" s="21"/>
      <c r="H41" s="21"/>
      <c r="I41" s="21"/>
      <c r="J41" s="21"/>
      <c r="K41" s="2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9">
        <v>392938</v>
      </c>
      <c r="C42" s="19">
        <f>558263</f>
        <v>558263</v>
      </c>
      <c r="D42" s="21">
        <f>159955</f>
        <v>159955</v>
      </c>
      <c r="E42" s="21">
        <f>223655</f>
        <v>223655</v>
      </c>
      <c r="F42" s="21">
        <f>835495</f>
        <v>835495</v>
      </c>
      <c r="G42" s="21">
        <f>336411</f>
        <v>336411</v>
      </c>
      <c r="H42" s="21">
        <f>637535</f>
        <v>637535</v>
      </c>
      <c r="I42" s="21">
        <v>558772</v>
      </c>
      <c r="J42" s="21">
        <v>543814</v>
      </c>
      <c r="K42" s="21">
        <v>55415</v>
      </c>
      <c r="L42" s="7">
        <f t="shared" ref="L42:L48" si="29">RATE(5,,-F42,K42)</f>
        <v>-0.41878515734799004</v>
      </c>
      <c r="M42" s="1"/>
      <c r="N42" s="1" t="str">
        <f t="shared" ref="N42:N47" si="30">A42</f>
        <v>Current Maturities LTD</v>
      </c>
      <c r="O42" s="7">
        <f t="shared" ref="O42:X48" si="31">B42/B$38</f>
        <v>1.3665453228710159E-2</v>
      </c>
      <c r="P42" s="7">
        <f t="shared" si="31"/>
        <v>1.8965033030322251E-2</v>
      </c>
      <c r="Q42" s="7">
        <f t="shared" si="31"/>
        <v>7.9164559142169064E-3</v>
      </c>
      <c r="R42" s="7">
        <f t="shared" si="31"/>
        <v>1.101485985387821E-2</v>
      </c>
      <c r="S42" s="7">
        <f t="shared" si="31"/>
        <v>3.8851341925475659E-2</v>
      </c>
      <c r="T42" s="7">
        <f t="shared" si="31"/>
        <v>1.5320416209854786E-2</v>
      </c>
      <c r="U42" s="7">
        <f t="shared" si="31"/>
        <v>2.7498059390563451E-2</v>
      </c>
      <c r="V42" s="7">
        <f t="shared" si="31"/>
        <v>2.2388048638349388E-2</v>
      </c>
      <c r="W42" s="7">
        <f t="shared" si="31"/>
        <v>2.1489561293483381E-2</v>
      </c>
      <c r="X42" s="7">
        <f t="shared" si="31"/>
        <v>2.0233542880031138E-3</v>
      </c>
      <c r="Y42" s="7">
        <f t="shared" ref="Y42:Y48" si="32">SUM(F42:K42)/SUM(F$38:K$38)</f>
        <v>2.056437381532945E-2</v>
      </c>
      <c r="Z42" s="189"/>
    </row>
    <row r="43" spans="1:26">
      <c r="A43" s="1" t="s">
        <v>39</v>
      </c>
      <c r="B43" s="19">
        <v>2224812</v>
      </c>
      <c r="C43" s="19">
        <f>503643</f>
        <v>503643</v>
      </c>
      <c r="D43" s="21">
        <f>58563</f>
        <v>58563</v>
      </c>
      <c r="E43" s="21">
        <f>312300</f>
        <v>312300</v>
      </c>
      <c r="F43" s="21">
        <f>746120</f>
        <v>746120</v>
      </c>
      <c r="G43" s="21">
        <f>626300</f>
        <v>626300</v>
      </c>
      <c r="H43" s="21">
        <f>1088560</f>
        <v>1088560</v>
      </c>
      <c r="I43" s="21">
        <v>455250</v>
      </c>
      <c r="J43" s="21">
        <v>459000</v>
      </c>
      <c r="K43" s="21">
        <v>466400</v>
      </c>
      <c r="L43" s="7">
        <f t="shared" si="29"/>
        <v>-8.9688619865414085E-2</v>
      </c>
      <c r="M43" s="1"/>
      <c r="N43" s="1" t="str">
        <f t="shared" si="30"/>
        <v>Notes Payable and Commercial Paper</v>
      </c>
      <c r="O43" s="7">
        <f t="shared" si="31"/>
        <v>7.7373693378276237E-2</v>
      </c>
      <c r="P43" s="7">
        <f t="shared" si="31"/>
        <v>1.7109509551037037E-2</v>
      </c>
      <c r="Q43" s="7">
        <f t="shared" si="31"/>
        <v>2.898386469346283E-3</v>
      </c>
      <c r="R43" s="7">
        <f t="shared" si="31"/>
        <v>1.5380567089339228E-2</v>
      </c>
      <c r="S43" s="7">
        <f t="shared" si="31"/>
        <v>3.4695316234610502E-2</v>
      </c>
      <c r="T43" s="7">
        <f t="shared" si="31"/>
        <v>2.8522184685494983E-2</v>
      </c>
      <c r="U43" s="7">
        <f t="shared" si="31"/>
        <v>4.695159878311269E-2</v>
      </c>
      <c r="V43" s="7">
        <f t="shared" si="31"/>
        <v>1.824028251703478E-2</v>
      </c>
      <c r="W43" s="7">
        <f t="shared" si="31"/>
        <v>1.8138018943441823E-2</v>
      </c>
      <c r="X43" s="7">
        <f t="shared" si="31"/>
        <v>1.7029548676796034E-2</v>
      </c>
      <c r="Y43" s="7">
        <f t="shared" si="32"/>
        <v>2.662249687784431E-2</v>
      </c>
      <c r="Z43" s="189"/>
    </row>
    <row r="44" spans="1:26">
      <c r="A44" s="1" t="s">
        <v>40</v>
      </c>
      <c r="B44" s="19">
        <v>1263690</v>
      </c>
      <c r="C44" s="19">
        <f>698170</f>
        <v>698170</v>
      </c>
      <c r="D44" s="21">
        <f>774336</f>
        <v>774336</v>
      </c>
      <c r="E44" s="21">
        <f>903609</f>
        <v>903609</v>
      </c>
      <c r="F44" s="21">
        <f>1187489</f>
        <v>1187489</v>
      </c>
      <c r="G44" s="21">
        <f>1101270</f>
        <v>1101270</v>
      </c>
      <c r="H44" s="21">
        <f>1079345</f>
        <v>1079345</v>
      </c>
      <c r="I44" s="21">
        <v>1120324</v>
      </c>
      <c r="J44" s="21">
        <v>1083572</v>
      </c>
      <c r="K44" s="21">
        <v>979750</v>
      </c>
      <c r="L44" s="7">
        <f t="shared" si="29"/>
        <v>-3.7729581134126486E-2</v>
      </c>
      <c r="M44" s="1"/>
      <c r="N44" s="1" t="str">
        <f t="shared" si="30"/>
        <v>Accounts Payable</v>
      </c>
      <c r="O44" s="7">
        <f t="shared" si="31"/>
        <v>4.3948145993995852E-2</v>
      </c>
      <c r="P44" s="7">
        <f t="shared" si="31"/>
        <v>2.3717884063210504E-2</v>
      </c>
      <c r="Q44" s="7">
        <f t="shared" si="31"/>
        <v>3.8323258458885706E-2</v>
      </c>
      <c r="R44" s="7">
        <f t="shared" si="31"/>
        <v>4.4502141681174293E-2</v>
      </c>
      <c r="S44" s="7">
        <f t="shared" si="31"/>
        <v>5.5219410255885629E-2</v>
      </c>
      <c r="T44" s="7">
        <f t="shared" si="31"/>
        <v>5.0152684541904934E-2</v>
      </c>
      <c r="U44" s="7">
        <f t="shared" si="31"/>
        <v>4.6554138851839837E-2</v>
      </c>
      <c r="V44" s="7">
        <f t="shared" si="31"/>
        <v>4.4887482197945028E-2</v>
      </c>
      <c r="W44" s="7">
        <f t="shared" si="31"/>
        <v>4.2818844145061319E-2</v>
      </c>
      <c r="X44" s="7">
        <f t="shared" si="31"/>
        <v>3.5773371175152051E-2</v>
      </c>
      <c r="Y44" s="7">
        <f t="shared" si="32"/>
        <v>4.5403629167675298E-2</v>
      </c>
      <c r="Z44" s="189"/>
    </row>
    <row r="45" spans="1:26">
      <c r="A45" s="1" t="s">
        <v>41</v>
      </c>
      <c r="B45" s="19"/>
      <c r="C45" s="19"/>
      <c r="D45" s="21"/>
      <c r="E45" s="21"/>
      <c r="F45" s="21"/>
      <c r="G45" s="21"/>
      <c r="H45" s="21"/>
      <c r="I45" s="21"/>
      <c r="J45" s="21"/>
      <c r="K45" s="21"/>
      <c r="L45" s="7"/>
      <c r="M45" s="1"/>
      <c r="N45" s="1" t="str">
        <f t="shared" si="30"/>
        <v>Payable to Affiliates</v>
      </c>
      <c r="O45" s="7">
        <f t="shared" si="31"/>
        <v>0</v>
      </c>
      <c r="P45" s="7">
        <f t="shared" si="31"/>
        <v>0</v>
      </c>
      <c r="Q45" s="7">
        <f t="shared" si="31"/>
        <v>0</v>
      </c>
      <c r="R45" s="7">
        <f t="shared" si="31"/>
        <v>0</v>
      </c>
      <c r="S45" s="7">
        <f t="shared" si="31"/>
        <v>0</v>
      </c>
      <c r="T45" s="7">
        <f t="shared" si="31"/>
        <v>0</v>
      </c>
      <c r="U45" s="7">
        <f t="shared" si="31"/>
        <v>0</v>
      </c>
      <c r="V45" s="7">
        <f t="shared" si="31"/>
        <v>0</v>
      </c>
      <c r="W45" s="7">
        <f t="shared" si="31"/>
        <v>0</v>
      </c>
      <c r="X45" s="7">
        <f t="shared" si="31"/>
        <v>0</v>
      </c>
      <c r="Y45" s="7">
        <f t="shared" si="32"/>
        <v>0</v>
      </c>
      <c r="Z45" s="189"/>
    </row>
    <row r="46" spans="1:26">
      <c r="A46" s="1" t="s">
        <v>42</v>
      </c>
      <c r="B46" s="19">
        <f>246098+130845+83122+429433</f>
        <v>889498</v>
      </c>
      <c r="C46" s="19">
        <f>243183+75814+11520+9925625</f>
        <v>10256142</v>
      </c>
      <c r="D46" s="21">
        <f>193895+75866+153467+843549</f>
        <v>1266777</v>
      </c>
      <c r="E46" s="21">
        <f>216439+83405+135098+112931</f>
        <v>547873</v>
      </c>
      <c r="F46" s="21">
        <f>235056+87788+191414+43657</f>
        <v>557915</v>
      </c>
      <c r="G46" s="21">
        <f>252384+91685+83944+25478</f>
        <v>453491</v>
      </c>
      <c r="H46" s="21">
        <f>240443+99682+58811+17539</f>
        <v>416475</v>
      </c>
      <c r="I46" s="21">
        <f>220542+108838+75539+6929</f>
        <v>411848</v>
      </c>
      <c r="J46" s="21">
        <f>3089999-2313719</f>
        <v>776280</v>
      </c>
      <c r="K46" s="21">
        <f>2536533-1777676</f>
        <v>758857</v>
      </c>
      <c r="L46" s="7">
        <f t="shared" si="29"/>
        <v>6.3453197358048247E-2</v>
      </c>
      <c r="M46" s="1"/>
      <c r="N46" s="1" t="str">
        <f t="shared" si="30"/>
        <v>Other Payables and Accrued Expenses</v>
      </c>
      <c r="O46" s="7">
        <f t="shared" si="31"/>
        <v>3.0934634257901321E-2</v>
      </c>
      <c r="P46" s="7">
        <f t="shared" si="31"/>
        <v>0.3484165559846798</v>
      </c>
      <c r="Q46" s="7">
        <f t="shared" si="31"/>
        <v>6.2695034688780904E-2</v>
      </c>
      <c r="R46" s="7">
        <f t="shared" si="31"/>
        <v>2.6982380508925874E-2</v>
      </c>
      <c r="S46" s="7">
        <f t="shared" si="31"/>
        <v>2.594359802315005E-2</v>
      </c>
      <c r="T46" s="7">
        <f t="shared" si="31"/>
        <v>2.0652329642678914E-2</v>
      </c>
      <c r="U46" s="7">
        <f t="shared" si="31"/>
        <v>1.7963334224293432E-2</v>
      </c>
      <c r="V46" s="7">
        <f t="shared" si="31"/>
        <v>1.6501315483966481E-2</v>
      </c>
      <c r="W46" s="7">
        <f t="shared" si="31"/>
        <v>3.0675776351666708E-2</v>
      </c>
      <c r="X46" s="7">
        <f t="shared" si="31"/>
        <v>2.7707959305804906E-2</v>
      </c>
      <c r="Y46" s="7">
        <f t="shared" si="32"/>
        <v>2.3387822239034711E-2</v>
      </c>
      <c r="Z46" s="189"/>
    </row>
    <row r="47" spans="1:26">
      <c r="A47" s="1" t="s">
        <v>43</v>
      </c>
      <c r="B47" s="19">
        <v>698142</v>
      </c>
      <c r="C47" s="19">
        <f>332618</f>
        <v>332618</v>
      </c>
      <c r="D47" s="21">
        <f>411435</f>
        <v>411435</v>
      </c>
      <c r="E47" s="21">
        <f>348557</f>
        <v>348557</v>
      </c>
      <c r="F47" s="21">
        <f>345807</f>
        <v>345807</v>
      </c>
      <c r="G47" s="21">
        <f>347809</f>
        <v>347809</v>
      </c>
      <c r="H47" s="21">
        <f>419209</f>
        <v>419209</v>
      </c>
      <c r="I47" s="21">
        <f>168632+331419</f>
        <v>500051</v>
      </c>
      <c r="J47" s="21">
        <v>227333</v>
      </c>
      <c r="K47" s="21">
        <v>276111</v>
      </c>
      <c r="L47" s="7">
        <f t="shared" si="29"/>
        <v>-4.4017404304479466E-2</v>
      </c>
      <c r="M47" s="1"/>
      <c r="N47" s="1" t="str">
        <f t="shared" si="30"/>
        <v xml:space="preserve">Other </v>
      </c>
      <c r="O47" s="7">
        <f t="shared" si="31"/>
        <v>2.4279725676819672E-2</v>
      </c>
      <c r="P47" s="7">
        <f t="shared" si="31"/>
        <v>1.1299533296098301E-2</v>
      </c>
      <c r="Q47" s="7">
        <f t="shared" si="31"/>
        <v>2.0362645988345678E-2</v>
      </c>
      <c r="R47" s="7">
        <f t="shared" si="31"/>
        <v>1.7166200201597225E-2</v>
      </c>
      <c r="S47" s="7">
        <f t="shared" si="31"/>
        <v>1.6080366725381913E-2</v>
      </c>
      <c r="T47" s="7">
        <f t="shared" si="31"/>
        <v>1.5839489914222137E-2</v>
      </c>
      <c r="U47" s="7">
        <f t="shared" si="31"/>
        <v>1.8081256682470317E-2</v>
      </c>
      <c r="V47" s="7">
        <f t="shared" si="31"/>
        <v>2.0035302609392111E-2</v>
      </c>
      <c r="W47" s="7">
        <f t="shared" si="31"/>
        <v>8.9833774737896731E-3</v>
      </c>
      <c r="X47" s="7">
        <f t="shared" si="31"/>
        <v>1.0081573144723049E-2</v>
      </c>
      <c r="Y47" s="7">
        <f t="shared" si="32"/>
        <v>1.4666098138685784E-2</v>
      </c>
      <c r="Z47" s="189"/>
    </row>
    <row r="48" spans="1:26">
      <c r="A48" s="1" t="s">
        <v>44</v>
      </c>
      <c r="B48" s="19">
        <f t="shared" ref="B48:G48" si="33">SUM(B41:B47)</f>
        <v>5469080</v>
      </c>
      <c r="C48" s="19">
        <f t="shared" si="33"/>
        <v>12348836</v>
      </c>
      <c r="D48" s="21">
        <f t="shared" si="33"/>
        <v>2671066</v>
      </c>
      <c r="E48" s="21">
        <f t="shared" si="33"/>
        <v>2335994</v>
      </c>
      <c r="F48" s="21">
        <f t="shared" si="33"/>
        <v>3672826</v>
      </c>
      <c r="G48" s="21">
        <f t="shared" si="33"/>
        <v>2865281</v>
      </c>
      <c r="H48" s="21">
        <f>SUM(H41:H47)</f>
        <v>3641124</v>
      </c>
      <c r="I48" s="21">
        <f t="shared" ref="I48:J48" si="34">SUM(I41:I47)</f>
        <v>3046245</v>
      </c>
      <c r="J48" s="21">
        <f t="shared" si="34"/>
        <v>3089999</v>
      </c>
      <c r="K48" s="21">
        <f t="shared" ref="K48" si="35">SUM(K41:K47)</f>
        <v>2536533</v>
      </c>
      <c r="L48" s="7">
        <f t="shared" si="29"/>
        <v>-7.1358618437195473E-2</v>
      </c>
      <c r="M48" s="1"/>
      <c r="N48" s="1" t="s">
        <v>44</v>
      </c>
      <c r="O48" s="7">
        <f t="shared" si="31"/>
        <v>0.19020165253570323</v>
      </c>
      <c r="P48" s="7">
        <f t="shared" si="31"/>
        <v>0.41950851592534788</v>
      </c>
      <c r="Q48" s="7">
        <f t="shared" si="31"/>
        <v>0.13219578151957548</v>
      </c>
      <c r="R48" s="7">
        <f t="shared" si="31"/>
        <v>0.11504614933491483</v>
      </c>
      <c r="S48" s="7">
        <f t="shared" si="31"/>
        <v>0.17079003316450375</v>
      </c>
      <c r="T48" s="7">
        <f t="shared" si="31"/>
        <v>0.13048710499415575</v>
      </c>
      <c r="U48" s="7">
        <f t="shared" si="31"/>
        <v>0.15704838793227974</v>
      </c>
      <c r="V48" s="7">
        <f t="shared" si="31"/>
        <v>0.12205243144668779</v>
      </c>
      <c r="W48" s="7">
        <f t="shared" si="31"/>
        <v>0.1221055782074429</v>
      </c>
      <c r="X48" s="7">
        <f t="shared" si="31"/>
        <v>9.2615806590479147E-2</v>
      </c>
      <c r="Y48" s="7">
        <f t="shared" si="32"/>
        <v>0.13064442023856956</v>
      </c>
      <c r="Z48" s="189"/>
    </row>
    <row r="49" spans="1:26">
      <c r="A49" s="1"/>
      <c r="B49" s="19"/>
      <c r="C49" s="19"/>
      <c r="D49" s="21"/>
      <c r="E49" s="21"/>
      <c r="F49" s="21"/>
      <c r="G49" s="21"/>
      <c r="H49" s="21"/>
      <c r="I49" s="21"/>
      <c r="J49" s="21"/>
      <c r="K49" s="2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9">
        <v>11555589</v>
      </c>
      <c r="C50" s="19">
        <f>5318957</f>
        <v>5318957</v>
      </c>
      <c r="D50" s="21">
        <f>6493853</f>
        <v>6493853</v>
      </c>
      <c r="E50" s="21">
        <f>6493020</f>
        <v>6493020</v>
      </c>
      <c r="F50" s="21">
        <f>5897789</f>
        <v>5897789</v>
      </c>
      <c r="G50" s="21">
        <f>6449638</f>
        <v>6449638</v>
      </c>
      <c r="H50" s="21">
        <f>6342160</f>
        <v>6342160</v>
      </c>
      <c r="I50" s="21">
        <v>7731688</v>
      </c>
      <c r="J50" s="21">
        <v>7888628</v>
      </c>
      <c r="K50" s="21">
        <v>9263144</v>
      </c>
      <c r="L50" s="7">
        <f t="shared" ref="L50:L53" si="36">RATE(5,,-F50,K50)</f>
        <v>9.449513847218094E-2</v>
      </c>
      <c r="M50" s="1"/>
      <c r="N50" s="1" t="str">
        <f>A50</f>
        <v>Long-Term Debt</v>
      </c>
      <c r="O50" s="7">
        <f t="shared" ref="O50:X53" si="37">B50/B$38</f>
        <v>0.4018760237230749</v>
      </c>
      <c r="P50" s="7">
        <f t="shared" si="37"/>
        <v>0.18069296226306195</v>
      </c>
      <c r="Q50" s="7">
        <f t="shared" si="37"/>
        <v>0.32139227275111876</v>
      </c>
      <c r="R50" s="7">
        <f t="shared" si="37"/>
        <v>0.31977691233564326</v>
      </c>
      <c r="S50" s="7">
        <f t="shared" si="37"/>
        <v>0.27425300814883291</v>
      </c>
      <c r="T50" s="7">
        <f t="shared" si="37"/>
        <v>0.29372148521568975</v>
      </c>
      <c r="U50" s="7">
        <f t="shared" si="37"/>
        <v>0.27354904804356767</v>
      </c>
      <c r="V50" s="7">
        <f t="shared" si="37"/>
        <v>0.3097818197771941</v>
      </c>
      <c r="W50" s="7">
        <f t="shared" si="37"/>
        <v>0.31173003072280087</v>
      </c>
      <c r="X50" s="7">
        <f t="shared" si="37"/>
        <v>0.33822290233312852</v>
      </c>
      <c r="Y50" s="7">
        <f t="shared" ref="Y50:Y53" si="38">SUM(F50:K50)/SUM(F$38:K$38)</f>
        <v>0.30196122680103588</v>
      </c>
      <c r="Z50" s="189"/>
    </row>
    <row r="51" spans="1:26">
      <c r="A51" s="1" t="s">
        <v>46</v>
      </c>
      <c r="B51" s="19">
        <v>2134977</v>
      </c>
      <c r="C51" s="19">
        <f>1894153</f>
        <v>1894153</v>
      </c>
      <c r="D51" s="21">
        <f>1991483</f>
        <v>1991483</v>
      </c>
      <c r="E51" s="21">
        <f>2065665</f>
        <v>2065665</v>
      </c>
      <c r="F51" s="21">
        <f>2191794</f>
        <v>2191794</v>
      </c>
      <c r="G51" s="21">
        <f>2256599</f>
        <v>2256599</v>
      </c>
      <c r="H51" s="21">
        <f>2553526</f>
        <v>2553526</v>
      </c>
      <c r="I51" s="21">
        <v>2792560</v>
      </c>
      <c r="J51" s="21">
        <v>3156369</v>
      </c>
      <c r="K51" s="21">
        <v>3390027</v>
      </c>
      <c r="L51" s="7">
        <f t="shared" si="36"/>
        <v>9.1140522242583941E-2</v>
      </c>
      <c r="M51" s="1"/>
      <c r="N51" s="1" t="str">
        <f>A51</f>
        <v>Deferred Income Taxes</v>
      </c>
      <c r="O51" s="7">
        <f t="shared" si="37"/>
        <v>7.4249444792491265E-2</v>
      </c>
      <c r="P51" s="7">
        <f t="shared" si="37"/>
        <v>6.4347223816523719E-2</v>
      </c>
      <c r="Q51" s="7">
        <f t="shared" si="37"/>
        <v>9.8562016651010775E-2</v>
      </c>
      <c r="R51" s="7">
        <f t="shared" si="37"/>
        <v>0.10173262605379416</v>
      </c>
      <c r="S51" s="7">
        <f t="shared" si="37"/>
        <v>0.10192058375478728</v>
      </c>
      <c r="T51" s="7">
        <f t="shared" si="37"/>
        <v>0.10276725760674324</v>
      </c>
      <c r="U51" s="7">
        <f t="shared" si="37"/>
        <v>0.11013828198192716</v>
      </c>
      <c r="V51" s="7">
        <f t="shared" si="37"/>
        <v>0.11188815671778286</v>
      </c>
      <c r="W51" s="7">
        <f t="shared" si="37"/>
        <v>0.12472828042373099</v>
      </c>
      <c r="X51" s="7">
        <f t="shared" si="37"/>
        <v>0.12377922343943575</v>
      </c>
      <c r="Y51" s="7">
        <f t="shared" si="38"/>
        <v>0.1132422679093885</v>
      </c>
      <c r="Z51" s="189"/>
    </row>
    <row r="52" spans="1:26">
      <c r="A52" s="1" t="s">
        <v>47</v>
      </c>
      <c r="B52" s="19">
        <f>4320898-B51+614750</f>
        <v>2800671</v>
      </c>
      <c r="C52" s="19">
        <f>6504044-C51+296</f>
        <v>4610187</v>
      </c>
      <c r="D52" s="21">
        <f>5768760-D51+281</f>
        <v>3777558</v>
      </c>
      <c r="E52" s="21">
        <f>6164711-E51+3220</f>
        <v>4102266</v>
      </c>
      <c r="F52" s="21">
        <f>6430523-F51+3547</f>
        <v>4242276</v>
      </c>
      <c r="G52" s="21">
        <f>6721625-G51</f>
        <v>4465026</v>
      </c>
      <c r="H52" s="21">
        <f>6795461-H51</f>
        <v>4241935</v>
      </c>
      <c r="I52" s="21">
        <f>7111841-I51</f>
        <v>4319281</v>
      </c>
      <c r="J52" s="21">
        <v>3782740</v>
      </c>
      <c r="K52" s="21">
        <v>4009487</v>
      </c>
      <c r="L52" s="7">
        <f t="shared" si="36"/>
        <v>-1.1223860112969429E-2</v>
      </c>
      <c r="M52" s="1"/>
      <c r="N52" s="1" t="str">
        <f>A52</f>
        <v>Other Deferred Credits</v>
      </c>
      <c r="O52" s="7">
        <f t="shared" si="37"/>
        <v>9.740070586073353E-2</v>
      </c>
      <c r="P52" s="7">
        <f t="shared" si="37"/>
        <v>0.15661498027087992</v>
      </c>
      <c r="Q52" s="7">
        <f t="shared" si="37"/>
        <v>0.1869580280103616</v>
      </c>
      <c r="R52" s="7">
        <f t="shared" si="37"/>
        <v>0.20203386945666116</v>
      </c>
      <c r="S52" s="7">
        <f t="shared" si="37"/>
        <v>0.19727002006982589</v>
      </c>
      <c r="T52" s="7">
        <f t="shared" si="37"/>
        <v>0.20334072520762719</v>
      </c>
      <c r="U52" s="7">
        <f t="shared" si="37"/>
        <v>0.18296247352837064</v>
      </c>
      <c r="V52" s="7">
        <f t="shared" si="37"/>
        <v>0.17305855180771115</v>
      </c>
      <c r="W52" s="7">
        <f t="shared" si="37"/>
        <v>0.14948019559502207</v>
      </c>
      <c r="X52" s="7">
        <f t="shared" si="37"/>
        <v>0.14639741431278067</v>
      </c>
      <c r="Y52" s="7">
        <f t="shared" si="38"/>
        <v>0.17367096922893471</v>
      </c>
      <c r="Z52" s="189"/>
    </row>
    <row r="53" spans="1:26">
      <c r="A53" s="1" t="s">
        <v>48</v>
      </c>
      <c r="B53" s="19">
        <f t="shared" ref="B53:H53" si="39">SUM(B50:B52)</f>
        <v>16491237</v>
      </c>
      <c r="C53" s="19">
        <f t="shared" si="39"/>
        <v>11823297</v>
      </c>
      <c r="D53" s="21">
        <f t="shared" si="39"/>
        <v>12262894</v>
      </c>
      <c r="E53" s="21">
        <f t="shared" si="39"/>
        <v>12660951</v>
      </c>
      <c r="F53" s="21">
        <f t="shared" si="39"/>
        <v>12331859</v>
      </c>
      <c r="G53" s="21">
        <f t="shared" si="39"/>
        <v>13171263</v>
      </c>
      <c r="H53" s="21">
        <f t="shared" si="39"/>
        <v>13137621</v>
      </c>
      <c r="I53" s="21">
        <f t="shared" ref="I53:J53" si="40">SUM(I50:I52)</f>
        <v>14843529</v>
      </c>
      <c r="J53" s="21">
        <f t="shared" si="40"/>
        <v>14827737</v>
      </c>
      <c r="K53" s="21">
        <f t="shared" ref="K53" si="41">SUM(K50:K52)</f>
        <v>16662658</v>
      </c>
      <c r="L53" s="7">
        <f t="shared" si="36"/>
        <v>6.2045555985682149E-2</v>
      </c>
      <c r="M53" s="1"/>
      <c r="N53" s="1" t="str">
        <f>A53</f>
        <v>Total LTD &amp; Deferrals</v>
      </c>
      <c r="O53" s="7">
        <f t="shared" si="37"/>
        <v>0.57352617437629971</v>
      </c>
      <c r="P53" s="7">
        <f t="shared" si="37"/>
        <v>0.40165516635046561</v>
      </c>
      <c r="Q53" s="7">
        <f t="shared" si="37"/>
        <v>0.60691231741249108</v>
      </c>
      <c r="R53" s="7">
        <f t="shared" si="37"/>
        <v>0.62354340784609863</v>
      </c>
      <c r="S53" s="7">
        <f t="shared" si="37"/>
        <v>0.57344361197344607</v>
      </c>
      <c r="T53" s="7">
        <f t="shared" si="37"/>
        <v>0.59982946803006021</v>
      </c>
      <c r="U53" s="7">
        <f t="shared" si="37"/>
        <v>0.56664980355386541</v>
      </c>
      <c r="V53" s="7">
        <f t="shared" si="37"/>
        <v>0.59472852830268808</v>
      </c>
      <c r="W53" s="7">
        <f t="shared" si="37"/>
        <v>0.5859385067415539</v>
      </c>
      <c r="X53" s="7">
        <f t="shared" si="37"/>
        <v>0.60839954008534491</v>
      </c>
      <c r="Y53" s="7">
        <f t="shared" si="38"/>
        <v>0.58887446393935905</v>
      </c>
      <c r="Z53" s="189"/>
    </row>
    <row r="54" spans="1:26">
      <c r="A54" s="1"/>
      <c r="B54" s="19"/>
      <c r="C54" s="19"/>
      <c r="D54" s="21"/>
      <c r="E54" s="21"/>
      <c r="F54" s="21"/>
      <c r="G54" s="21"/>
      <c r="H54" s="21"/>
      <c r="I54" s="21"/>
      <c r="J54" s="21"/>
      <c r="K54" s="2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9">
        <f t="shared" ref="B55:H55" si="42">B53+B48</f>
        <v>21960317</v>
      </c>
      <c r="C55" s="19">
        <f>C53+C48</f>
        <v>24172133</v>
      </c>
      <c r="D55" s="21">
        <f t="shared" si="42"/>
        <v>14933960</v>
      </c>
      <c r="E55" s="21">
        <f t="shared" si="42"/>
        <v>14996945</v>
      </c>
      <c r="F55" s="21">
        <f t="shared" si="42"/>
        <v>16004685</v>
      </c>
      <c r="G55" s="21">
        <f t="shared" si="42"/>
        <v>16036544</v>
      </c>
      <c r="H55" s="21">
        <f t="shared" si="42"/>
        <v>16778745</v>
      </c>
      <c r="I55" s="21">
        <f t="shared" ref="I55:J55" si="43">I53+I48</f>
        <v>17889774</v>
      </c>
      <c r="J55" s="21">
        <f t="shared" si="43"/>
        <v>17917736</v>
      </c>
      <c r="K55" s="21">
        <f t="shared" ref="K55" si="44">K53+K48</f>
        <v>19199191</v>
      </c>
      <c r="L55" s="7">
        <f>RATE(5,,-F55,K55)</f>
        <v>3.7067822974726453E-2</v>
      </c>
      <c r="M55" s="1"/>
      <c r="N55" s="1" t="s">
        <v>49</v>
      </c>
      <c r="O55" s="7">
        <f t="shared" ref="O55:X55" si="45">B55/B$38</f>
        <v>0.76372782691200292</v>
      </c>
      <c r="P55" s="7">
        <f t="shared" si="45"/>
        <v>0.82116368227581349</v>
      </c>
      <c r="Q55" s="7">
        <f t="shared" si="45"/>
        <v>0.73910809893206664</v>
      </c>
      <c r="R55" s="7">
        <f t="shared" si="45"/>
        <v>0.73858955718101338</v>
      </c>
      <c r="S55" s="7">
        <f t="shared" si="45"/>
        <v>0.74423364513794987</v>
      </c>
      <c r="T55" s="7">
        <f t="shared" si="45"/>
        <v>0.73031657302421593</v>
      </c>
      <c r="U55" s="7">
        <f t="shared" si="45"/>
        <v>0.72369819148614511</v>
      </c>
      <c r="V55" s="7">
        <f t="shared" si="45"/>
        <v>0.71678095974937595</v>
      </c>
      <c r="W55" s="7">
        <f t="shared" si="45"/>
        <v>0.70804408494899684</v>
      </c>
      <c r="X55" s="7">
        <f t="shared" si="45"/>
        <v>0.7010153466758241</v>
      </c>
      <c r="Y55" s="7">
        <f>SUM(F55:K55)/SUM(F$38:K$38)</f>
        <v>0.71951888417792864</v>
      </c>
      <c r="Z55" s="189"/>
    </row>
    <row r="56" spans="1:26">
      <c r="A56" s="1"/>
      <c r="B56" s="19"/>
      <c r="C56" s="19"/>
      <c r="D56" s="21"/>
      <c r="E56" s="21"/>
      <c r="F56" s="21"/>
      <c r="G56" s="21"/>
      <c r="H56" s="21"/>
      <c r="I56" s="21"/>
      <c r="J56" s="21"/>
      <c r="K56" s="2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9">
        <f>105320</f>
        <v>105320</v>
      </c>
      <c r="C57" s="19">
        <f>105320</f>
        <v>105320</v>
      </c>
      <c r="D57" s="21">
        <f t="shared" ref="D57:H57" si="46">104980</f>
        <v>104980</v>
      </c>
      <c r="E57" s="21">
        <f t="shared" si="46"/>
        <v>104980</v>
      </c>
      <c r="F57" s="21">
        <f t="shared" si="46"/>
        <v>104980</v>
      </c>
      <c r="G57" s="21">
        <f t="shared" si="46"/>
        <v>104980</v>
      </c>
      <c r="H57" s="21">
        <f t="shared" si="46"/>
        <v>104980</v>
      </c>
      <c r="I57" s="21">
        <v>104980</v>
      </c>
      <c r="J57" s="21">
        <v>104980</v>
      </c>
      <c r="K57" s="21">
        <v>104980</v>
      </c>
      <c r="L57" s="7">
        <f>RATE(5,,-F57,K57)</f>
        <v>9.7712749245777249E-17</v>
      </c>
      <c r="M57" s="1"/>
      <c r="N57" s="1" t="s">
        <v>50</v>
      </c>
      <c r="O57" s="7">
        <f t="shared" ref="O57:X57" si="47">B57/B$38</f>
        <v>3.6627802199017505E-3</v>
      </c>
      <c r="P57" s="7">
        <f t="shared" si="47"/>
        <v>3.5778786678564395E-3</v>
      </c>
      <c r="Q57" s="7">
        <f t="shared" si="47"/>
        <v>5.1956459121283542E-3</v>
      </c>
      <c r="R57" s="7">
        <f t="shared" si="47"/>
        <v>5.1701951105950434E-3</v>
      </c>
      <c r="S57" s="7">
        <f t="shared" si="47"/>
        <v>4.8816735891135613E-3</v>
      </c>
      <c r="T57" s="7">
        <f t="shared" si="47"/>
        <v>4.7808701074297669E-3</v>
      </c>
      <c r="U57" s="7">
        <f t="shared" si="47"/>
        <v>4.5279808556727887E-3</v>
      </c>
      <c r="V57" s="7">
        <f t="shared" si="47"/>
        <v>4.2061831051912382E-3</v>
      </c>
      <c r="W57" s="7">
        <f t="shared" si="47"/>
        <v>4.1484296921187854E-3</v>
      </c>
      <c r="X57" s="7">
        <f t="shared" si="47"/>
        <v>3.8331089624572207E-3</v>
      </c>
      <c r="Y57" s="7">
        <f>SUM(F57:K57)/SUM(F$38:K$38)</f>
        <v>4.3650685603289678E-3</v>
      </c>
      <c r="Z57" s="189"/>
    </row>
    <row r="58" spans="1:26">
      <c r="A58" s="1"/>
      <c r="B58" s="19"/>
      <c r="C58" s="19"/>
      <c r="D58" s="21"/>
      <c r="E58" s="21"/>
      <c r="F58" s="21"/>
      <c r="G58" s="21"/>
      <c r="H58" s="21"/>
      <c r="I58" s="21"/>
      <c r="J58" s="21"/>
      <c r="K58" s="2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9"/>
      <c r="C59" s="19"/>
      <c r="D59" s="21"/>
      <c r="E59" s="21"/>
      <c r="F59" s="21"/>
      <c r="G59" s="21"/>
      <c r="H59" s="21"/>
      <c r="I59" s="21"/>
      <c r="J59" s="21"/>
      <c r="K59" s="2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9">
        <f>6194477+494000-B61</f>
        <v>6789419</v>
      </c>
      <c r="C60" s="19">
        <f>4664984+494000-C61</f>
        <v>5259926</v>
      </c>
      <c r="D60" s="21">
        <f>5166440-D61</f>
        <v>4797777</v>
      </c>
      <c r="E60" s="21">
        <f>5202918-E61</f>
        <v>4806277</v>
      </c>
      <c r="F60" s="21">
        <f>5395255-F61</f>
        <v>4624006</v>
      </c>
      <c r="G60" s="21">
        <f>5816822-G61</f>
        <v>5045573</v>
      </c>
      <c r="H60" s="21">
        <f>6301002-H61</f>
        <v>5337086</v>
      </c>
      <c r="I60" s="21">
        <f>6963741-I61</f>
        <v>5775830</v>
      </c>
      <c r="J60" s="21">
        <f>7283245-J61</f>
        <v>5864044</v>
      </c>
      <c r="K60" s="21">
        <f>8083519-K61</f>
        <v>6381816</v>
      </c>
      <c r="L60" s="7">
        <f t="shared" ref="L60:L63" si="48">RATE(5,,-F60,K60)</f>
        <v>6.6559719861592898E-2</v>
      </c>
      <c r="M60" s="1"/>
      <c r="N60" s="1" t="str">
        <f>A60</f>
        <v>Common Stock</v>
      </c>
      <c r="O60" s="7">
        <f t="shared" ref="O60:X63" si="49">B60/B$38</f>
        <v>0.2361199166143669</v>
      </c>
      <c r="P60" s="7">
        <f t="shared" si="49"/>
        <v>0.17868759048522076</v>
      </c>
      <c r="Q60" s="7">
        <f t="shared" si="49"/>
        <v>0.23745047111214934</v>
      </c>
      <c r="R60" s="7">
        <f t="shared" si="49"/>
        <v>0.23670594251824553</v>
      </c>
      <c r="S60" s="7">
        <f t="shared" si="49"/>
        <v>0.21502084174226177</v>
      </c>
      <c r="T60" s="7">
        <f t="shared" si="49"/>
        <v>0.22977928301157108</v>
      </c>
      <c r="U60" s="7">
        <f t="shared" si="49"/>
        <v>0.23019835428728577</v>
      </c>
      <c r="V60" s="7">
        <f t="shared" si="49"/>
        <v>0.23141739916609555</v>
      </c>
      <c r="W60" s="7">
        <f t="shared" si="49"/>
        <v>0.23172579772805307</v>
      </c>
      <c r="X60" s="7">
        <f t="shared" si="49"/>
        <v>0.23301768057108868</v>
      </c>
      <c r="Y60" s="7">
        <f t="shared" ref="Y60:Y63" si="50">SUM(F60:K60)/SUM(F$38:K$38)</f>
        <v>0.22888650855700146</v>
      </c>
      <c r="Z60" s="189"/>
    </row>
    <row r="61" spans="1:26">
      <c r="A61" s="1" t="s">
        <v>53</v>
      </c>
      <c r="B61" s="19">
        <f>-100942</f>
        <v>-100942</v>
      </c>
      <c r="C61" s="19">
        <f>-100942</f>
        <v>-100942</v>
      </c>
      <c r="D61" s="21">
        <f>368663</f>
        <v>368663</v>
      </c>
      <c r="E61" s="21">
        <f>396641</f>
        <v>396641</v>
      </c>
      <c r="F61" s="21">
        <f>771249</f>
        <v>771249</v>
      </c>
      <c r="G61" s="21">
        <f>771249</f>
        <v>771249</v>
      </c>
      <c r="H61" s="21">
        <f>963916</f>
        <v>963916</v>
      </c>
      <c r="I61" s="21">
        <v>1187911</v>
      </c>
      <c r="J61" s="21">
        <v>1419201</v>
      </c>
      <c r="K61" s="21">
        <v>1701703</v>
      </c>
      <c r="L61" s="7">
        <f t="shared" si="48"/>
        <v>0.17148796169689917</v>
      </c>
      <c r="M61" s="1"/>
      <c r="N61" s="1" t="str">
        <f>A61</f>
        <v>Retained Earnings</v>
      </c>
      <c r="O61" s="7">
        <f t="shared" si="49"/>
        <v>-3.5105237462715769E-3</v>
      </c>
      <c r="P61" s="7">
        <f t="shared" si="49"/>
        <v>-3.4291514288906635E-3</v>
      </c>
      <c r="Q61" s="7">
        <f t="shared" si="49"/>
        <v>1.8245784043655698E-2</v>
      </c>
      <c r="R61" s="7">
        <f t="shared" si="49"/>
        <v>1.9534305190146015E-2</v>
      </c>
      <c r="S61" s="7">
        <f t="shared" si="49"/>
        <v>3.5863839530674839E-2</v>
      </c>
      <c r="T61" s="7">
        <f t="shared" si="49"/>
        <v>3.5123273856783203E-2</v>
      </c>
      <c r="U61" s="7">
        <f t="shared" si="49"/>
        <v>4.1575473370896281E-2</v>
      </c>
      <c r="V61" s="7">
        <f t="shared" si="49"/>
        <v>4.7595457979337293E-2</v>
      </c>
      <c r="W61" s="7">
        <f t="shared" si="49"/>
        <v>5.608168763083133E-2</v>
      </c>
      <c r="X61" s="7">
        <f t="shared" si="49"/>
        <v>6.2133863790630024E-2</v>
      </c>
      <c r="Y61" s="7">
        <f t="shared" si="50"/>
        <v>4.7229538704740955E-2</v>
      </c>
      <c r="Z61" s="189"/>
    </row>
    <row r="62" spans="1:26">
      <c r="A62" s="1" t="s">
        <v>54</v>
      </c>
      <c r="B62" s="19">
        <f t="shared" ref="B62:H62" si="51">SUM(B59:B61)</f>
        <v>6688477</v>
      </c>
      <c r="C62" s="19">
        <f t="shared" si="51"/>
        <v>5158984</v>
      </c>
      <c r="D62" s="21">
        <f t="shared" si="51"/>
        <v>5166440</v>
      </c>
      <c r="E62" s="21">
        <f t="shared" si="51"/>
        <v>5202918</v>
      </c>
      <c r="F62" s="21">
        <f t="shared" si="51"/>
        <v>5395255</v>
      </c>
      <c r="G62" s="21">
        <f t="shared" si="51"/>
        <v>5816822</v>
      </c>
      <c r="H62" s="21">
        <f t="shared" si="51"/>
        <v>6301002</v>
      </c>
      <c r="I62" s="21">
        <f t="shared" ref="I62:J62" si="52">SUM(I59:I61)</f>
        <v>6963741</v>
      </c>
      <c r="J62" s="21">
        <f t="shared" si="52"/>
        <v>7283245</v>
      </c>
      <c r="K62" s="21">
        <f t="shared" ref="K62" si="53">SUM(K59:K61)</f>
        <v>8083519</v>
      </c>
      <c r="L62" s="7">
        <f t="shared" si="48"/>
        <v>8.4220707273507972E-2</v>
      </c>
      <c r="M62" s="1"/>
      <c r="N62" s="1" t="str">
        <f>A62</f>
        <v>Total Common Equity</v>
      </c>
      <c r="O62" s="7">
        <f t="shared" si="49"/>
        <v>0.23260939286809532</v>
      </c>
      <c r="P62" s="7">
        <f t="shared" si="49"/>
        <v>0.1752584390563301</v>
      </c>
      <c r="Q62" s="7">
        <f t="shared" si="49"/>
        <v>0.25569625515580502</v>
      </c>
      <c r="R62" s="7">
        <f t="shared" si="49"/>
        <v>0.25624024770839154</v>
      </c>
      <c r="S62" s="7">
        <f t="shared" si="49"/>
        <v>0.25088468127293662</v>
      </c>
      <c r="T62" s="7">
        <f t="shared" si="49"/>
        <v>0.26490255686835429</v>
      </c>
      <c r="U62" s="7">
        <f t="shared" si="49"/>
        <v>0.27177382765818203</v>
      </c>
      <c r="V62" s="7">
        <f t="shared" si="49"/>
        <v>0.27901285714543284</v>
      </c>
      <c r="W62" s="7">
        <f t="shared" si="49"/>
        <v>0.2878074853588844</v>
      </c>
      <c r="X62" s="7">
        <f t="shared" si="49"/>
        <v>0.2951515443617187</v>
      </c>
      <c r="Y62" s="7">
        <f t="shared" si="50"/>
        <v>0.27611604726174244</v>
      </c>
      <c r="Z62" s="189"/>
    </row>
    <row r="63" spans="1:26">
      <c r="A63" s="1" t="s">
        <v>55</v>
      </c>
      <c r="B63" s="19">
        <f t="shared" ref="B63:H63" si="54">B62+B55+B57</f>
        <v>28754114</v>
      </c>
      <c r="C63" s="19">
        <f t="shared" si="54"/>
        <v>29436437</v>
      </c>
      <c r="D63" s="21">
        <f t="shared" si="54"/>
        <v>20205380</v>
      </c>
      <c r="E63" s="21">
        <f t="shared" si="54"/>
        <v>20304843</v>
      </c>
      <c r="F63" s="21">
        <f t="shared" si="54"/>
        <v>21504920</v>
      </c>
      <c r="G63" s="21">
        <f t="shared" si="54"/>
        <v>21958346</v>
      </c>
      <c r="H63" s="21">
        <f t="shared" si="54"/>
        <v>23184727</v>
      </c>
      <c r="I63" s="21">
        <f t="shared" ref="I63:J63" si="55">I62+I55+I57</f>
        <v>24958495</v>
      </c>
      <c r="J63" s="21">
        <f t="shared" si="55"/>
        <v>25305961</v>
      </c>
      <c r="K63" s="21">
        <f t="shared" ref="K63" si="56">K62+K55+K57</f>
        <v>27387690</v>
      </c>
      <c r="L63" s="7">
        <f t="shared" si="48"/>
        <v>4.9550921886485584E-2</v>
      </c>
      <c r="M63" s="1"/>
      <c r="N63" s="1" t="s">
        <v>55</v>
      </c>
      <c r="O63" s="7">
        <f t="shared" si="49"/>
        <v>1</v>
      </c>
      <c r="P63" s="7">
        <f t="shared" si="49"/>
        <v>1</v>
      </c>
      <c r="Q63" s="7">
        <f t="shared" si="49"/>
        <v>1</v>
      </c>
      <c r="R63" s="7">
        <f t="shared" si="49"/>
        <v>1</v>
      </c>
      <c r="S63" s="7">
        <f t="shared" si="49"/>
        <v>1</v>
      </c>
      <c r="T63" s="7">
        <f t="shared" si="49"/>
        <v>1</v>
      </c>
      <c r="U63" s="7">
        <f t="shared" si="49"/>
        <v>1</v>
      </c>
      <c r="V63" s="7">
        <f t="shared" si="49"/>
        <v>1</v>
      </c>
      <c r="W63" s="7">
        <f t="shared" si="49"/>
        <v>1</v>
      </c>
      <c r="X63" s="7">
        <f t="shared" si="49"/>
        <v>1</v>
      </c>
      <c r="Y63" s="7">
        <f t="shared" si="50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26"/>
      <c r="J64" s="21"/>
      <c r="K64" s="2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2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Xcel Energy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Xcel Energy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10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10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10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10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57">B73+1</f>
        <v>2002</v>
      </c>
      <c r="D73" s="5">
        <f t="shared" si="57"/>
        <v>2003</v>
      </c>
      <c r="E73" s="5">
        <f t="shared" si="57"/>
        <v>2004</v>
      </c>
      <c r="F73" s="5">
        <f t="shared" si="57"/>
        <v>2005</v>
      </c>
      <c r="G73" s="5">
        <f t="shared" si="57"/>
        <v>2006</v>
      </c>
      <c r="H73" s="5">
        <f t="shared" si="57"/>
        <v>2007</v>
      </c>
      <c r="I73" s="5">
        <f>H73+1</f>
        <v>2008</v>
      </c>
      <c r="J73" s="162">
        <f>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58">B73</f>
        <v>2001</v>
      </c>
      <c r="P73" s="5">
        <f t="shared" si="58"/>
        <v>2002</v>
      </c>
      <c r="Q73" s="5">
        <f t="shared" si="58"/>
        <v>2003</v>
      </c>
      <c r="R73" s="5">
        <f t="shared" si="58"/>
        <v>2004</v>
      </c>
      <c r="S73" s="5">
        <f t="shared" si="58"/>
        <v>2005</v>
      </c>
      <c r="T73" s="5">
        <f t="shared" si="58"/>
        <v>2006</v>
      </c>
      <c r="U73" s="5">
        <f t="shared" si="58"/>
        <v>2007</v>
      </c>
      <c r="V73" s="5">
        <f t="shared" si="58"/>
        <v>2008</v>
      </c>
      <c r="W73" s="162">
        <f>J8</f>
        <v>2009</v>
      </c>
      <c r="X73" s="162">
        <f>K8</f>
        <v>2010</v>
      </c>
      <c r="Y73" s="10" t="s">
        <v>60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tr">
        <f t="shared" ref="N74:N76" si="59">+A74</f>
        <v>Operating Sales and Revenues: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9"/>
      <c r="C75" s="19">
        <f>5422498</f>
        <v>5422498</v>
      </c>
      <c r="D75" s="21">
        <f>5919938</f>
        <v>5919938</v>
      </c>
      <c r="E75" s="21">
        <f>6225245</f>
        <v>6225245</v>
      </c>
      <c r="F75" s="21">
        <f>7243637</f>
        <v>7243637</v>
      </c>
      <c r="G75" s="21">
        <f>7608018</f>
        <v>7608018</v>
      </c>
      <c r="H75" s="21">
        <f>7847992</f>
        <v>7847992</v>
      </c>
      <c r="I75" s="143">
        <v>8682993</v>
      </c>
      <c r="J75" s="143">
        <v>7704723</v>
      </c>
      <c r="K75" s="143">
        <v>8451845</v>
      </c>
      <c r="L75" s="7">
        <f t="shared" ref="L75:L78" si="60">RATE(5,,-F75,K75)</f>
        <v>3.1333130158158855E-2</v>
      </c>
      <c r="M75" s="1"/>
      <c r="N75" s="1" t="str">
        <f t="shared" si="59"/>
        <v>Electric</v>
      </c>
      <c r="O75" s="1"/>
      <c r="P75" s="1"/>
      <c r="Q75" s="1"/>
      <c r="R75" s="1"/>
      <c r="S75" s="7">
        <f t="shared" ref="S75:S76" si="61">F75/F$78</f>
        <v>0.75254836721338592</v>
      </c>
      <c r="T75" s="7">
        <f t="shared" ref="T75:T76" si="62">G75/G$78</f>
        <v>0.7731486750815828</v>
      </c>
      <c r="U75" s="7">
        <f t="shared" ref="U75:U76" si="63">H75/H$78</f>
        <v>0.7821266731578197</v>
      </c>
      <c r="V75" s="7">
        <f t="shared" ref="V75:V76" si="64">I75/I$78</f>
        <v>0.77504883445343442</v>
      </c>
      <c r="W75" s="7">
        <f t="shared" ref="W75:W76" si="65">J75/J$78</f>
        <v>0.79888852517387732</v>
      </c>
      <c r="X75" s="7">
        <f t="shared" ref="X75:X76" si="66">K75/K$78</f>
        <v>0.81969628977823283</v>
      </c>
      <c r="Y75" s="7">
        <f t="shared" ref="Y75:Y77" si="67">SUM(F75:K75)/SUM(F$78:K$78)</f>
        <v>0.7837206668818939</v>
      </c>
    </row>
    <row r="76" spans="1:25">
      <c r="A76" s="1" t="s">
        <v>64</v>
      </c>
      <c r="B76" s="19"/>
      <c r="C76" s="19">
        <f>1340699</f>
        <v>1340699</v>
      </c>
      <c r="D76" s="21">
        <f>1677768</f>
        <v>1677768</v>
      </c>
      <c r="E76" s="21">
        <f>1915514</f>
        <v>1915514</v>
      </c>
      <c r="F76" s="21">
        <f>2307385</f>
        <v>2307385</v>
      </c>
      <c r="G76" s="21">
        <f>2155999</f>
        <v>2155999</v>
      </c>
      <c r="H76" s="21">
        <f>2111732</f>
        <v>2111732</v>
      </c>
      <c r="I76" s="143">
        <v>2442988</v>
      </c>
      <c r="J76" s="143">
        <v>1865703</v>
      </c>
      <c r="K76" s="143">
        <v>1782582</v>
      </c>
      <c r="L76" s="7">
        <f t="shared" si="60"/>
        <v>-5.0301197560890749E-2</v>
      </c>
      <c r="M76" s="1"/>
      <c r="N76" s="1" t="str">
        <f t="shared" si="59"/>
        <v>Other Regulated Operations</v>
      </c>
      <c r="S76" s="7">
        <f t="shared" si="61"/>
        <v>0.23971643171553991</v>
      </c>
      <c r="T76" s="7">
        <f t="shared" si="62"/>
        <v>0.21909882052424395</v>
      </c>
      <c r="U76" s="7">
        <f t="shared" si="63"/>
        <v>0.21045407841405916</v>
      </c>
      <c r="V76" s="7">
        <f t="shared" si="64"/>
        <v>0.21806248167926967</v>
      </c>
      <c r="W76" s="7">
        <f t="shared" si="65"/>
        <v>0.19345130487916026</v>
      </c>
      <c r="X76" s="7">
        <f t="shared" si="66"/>
        <v>0.17288247141605906</v>
      </c>
      <c r="Y76" s="7">
        <f t="shared" si="67"/>
        <v>0.20881523381848274</v>
      </c>
    </row>
    <row r="77" spans="1:25">
      <c r="A77" s="1" t="s">
        <v>65</v>
      </c>
      <c r="B77" s="19"/>
      <c r="C77" s="19">
        <f>211048</f>
        <v>211048</v>
      </c>
      <c r="D77" s="21">
        <f>133561</f>
        <v>133561</v>
      </c>
      <c r="E77" s="21">
        <f>74802</f>
        <v>74802</v>
      </c>
      <c r="F77" s="21">
        <f>74455</f>
        <v>74455</v>
      </c>
      <c r="G77" s="21">
        <f>76287</f>
        <v>76287</v>
      </c>
      <c r="H77" s="21">
        <f>74446</f>
        <v>74446</v>
      </c>
      <c r="I77" s="143">
        <v>77175</v>
      </c>
      <c r="J77" s="143">
        <v>73877</v>
      </c>
      <c r="K77" s="143">
        <v>76520</v>
      </c>
      <c r="L77" s="7">
        <f t="shared" si="60"/>
        <v>5.4864414019376402E-3</v>
      </c>
      <c r="M77" s="1"/>
      <c r="N77" s="1" t="str">
        <f>+A77</f>
        <v>Non-Regulated Operations</v>
      </c>
      <c r="O77" s="7" t="e">
        <f t="shared" ref="O77:X78" si="68">B77/B$78</f>
        <v>#DIV/0!</v>
      </c>
      <c r="P77" s="7">
        <f t="shared" si="68"/>
        <v>3.0261053346993114E-2</v>
      </c>
      <c r="Q77" s="7">
        <f t="shared" si="68"/>
        <v>1.7275434931945825E-2</v>
      </c>
      <c r="R77" s="7">
        <f t="shared" si="68"/>
        <v>9.1049168766442114E-3</v>
      </c>
      <c r="S77" s="7">
        <f t="shared" si="68"/>
        <v>7.7352010710741922E-3</v>
      </c>
      <c r="T77" s="7">
        <f t="shared" si="68"/>
        <v>7.7525043941731884E-3</v>
      </c>
      <c r="U77" s="7">
        <f t="shared" si="68"/>
        <v>7.4192484281211104E-3</v>
      </c>
      <c r="V77" s="7">
        <f t="shared" si="68"/>
        <v>6.8886838672959656E-3</v>
      </c>
      <c r="W77" s="7">
        <f t="shared" si="68"/>
        <v>7.6601699469624708E-3</v>
      </c>
      <c r="X77" s="7">
        <f t="shared" si="68"/>
        <v>7.421238805708147E-3</v>
      </c>
      <c r="Y77" s="7">
        <f t="shared" si="67"/>
        <v>7.4640992996232985E-3</v>
      </c>
    </row>
    <row r="78" spans="1:25">
      <c r="A78" s="1" t="s">
        <v>67</v>
      </c>
      <c r="B78" s="19">
        <f t="shared" ref="B78:H78" si="69">SUM(B74:B77)</f>
        <v>0</v>
      </c>
      <c r="C78" s="19">
        <f t="shared" si="69"/>
        <v>6974245</v>
      </c>
      <c r="D78" s="21">
        <f t="shared" si="69"/>
        <v>7731267</v>
      </c>
      <c r="E78" s="21">
        <f t="shared" si="69"/>
        <v>8215561</v>
      </c>
      <c r="F78" s="21">
        <f t="shared" si="69"/>
        <v>9625477</v>
      </c>
      <c r="G78" s="21">
        <f t="shared" si="69"/>
        <v>9840304</v>
      </c>
      <c r="H78" s="21">
        <f t="shared" si="69"/>
        <v>10034170</v>
      </c>
      <c r="I78" s="21">
        <f t="shared" ref="I78:K78" si="70">SUM(I74:I77)</f>
        <v>11203156</v>
      </c>
      <c r="J78" s="21">
        <f t="shared" si="70"/>
        <v>9644303</v>
      </c>
      <c r="K78" s="21">
        <f t="shared" si="70"/>
        <v>10310947</v>
      </c>
      <c r="L78" s="7">
        <f t="shared" si="60"/>
        <v>1.3853626108307522E-2</v>
      </c>
      <c r="M78" s="1"/>
      <c r="N78" s="1" t="str">
        <f>+A78</f>
        <v>Total Revenues</v>
      </c>
      <c r="O78" s="7" t="e">
        <f t="shared" si="68"/>
        <v>#DIV/0!</v>
      </c>
      <c r="P78" s="7">
        <f t="shared" si="68"/>
        <v>1</v>
      </c>
      <c r="Q78" s="7">
        <f t="shared" si="68"/>
        <v>1</v>
      </c>
      <c r="R78" s="7">
        <f t="shared" si="68"/>
        <v>1</v>
      </c>
      <c r="S78" s="7">
        <f t="shared" si="68"/>
        <v>1</v>
      </c>
      <c r="T78" s="7">
        <f t="shared" si="68"/>
        <v>1</v>
      </c>
      <c r="U78" s="7">
        <f t="shared" si="68"/>
        <v>1</v>
      </c>
      <c r="V78" s="7">
        <f t="shared" si="68"/>
        <v>1</v>
      </c>
      <c r="W78" s="7">
        <f t="shared" si="68"/>
        <v>1</v>
      </c>
      <c r="X78" s="7">
        <f t="shared" si="68"/>
        <v>1</v>
      </c>
      <c r="Y78" s="7">
        <f>SUM(F78:K78)/SUM(F$78:K$78)</f>
        <v>1</v>
      </c>
    </row>
    <row r="79" spans="1:25">
      <c r="A79" s="1"/>
      <c r="B79" s="19"/>
      <c r="C79" s="19"/>
      <c r="D79" s="21"/>
      <c r="E79" s="21"/>
      <c r="F79" s="21"/>
      <c r="G79" s="21"/>
      <c r="H79" s="21"/>
      <c r="I79" s="21"/>
      <c r="J79" s="21"/>
      <c r="K79" s="2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9"/>
      <c r="C80" s="19"/>
      <c r="D80" s="21"/>
      <c r="E80" s="21"/>
      <c r="F80" s="21"/>
      <c r="G80" s="21"/>
      <c r="H80" s="21"/>
      <c r="I80" s="21"/>
      <c r="J80" s="21"/>
      <c r="K80" s="2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9"/>
      <c r="C81" s="19">
        <f>2197801</f>
        <v>2197801</v>
      </c>
      <c r="D81" s="21">
        <f>2705839</f>
        <v>2705839</v>
      </c>
      <c r="E81" s="21">
        <f>3040759</f>
        <v>3040759</v>
      </c>
      <c r="F81" s="21">
        <f>3922163</f>
        <v>3922163</v>
      </c>
      <c r="G81" s="21">
        <f>4103055</f>
        <v>4103055</v>
      </c>
      <c r="H81" s="21">
        <f>4136994</f>
        <v>4136994</v>
      </c>
      <c r="I81" s="21">
        <v>4947979</v>
      </c>
      <c r="J81" s="21">
        <v>3672490</v>
      </c>
      <c r="K81" s="21">
        <v>4010660</v>
      </c>
      <c r="L81" s="7">
        <f t="shared" ref="L81:L87" si="71">RATE(5,,-F81,K81)</f>
        <v>4.472477599550953E-3</v>
      </c>
      <c r="M81" s="1"/>
      <c r="N81" s="1" t="str">
        <f>A81</f>
        <v xml:space="preserve">   Purchased power</v>
      </c>
      <c r="O81" s="7" t="e">
        <f t="shared" ref="O81:X87" si="72">B81/B$78</f>
        <v>#DIV/0!</v>
      </c>
      <c r="P81" s="7">
        <f t="shared" si="72"/>
        <v>0.31513102851993297</v>
      </c>
      <c r="Q81" s="7">
        <f t="shared" si="72"/>
        <v>0.3499864899246139</v>
      </c>
      <c r="R81" s="7">
        <f t="shared" si="72"/>
        <v>0.37012189429303732</v>
      </c>
      <c r="S81" s="7">
        <f t="shared" si="72"/>
        <v>0.40747726060744832</v>
      </c>
      <c r="T81" s="7">
        <f t="shared" si="72"/>
        <v>0.41696425232391193</v>
      </c>
      <c r="U81" s="7">
        <f t="shared" si="72"/>
        <v>0.41229060300951648</v>
      </c>
      <c r="V81" s="7">
        <f t="shared" si="72"/>
        <v>0.44165938598016485</v>
      </c>
      <c r="W81" s="7">
        <f t="shared" si="72"/>
        <v>0.3807937183226201</v>
      </c>
      <c r="X81" s="7">
        <f t="shared" si="72"/>
        <v>0.38897106153295136</v>
      </c>
      <c r="Y81" s="7">
        <f t="shared" ref="Y81:Y101" si="73">SUM(F81:K81)/SUM(F$78:K$78)</f>
        <v>0.40873743085392172</v>
      </c>
    </row>
    <row r="82" spans="1:25">
      <c r="A82" s="1" t="s">
        <v>70</v>
      </c>
      <c r="B82" s="19"/>
      <c r="C82" s="19">
        <f>837702</f>
        <v>837702</v>
      </c>
      <c r="D82" s="21">
        <f>1190996</f>
        <v>1190996</v>
      </c>
      <c r="E82" s="21">
        <f>1445773</f>
        <v>1445773</v>
      </c>
      <c r="F82" s="21">
        <f>1823123</f>
        <v>1823123</v>
      </c>
      <c r="G82" s="21">
        <f>1644716</f>
        <v>1644716</v>
      </c>
      <c r="H82" s="21">
        <f>1547622</f>
        <v>1547622</v>
      </c>
      <c r="I82" s="21">
        <v>1832699</v>
      </c>
      <c r="J82" s="21">
        <v>1266440</v>
      </c>
      <c r="K82" s="21">
        <v>1162926</v>
      </c>
      <c r="L82" s="7">
        <f t="shared" si="71"/>
        <v>-8.5997840035672055E-2</v>
      </c>
      <c r="M82" s="1"/>
      <c r="N82" s="1" t="str">
        <f t="shared" ref="N82:N87" si="74">A82</f>
        <v xml:space="preserve">   Fuel</v>
      </c>
      <c r="O82" s="7" t="e">
        <f t="shared" si="72"/>
        <v>#DIV/0!</v>
      </c>
      <c r="P82" s="7">
        <f t="shared" si="72"/>
        <v>0.12011364671014568</v>
      </c>
      <c r="Q82" s="7">
        <f t="shared" si="72"/>
        <v>0.15404926514632078</v>
      </c>
      <c r="R82" s="7">
        <f t="shared" si="72"/>
        <v>0.17597982657544628</v>
      </c>
      <c r="S82" s="7">
        <f t="shared" si="72"/>
        <v>0.18940598995769248</v>
      </c>
      <c r="T82" s="7">
        <f t="shared" si="72"/>
        <v>0.16714077126072527</v>
      </c>
      <c r="U82" s="7">
        <f t="shared" si="72"/>
        <v>0.15423517839542283</v>
      </c>
      <c r="V82" s="7">
        <f t="shared" si="72"/>
        <v>0.16358774259681824</v>
      </c>
      <c r="W82" s="7">
        <f t="shared" si="72"/>
        <v>0.13131482907577666</v>
      </c>
      <c r="X82" s="7">
        <f t="shared" si="72"/>
        <v>0.11278556664096906</v>
      </c>
      <c r="Y82" s="7">
        <f t="shared" si="73"/>
        <v>0.1529472023121233</v>
      </c>
    </row>
    <row r="83" spans="1:25">
      <c r="A83" s="1" t="s">
        <v>71</v>
      </c>
      <c r="B83" s="19"/>
      <c r="C83" s="19">
        <f>1480955
+91421</f>
        <v>1572376</v>
      </c>
      <c r="D83" s="21">
        <f>1570492+53485</f>
        <v>1623977</v>
      </c>
      <c r="E83" s="21">
        <f>1591718+44109</f>
        <v>1635827</v>
      </c>
      <c r="F83" s="21">
        <f>1707665</f>
        <v>1707665</v>
      </c>
      <c r="G83" s="21">
        <f>1773526</f>
        <v>1773526</v>
      </c>
      <c r="H83" s="21">
        <f>1869215</f>
        <v>1869215</v>
      </c>
      <c r="I83" s="21">
        <f>117713+1777933</f>
        <v>1895646</v>
      </c>
      <c r="J83" s="21">
        <f>1908097+182112</f>
        <v>2090209</v>
      </c>
      <c r="K83" s="21">
        <f>2057249+239827</f>
        <v>2297076</v>
      </c>
      <c r="L83" s="7">
        <f t="shared" si="71"/>
        <v>6.1095657989693013E-2</v>
      </c>
      <c r="M83" s="1"/>
      <c r="N83" s="1" t="str">
        <f t="shared" si="74"/>
        <v xml:space="preserve">   Other operations and maintenance</v>
      </c>
      <c r="O83" s="7" t="e">
        <f t="shared" si="72"/>
        <v>#DIV/0!</v>
      </c>
      <c r="P83" s="7">
        <f t="shared" si="72"/>
        <v>0.2254546549483134</v>
      </c>
      <c r="Q83" s="7">
        <f t="shared" si="72"/>
        <v>0.21005315170204314</v>
      </c>
      <c r="R83" s="7">
        <f t="shared" si="72"/>
        <v>0.19911324375779085</v>
      </c>
      <c r="S83" s="7">
        <f t="shared" si="72"/>
        <v>0.17741094804963953</v>
      </c>
      <c r="T83" s="7">
        <f t="shared" si="72"/>
        <v>0.18023081400737212</v>
      </c>
      <c r="U83" s="7">
        <f t="shared" si="72"/>
        <v>0.18628496427706526</v>
      </c>
      <c r="V83" s="7">
        <f t="shared" si="72"/>
        <v>0.16920642718890999</v>
      </c>
      <c r="W83" s="7">
        <f t="shared" si="72"/>
        <v>0.21672991817034368</v>
      </c>
      <c r="X83" s="7">
        <f t="shared" si="72"/>
        <v>0.22278031300131793</v>
      </c>
      <c r="Y83" s="7">
        <f t="shared" si="73"/>
        <v>0.19178457141527919</v>
      </c>
    </row>
    <row r="84" spans="1:25">
      <c r="A84" s="1" t="s">
        <v>72</v>
      </c>
      <c r="B84" s="19"/>
      <c r="C84" s="19">
        <f>746561</f>
        <v>746561</v>
      </c>
      <c r="D84" s="21">
        <f>727307</f>
        <v>727307</v>
      </c>
      <c r="E84" s="21">
        <f>705955</f>
        <v>705955</v>
      </c>
      <c r="F84" s="21">
        <f>767321</f>
        <v>767321</v>
      </c>
      <c r="G84" s="21">
        <f>821898</f>
        <v>821898</v>
      </c>
      <c r="H84" s="21">
        <f>827173</f>
        <v>827173</v>
      </c>
      <c r="I84" s="21">
        <v>828379</v>
      </c>
      <c r="J84" s="21">
        <v>818052</v>
      </c>
      <c r="K84" s="21">
        <v>858882</v>
      </c>
      <c r="L84" s="7">
        <f t="shared" si="71"/>
        <v>2.2801328379853155E-2</v>
      </c>
      <c r="M84" s="1"/>
      <c r="N84" s="1" t="str">
        <f t="shared" si="74"/>
        <v xml:space="preserve">   Depreciation and amortization</v>
      </c>
      <c r="O84" s="7" t="e">
        <f t="shared" si="72"/>
        <v>#DIV/0!</v>
      </c>
      <c r="P84" s="7">
        <f t="shared" si="72"/>
        <v>0.10704542212096077</v>
      </c>
      <c r="Q84" s="7">
        <f t="shared" si="72"/>
        <v>9.4073455230559239E-2</v>
      </c>
      <c r="R84" s="7">
        <f t="shared" si="72"/>
        <v>8.592900716092304E-2</v>
      </c>
      <c r="S84" s="7">
        <f t="shared" si="72"/>
        <v>7.9717711652108253E-2</v>
      </c>
      <c r="T84" s="7">
        <f t="shared" si="72"/>
        <v>8.3523639107084491E-2</v>
      </c>
      <c r="U84" s="7">
        <f t="shared" si="72"/>
        <v>8.2435617495019514E-2</v>
      </c>
      <c r="V84" s="7">
        <f t="shared" si="72"/>
        <v>7.3941575034749144E-2</v>
      </c>
      <c r="W84" s="7">
        <f t="shared" si="72"/>
        <v>8.4822303903143645E-2</v>
      </c>
      <c r="X84" s="7">
        <f t="shared" si="72"/>
        <v>8.3298071457451967E-2</v>
      </c>
      <c r="Y84" s="7">
        <f t="shared" si="73"/>
        <v>8.1138119187765007E-2</v>
      </c>
    </row>
    <row r="85" spans="1:25">
      <c r="A85" s="1" t="s">
        <v>73</v>
      </c>
      <c r="B85" s="19"/>
      <c r="C85" s="19">
        <f>317247</f>
        <v>317247</v>
      </c>
      <c r="D85" s="21">
        <f>278034</f>
        <v>278034</v>
      </c>
      <c r="E85" s="21">
        <f>282775</f>
        <v>282775</v>
      </c>
      <c r="F85" s="21">
        <f>287810</f>
        <v>287810</v>
      </c>
      <c r="G85" s="21">
        <f>295727</f>
        <v>295727</v>
      </c>
      <c r="H85" s="21">
        <f>277723</f>
        <v>277723</v>
      </c>
      <c r="I85" s="21">
        <v>286580</v>
      </c>
      <c r="J85" s="21">
        <v>306433</v>
      </c>
      <c r="K85" s="21">
        <v>331894</v>
      </c>
      <c r="L85" s="7">
        <f t="shared" si="71"/>
        <v>2.8913118276475847E-2</v>
      </c>
      <c r="M85" s="1"/>
      <c r="N85" s="1" t="str">
        <f t="shared" si="74"/>
        <v xml:space="preserve">   Taxes, other than income taxes</v>
      </c>
      <c r="O85" s="7" t="e">
        <f t="shared" si="72"/>
        <v>#DIV/0!</v>
      </c>
      <c r="P85" s="7">
        <f t="shared" si="72"/>
        <v>4.5488364690371499E-2</v>
      </c>
      <c r="Q85" s="7">
        <f t="shared" si="72"/>
        <v>3.596228147339886E-2</v>
      </c>
      <c r="R85" s="7">
        <f t="shared" si="72"/>
        <v>3.4419438915979081E-2</v>
      </c>
      <c r="S85" s="7">
        <f t="shared" si="72"/>
        <v>2.9900855822521836E-2</v>
      </c>
      <c r="T85" s="7">
        <f t="shared" si="72"/>
        <v>3.0052628455381054E-2</v>
      </c>
      <c r="U85" s="7">
        <f t="shared" si="72"/>
        <v>2.7677725212947358E-2</v>
      </c>
      <c r="V85" s="7">
        <f t="shared" si="72"/>
        <v>2.5580291839192457E-2</v>
      </c>
      <c r="W85" s="7">
        <f t="shared" si="72"/>
        <v>3.1773472898974656E-2</v>
      </c>
      <c r="X85" s="7">
        <f t="shared" si="72"/>
        <v>3.2188508000283583E-2</v>
      </c>
      <c r="Y85" s="7">
        <f t="shared" si="73"/>
        <v>2.9446346527321865E-2</v>
      </c>
    </row>
    <row r="86" spans="1:25">
      <c r="A86" s="1" t="s">
        <v>74</v>
      </c>
      <c r="B86" s="19"/>
      <c r="C86" s="19">
        <f>19265
+109535</f>
        <v>128800</v>
      </c>
      <c r="D86" s="21">
        <f>80683</f>
        <v>80683</v>
      </c>
      <c r="E86" s="21">
        <f>28757</f>
        <v>28757</v>
      </c>
      <c r="F86" s="21">
        <f>24676</f>
        <v>24676</v>
      </c>
      <c r="G86" s="21">
        <f>24388</f>
        <v>24388</v>
      </c>
      <c r="H86" s="21">
        <f>24370</f>
        <v>24370</v>
      </c>
      <c r="I86" s="21">
        <v>21082</v>
      </c>
      <c r="J86" s="21">
        <v>22107</v>
      </c>
      <c r="K86" s="21">
        <v>29540</v>
      </c>
      <c r="L86" s="7">
        <f t="shared" si="71"/>
        <v>3.6638050529823253E-2</v>
      </c>
      <c r="M86" s="1"/>
      <c r="N86" s="1" t="str">
        <f t="shared" si="74"/>
        <v xml:space="preserve">   Other Operating Expenses</v>
      </c>
      <c r="O86" s="7" t="e">
        <f t="shared" si="72"/>
        <v>#DIV/0!</v>
      </c>
      <c r="P86" s="7">
        <f t="shared" si="72"/>
        <v>1.8467948860414283E-2</v>
      </c>
      <c r="Q86" s="7">
        <f t="shared" si="72"/>
        <v>1.0435935015567306E-2</v>
      </c>
      <c r="R86" s="7">
        <f t="shared" si="72"/>
        <v>3.5003087433712683E-3</v>
      </c>
      <c r="S86" s="7">
        <f t="shared" si="72"/>
        <v>2.5636132110647609E-3</v>
      </c>
      <c r="T86" s="7">
        <f t="shared" si="72"/>
        <v>2.4783787167550922E-3</v>
      </c>
      <c r="U86" s="7">
        <f t="shared" si="72"/>
        <v>2.4287011282447877E-3</v>
      </c>
      <c r="V86" s="7">
        <f t="shared" si="72"/>
        <v>1.8817911667033825E-3</v>
      </c>
      <c r="W86" s="7">
        <f t="shared" si="72"/>
        <v>2.2922340785020961E-3</v>
      </c>
      <c r="X86" s="7">
        <f t="shared" si="72"/>
        <v>2.8649162875146192E-3</v>
      </c>
      <c r="Y86" s="7">
        <f t="shared" si="73"/>
        <v>2.4096102701891514E-3</v>
      </c>
    </row>
    <row r="87" spans="1:25">
      <c r="A87" s="1" t="s">
        <v>75</v>
      </c>
      <c r="B87" s="19">
        <f t="shared" ref="B87:H87" si="75">SUM(B80:B86)</f>
        <v>0</v>
      </c>
      <c r="C87" s="19">
        <f t="shared" si="75"/>
        <v>5800487</v>
      </c>
      <c r="D87" s="21">
        <f t="shared" si="75"/>
        <v>6606836</v>
      </c>
      <c r="E87" s="21">
        <f t="shared" si="75"/>
        <v>7139846</v>
      </c>
      <c r="F87" s="21">
        <f t="shared" si="75"/>
        <v>8532758</v>
      </c>
      <c r="G87" s="21">
        <f t="shared" si="75"/>
        <v>8663310</v>
      </c>
      <c r="H87" s="21">
        <f t="shared" si="75"/>
        <v>8683097</v>
      </c>
      <c r="I87" s="21">
        <f>SUM(I81:I86)</f>
        <v>9812365</v>
      </c>
      <c r="J87" s="21">
        <f>SUM(J81:J86)</f>
        <v>8175731</v>
      </c>
      <c r="K87" s="21">
        <f>SUM(K81:K86)</f>
        <v>8690978</v>
      </c>
      <c r="L87" s="7">
        <f t="shared" si="71"/>
        <v>3.6813269856594269E-3</v>
      </c>
      <c r="M87" s="1"/>
      <c r="N87" s="1" t="str">
        <f t="shared" si="74"/>
        <v>Total Operating Expenses</v>
      </c>
      <c r="O87" s="7" t="e">
        <f t="shared" si="72"/>
        <v>#DIV/0!</v>
      </c>
      <c r="P87" s="7">
        <f t="shared" si="72"/>
        <v>0.83170106585013859</v>
      </c>
      <c r="Q87" s="7">
        <f t="shared" si="72"/>
        <v>0.85456057849250322</v>
      </c>
      <c r="R87" s="7">
        <f t="shared" si="72"/>
        <v>0.86906371944654781</v>
      </c>
      <c r="S87" s="7">
        <f t="shared" si="72"/>
        <v>0.88647637930047518</v>
      </c>
      <c r="T87" s="7">
        <f t="shared" si="72"/>
        <v>0.88039048387122998</v>
      </c>
      <c r="U87" s="7">
        <f t="shared" si="72"/>
        <v>0.86535278951821626</v>
      </c>
      <c r="V87" s="7">
        <f t="shared" si="72"/>
        <v>0.87585721380653814</v>
      </c>
      <c r="W87" s="7">
        <f t="shared" si="72"/>
        <v>0.84772647644936083</v>
      </c>
      <c r="X87" s="7">
        <f t="shared" si="72"/>
        <v>0.84288843692048854</v>
      </c>
      <c r="Y87" s="7">
        <f t="shared" si="73"/>
        <v>0.86646328056660027</v>
      </c>
    </row>
    <row r="88" spans="1:25">
      <c r="A88" s="1" t="s">
        <v>76</v>
      </c>
      <c r="B88" s="19"/>
      <c r="C88" s="19"/>
      <c r="D88" s="21"/>
      <c r="E88" s="21"/>
      <c r="F88" s="21"/>
      <c r="G88" s="21"/>
      <c r="H88" s="21"/>
      <c r="I88" s="21"/>
      <c r="J88" s="21"/>
      <c r="K88" s="21"/>
      <c r="L88" s="7"/>
      <c r="M88" s="1"/>
      <c r="N88" s="1" t="str">
        <f t="shared" ref="N88:N90" si="76">A88</f>
        <v xml:space="preserve">  Electric Earnings from Operations</v>
      </c>
      <c r="O88" s="7" t="e">
        <f t="shared" ref="O88:O90" si="77">B88/B$78</f>
        <v>#DIV/0!</v>
      </c>
      <c r="P88" s="7">
        <f t="shared" ref="P88:P90" si="78">C88/C$78</f>
        <v>0</v>
      </c>
      <c r="Q88" s="7">
        <f t="shared" ref="Q88:Q90" si="79">D88/D$78</f>
        <v>0</v>
      </c>
      <c r="R88" s="7">
        <f t="shared" ref="R88:R90" si="80">E88/E$78</f>
        <v>0</v>
      </c>
      <c r="S88" s="7">
        <f t="shared" ref="S88:S90" si="81">F88/F$78</f>
        <v>0</v>
      </c>
      <c r="T88" s="7">
        <f t="shared" ref="T88:T90" si="82">G88/G$78</f>
        <v>0</v>
      </c>
      <c r="U88" s="7">
        <f t="shared" ref="U88:U90" si="83">H88/H$78</f>
        <v>0</v>
      </c>
      <c r="V88" s="7">
        <f t="shared" ref="V88:V90" si="84">I88/I$78</f>
        <v>0</v>
      </c>
      <c r="W88" s="7">
        <f t="shared" ref="W88:W90" si="85">J88/J$78</f>
        <v>0</v>
      </c>
      <c r="X88" s="7">
        <f t="shared" ref="X88:X90" si="86">K88/K$78</f>
        <v>0</v>
      </c>
      <c r="Y88" s="7">
        <f t="shared" si="73"/>
        <v>0</v>
      </c>
    </row>
    <row r="89" spans="1:25">
      <c r="A89" s="1" t="s">
        <v>77</v>
      </c>
      <c r="B89" s="19"/>
      <c r="C89" s="19"/>
      <c r="D89" s="21"/>
      <c r="E89" s="21"/>
      <c r="F89" s="21"/>
      <c r="G89" s="21"/>
      <c r="H89" s="21"/>
      <c r="I89" s="21"/>
      <c r="J89" s="21"/>
      <c r="K89" s="21"/>
      <c r="L89" s="7"/>
      <c r="M89" s="1"/>
      <c r="N89" s="1" t="str">
        <f t="shared" si="76"/>
        <v xml:space="preserve">  Other Regulated Operating Earnings</v>
      </c>
      <c r="O89" s="7" t="e">
        <f t="shared" si="77"/>
        <v>#DIV/0!</v>
      </c>
      <c r="P89" s="7">
        <f t="shared" si="78"/>
        <v>0</v>
      </c>
      <c r="Q89" s="7">
        <f t="shared" si="79"/>
        <v>0</v>
      </c>
      <c r="R89" s="7">
        <f t="shared" si="80"/>
        <v>0</v>
      </c>
      <c r="S89" s="7">
        <f t="shared" si="81"/>
        <v>0</v>
      </c>
      <c r="T89" s="7">
        <f t="shared" si="82"/>
        <v>0</v>
      </c>
      <c r="U89" s="7">
        <f t="shared" si="83"/>
        <v>0</v>
      </c>
      <c r="V89" s="7">
        <f t="shared" si="84"/>
        <v>0</v>
      </c>
      <c r="W89" s="7">
        <f t="shared" si="85"/>
        <v>0</v>
      </c>
      <c r="X89" s="7">
        <f t="shared" si="86"/>
        <v>0</v>
      </c>
      <c r="Y89" s="7">
        <f t="shared" si="73"/>
        <v>0</v>
      </c>
    </row>
    <row r="90" spans="1:25">
      <c r="A90" s="1" t="s">
        <v>78</v>
      </c>
      <c r="B90" s="19">
        <f t="shared" ref="B90:H90" si="87">B78-B87</f>
        <v>0</v>
      </c>
      <c r="C90" s="19">
        <f>C78-C87</f>
        <v>1173758</v>
      </c>
      <c r="D90" s="21">
        <f t="shared" si="87"/>
        <v>1124431</v>
      </c>
      <c r="E90" s="21">
        <f t="shared" si="87"/>
        <v>1075715</v>
      </c>
      <c r="F90" s="21">
        <f t="shared" si="87"/>
        <v>1092719</v>
      </c>
      <c r="G90" s="21">
        <f t="shared" si="87"/>
        <v>1176994</v>
      </c>
      <c r="H90" s="21">
        <f t="shared" si="87"/>
        <v>1351073</v>
      </c>
      <c r="I90" s="21">
        <f>I78-I87+I88</f>
        <v>1390791</v>
      </c>
      <c r="J90" s="21">
        <f>J78-J87</f>
        <v>1468572</v>
      </c>
      <c r="K90" s="21">
        <f>K78-K87</f>
        <v>1619969</v>
      </c>
      <c r="L90" s="7">
        <f>RATE(5,,-F90,K90)</f>
        <v>8.1931192521862567E-2</v>
      </c>
      <c r="M90" s="1"/>
      <c r="N90" s="1" t="str">
        <f t="shared" si="76"/>
        <v>Total Earnings From Operations</v>
      </c>
      <c r="O90" s="7" t="e">
        <f t="shared" si="77"/>
        <v>#DIV/0!</v>
      </c>
      <c r="P90" s="7">
        <f t="shared" si="78"/>
        <v>0.16829893414986138</v>
      </c>
      <c r="Q90" s="7">
        <f t="shared" si="79"/>
        <v>0.14543942150749675</v>
      </c>
      <c r="R90" s="7">
        <f t="shared" si="80"/>
        <v>0.13093628055345216</v>
      </c>
      <c r="S90" s="7">
        <f t="shared" si="81"/>
        <v>0.11352362069952482</v>
      </c>
      <c r="T90" s="7">
        <f t="shared" si="82"/>
        <v>0.11960951612877001</v>
      </c>
      <c r="U90" s="7">
        <f t="shared" si="83"/>
        <v>0.13464721048178374</v>
      </c>
      <c r="V90" s="7">
        <f t="shared" si="84"/>
        <v>0.12414278619346192</v>
      </c>
      <c r="W90" s="7">
        <f t="shared" si="85"/>
        <v>0.15227352355063917</v>
      </c>
      <c r="X90" s="7">
        <f t="shared" si="86"/>
        <v>0.15711156307951152</v>
      </c>
      <c r="Y90" s="7">
        <f t="shared" si="73"/>
        <v>0.13353671943339976</v>
      </c>
    </row>
    <row r="91" spans="1:25">
      <c r="A91" s="1"/>
      <c r="B91" s="19"/>
      <c r="C91" s="19"/>
      <c r="D91" s="21"/>
      <c r="E91" s="21"/>
      <c r="F91" s="21"/>
      <c r="G91" s="21"/>
      <c r="H91" s="21"/>
      <c r="I91" s="21"/>
      <c r="J91" s="21"/>
      <c r="K91" s="2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</row>
    <row r="92" spans="1:25">
      <c r="A92" s="1" t="s">
        <v>79</v>
      </c>
      <c r="B92" s="19"/>
      <c r="C92" s="19">
        <f>421120</f>
        <v>421120</v>
      </c>
      <c r="D92" s="21">
        <f>451019</f>
        <v>451019</v>
      </c>
      <c r="E92" s="21">
        <f>434480</f>
        <v>434480</v>
      </c>
      <c r="F92" s="21">
        <f>442626</f>
        <v>442626</v>
      </c>
      <c r="G92" s="21">
        <f>456032</f>
        <v>456032</v>
      </c>
      <c r="H92" s="21">
        <f>528845</f>
        <v>528845</v>
      </c>
      <c r="I92" s="21">
        <v>513881</v>
      </c>
      <c r="J92" s="21">
        <f>561654-39799</f>
        <v>521855</v>
      </c>
      <c r="K92" s="21">
        <f>577291-28670</f>
        <v>548621</v>
      </c>
      <c r="L92" s="7">
        <f t="shared" ref="L92:L93" si="88">RATE(5,,-F92,K92)</f>
        <v>4.3871646012582852E-2</v>
      </c>
      <c r="M92" s="1"/>
      <c r="N92" s="1" t="str">
        <f>A92</f>
        <v xml:space="preserve">   Interest expense (net)</v>
      </c>
      <c r="O92" s="7" t="e">
        <f t="shared" ref="O92:X96" si="89">B92/B$78</f>
        <v>#DIV/0!</v>
      </c>
      <c r="P92" s="7">
        <f t="shared" si="89"/>
        <v>6.0382163230571911E-2</v>
      </c>
      <c r="Q92" s="7">
        <f t="shared" si="89"/>
        <v>5.8337009962273971E-2</v>
      </c>
      <c r="R92" s="7">
        <f t="shared" si="89"/>
        <v>5.2885006879018974E-2</v>
      </c>
      <c r="S92" s="7">
        <f t="shared" si="89"/>
        <v>4.5984837946212949E-2</v>
      </c>
      <c r="T92" s="7">
        <f t="shared" si="89"/>
        <v>4.6343283703430299E-2</v>
      </c>
      <c r="U92" s="7">
        <f t="shared" si="89"/>
        <v>5.2704409034329693E-2</v>
      </c>
      <c r="V92" s="7">
        <f t="shared" si="89"/>
        <v>4.5869306827468974E-2</v>
      </c>
      <c r="W92" s="7">
        <f t="shared" si="89"/>
        <v>5.4110182975379353E-2</v>
      </c>
      <c r="X92" s="7">
        <f t="shared" si="89"/>
        <v>5.3207624867046645E-2</v>
      </c>
      <c r="Y92" s="7">
        <f t="shared" si="73"/>
        <v>4.9652845031724152E-2</v>
      </c>
    </row>
    <row r="93" spans="1:25">
      <c r="A93" s="1" t="s">
        <v>80</v>
      </c>
      <c r="B93" s="19"/>
      <c r="C93" s="19">
        <f>-(36803
+7793)</f>
        <v>-44596</v>
      </c>
      <c r="D93" s="21">
        <f>-(-5234+25338)</f>
        <v>-20104</v>
      </c>
      <c r="E93" s="21">
        <f>-(9316+33648)</f>
        <v>-42964</v>
      </c>
      <c r="F93" s="21">
        <f>-(857+21627)</f>
        <v>-22484</v>
      </c>
      <c r="G93" s="21">
        <f>-(4085+25045)</f>
        <v>-29130</v>
      </c>
      <c r="H93" s="21">
        <f>-(10948+37207)</f>
        <v>-48155</v>
      </c>
      <c r="I93" s="21">
        <f>-43977-63519</f>
        <v>-107496</v>
      </c>
      <c r="J93" s="21">
        <f>-9771-24664-75686</f>
        <v>-110121</v>
      </c>
      <c r="K93" s="21">
        <f>-31143-29948-56152</f>
        <v>-117243</v>
      </c>
      <c r="L93" s="7">
        <f t="shared" si="88"/>
        <v>0.39137010925744736</v>
      </c>
      <c r="M93" s="1"/>
      <c r="N93" s="1" t="str">
        <f>A93</f>
        <v xml:space="preserve">   Interest income</v>
      </c>
      <c r="O93" s="7" t="e">
        <f t="shared" si="89"/>
        <v>#DIV/0!</v>
      </c>
      <c r="P93" s="7">
        <f t="shared" si="89"/>
        <v>-6.3943839082223237E-3</v>
      </c>
      <c r="Q93" s="7">
        <f t="shared" si="89"/>
        <v>-2.6003499814454731E-3</v>
      </c>
      <c r="R93" s="7">
        <f t="shared" si="89"/>
        <v>-5.2295880950795695E-3</v>
      </c>
      <c r="S93" s="7">
        <f t="shared" si="89"/>
        <v>-2.3358842372175424E-3</v>
      </c>
      <c r="T93" s="7">
        <f t="shared" si="89"/>
        <v>-2.9602743980267276E-3</v>
      </c>
      <c r="U93" s="7">
        <f t="shared" si="89"/>
        <v>-4.7991014702760664E-3</v>
      </c>
      <c r="V93" s="7">
        <f t="shared" si="89"/>
        <v>-9.5951533657123046E-3</v>
      </c>
      <c r="W93" s="7">
        <f t="shared" si="89"/>
        <v>-1.1418243495667857E-2</v>
      </c>
      <c r="X93" s="7">
        <f t="shared" si="89"/>
        <v>-1.1370730544924729E-2</v>
      </c>
      <c r="Y93" s="7">
        <f t="shared" si="73"/>
        <v>-7.1651957206819829E-3</v>
      </c>
    </row>
    <row r="94" spans="1:25">
      <c r="A94" s="1" t="s">
        <v>81</v>
      </c>
      <c r="B94" s="19"/>
      <c r="C94" s="19"/>
      <c r="D94" s="21"/>
      <c r="E94" s="21"/>
      <c r="F94" s="21"/>
      <c r="G94" s="21"/>
      <c r="H94" s="21"/>
      <c r="I94" s="21"/>
      <c r="J94" s="21"/>
      <c r="K94" s="21"/>
      <c r="L94" s="7"/>
      <c r="M94" s="1"/>
      <c r="N94" s="1" t="str">
        <f>A94</f>
        <v xml:space="preserve">   Loss (Gain) on Sale of Assets</v>
      </c>
      <c r="O94" s="7" t="e">
        <f t="shared" si="89"/>
        <v>#DIV/0!</v>
      </c>
      <c r="P94" s="7">
        <f t="shared" si="89"/>
        <v>0</v>
      </c>
      <c r="Q94" s="7">
        <f t="shared" si="89"/>
        <v>0</v>
      </c>
      <c r="R94" s="7">
        <f t="shared" si="89"/>
        <v>0</v>
      </c>
      <c r="S94" s="7">
        <f t="shared" si="89"/>
        <v>0</v>
      </c>
      <c r="T94" s="7">
        <f t="shared" si="89"/>
        <v>0</v>
      </c>
      <c r="U94" s="7">
        <f t="shared" si="89"/>
        <v>0</v>
      </c>
      <c r="V94" s="7">
        <f t="shared" si="89"/>
        <v>0</v>
      </c>
      <c r="W94" s="7">
        <f t="shared" si="89"/>
        <v>0</v>
      </c>
      <c r="X94" s="7">
        <f t="shared" si="89"/>
        <v>0</v>
      </c>
      <c r="Y94" s="7">
        <f t="shared" si="73"/>
        <v>0</v>
      </c>
    </row>
    <row r="95" spans="1:25">
      <c r="A95" s="1" t="s">
        <v>157</v>
      </c>
      <c r="B95" s="19"/>
      <c r="C95" s="19">
        <f>2769379</f>
        <v>2769379</v>
      </c>
      <c r="D95" s="21"/>
      <c r="E95" s="21"/>
      <c r="F95" s="21"/>
      <c r="G95" s="21"/>
      <c r="H95" s="21"/>
      <c r="I95" s="21"/>
      <c r="J95" s="21"/>
      <c r="K95" s="21"/>
      <c r="L95" s="7"/>
      <c r="M95" s="1"/>
      <c r="N95" s="1" t="str">
        <f>A95</f>
        <v xml:space="preserve">   Other (Income) Expense</v>
      </c>
      <c r="O95" s="7" t="e">
        <f t="shared" si="89"/>
        <v>#DIV/0!</v>
      </c>
      <c r="P95" s="7">
        <f t="shared" si="89"/>
        <v>0.39708656635951273</v>
      </c>
      <c r="Q95" s="7">
        <f t="shared" si="89"/>
        <v>0</v>
      </c>
      <c r="R95" s="7">
        <f t="shared" si="89"/>
        <v>0</v>
      </c>
      <c r="S95" s="7">
        <f t="shared" si="89"/>
        <v>0</v>
      </c>
      <c r="T95" s="7">
        <f t="shared" si="89"/>
        <v>0</v>
      </c>
      <c r="U95" s="7">
        <f t="shared" si="89"/>
        <v>0</v>
      </c>
      <c r="V95" s="7">
        <f t="shared" si="89"/>
        <v>0</v>
      </c>
      <c r="W95" s="7">
        <f t="shared" si="89"/>
        <v>0</v>
      </c>
      <c r="X95" s="7">
        <f t="shared" si="89"/>
        <v>0</v>
      </c>
      <c r="Y95" s="7">
        <f t="shared" si="73"/>
        <v>0</v>
      </c>
    </row>
    <row r="96" spans="1:25">
      <c r="A96" s="1" t="s">
        <v>83</v>
      </c>
      <c r="B96" s="19">
        <f t="shared" ref="B96:I96" si="90">SUM(B92:B95)</f>
        <v>0</v>
      </c>
      <c r="C96" s="19">
        <f t="shared" si="90"/>
        <v>3145903</v>
      </c>
      <c r="D96" s="21">
        <f t="shared" si="90"/>
        <v>430915</v>
      </c>
      <c r="E96" s="21">
        <f t="shared" si="90"/>
        <v>391516</v>
      </c>
      <c r="F96" s="21">
        <f t="shared" si="90"/>
        <v>420142</v>
      </c>
      <c r="G96" s="21">
        <f>SUM(G92:G95)</f>
        <v>426902</v>
      </c>
      <c r="H96" s="21">
        <f t="shared" si="90"/>
        <v>480690</v>
      </c>
      <c r="I96" s="21">
        <f t="shared" si="90"/>
        <v>406385</v>
      </c>
      <c r="J96" s="21">
        <f>SUM(J92:J95)</f>
        <v>411734</v>
      </c>
      <c r="K96" s="21">
        <f>SUM(K92:K95)</f>
        <v>431378</v>
      </c>
      <c r="L96" s="7">
        <f>RATE(5,,-F96,K96)</f>
        <v>5.2923525872387673E-3</v>
      </c>
      <c r="M96" s="1"/>
      <c r="N96" s="1" t="str">
        <f>A96</f>
        <v>Total Other Income/Expense</v>
      </c>
      <c r="O96" s="7" t="e">
        <f t="shared" si="89"/>
        <v>#DIV/0!</v>
      </c>
      <c r="P96" s="7">
        <f t="shared" si="89"/>
        <v>0.45107434568186233</v>
      </c>
      <c r="Q96" s="7">
        <f t="shared" si="89"/>
        <v>5.5736659980828496E-2</v>
      </c>
      <c r="R96" s="7">
        <f t="shared" si="89"/>
        <v>4.7655418783939404E-2</v>
      </c>
      <c r="S96" s="7">
        <f t="shared" si="89"/>
        <v>4.3648953708995408E-2</v>
      </c>
      <c r="T96" s="7">
        <f t="shared" si="89"/>
        <v>4.3383009305403571E-2</v>
      </c>
      <c r="U96" s="7">
        <f t="shared" si="89"/>
        <v>4.7905307564053631E-2</v>
      </c>
      <c r="V96" s="7">
        <f t="shared" si="89"/>
        <v>3.6274153461756671E-2</v>
      </c>
      <c r="W96" s="7">
        <f t="shared" si="89"/>
        <v>4.2691939479711491E-2</v>
      </c>
      <c r="X96" s="7">
        <f t="shared" si="89"/>
        <v>4.1836894322121919E-2</v>
      </c>
      <c r="Y96" s="7">
        <f t="shared" si="73"/>
        <v>4.2487649311042174E-2</v>
      </c>
    </row>
    <row r="97" spans="1:25">
      <c r="A97" s="1"/>
      <c r="B97" s="19"/>
      <c r="C97" s="19"/>
      <c r="D97" s="21"/>
      <c r="E97" s="21"/>
      <c r="F97" s="21"/>
      <c r="G97" s="21"/>
      <c r="H97" s="21"/>
      <c r="I97" s="21"/>
      <c r="J97" s="21"/>
      <c r="K97" s="2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</row>
    <row r="98" spans="1:25">
      <c r="A98" s="1" t="s">
        <v>84</v>
      </c>
      <c r="B98" s="19">
        <f t="shared" ref="B98:H98" si="91">B90-B96</f>
        <v>0</v>
      </c>
      <c r="C98" s="19">
        <f t="shared" si="91"/>
        <v>-1972145</v>
      </c>
      <c r="D98" s="21">
        <f t="shared" si="91"/>
        <v>693516</v>
      </c>
      <c r="E98" s="21">
        <f t="shared" si="91"/>
        <v>684199</v>
      </c>
      <c r="F98" s="21">
        <f t="shared" si="91"/>
        <v>672577</v>
      </c>
      <c r="G98" s="21">
        <f t="shared" si="91"/>
        <v>750092</v>
      </c>
      <c r="H98" s="21">
        <f t="shared" si="91"/>
        <v>870383</v>
      </c>
      <c r="I98" s="21">
        <f>I90-I96</f>
        <v>984406</v>
      </c>
      <c r="J98" s="21">
        <f>J90-J96</f>
        <v>1056838</v>
      </c>
      <c r="K98" s="21">
        <f>K90-K96</f>
        <v>1188591</v>
      </c>
      <c r="L98" s="7">
        <f t="shared" ref="L98:L101" si="92">RATE(5,,-F98,K98)</f>
        <v>0.12061926712608047</v>
      </c>
      <c r="M98" s="1"/>
      <c r="N98" s="1" t="s">
        <v>84</v>
      </c>
      <c r="O98" s="7" t="e">
        <f t="shared" ref="O98:X101" si="93">B98/B$78</f>
        <v>#DIV/0!</v>
      </c>
      <c r="P98" s="7">
        <f t="shared" si="93"/>
        <v>-0.28277541153200098</v>
      </c>
      <c r="Q98" s="7">
        <f t="shared" si="93"/>
        <v>8.970276152666827E-2</v>
      </c>
      <c r="R98" s="7">
        <f t="shared" si="93"/>
        <v>8.3280861769512757E-2</v>
      </c>
      <c r="S98" s="7">
        <f t="shared" si="93"/>
        <v>6.987466699052941E-2</v>
      </c>
      <c r="T98" s="7">
        <f t="shared" si="93"/>
        <v>7.622650682336643E-2</v>
      </c>
      <c r="U98" s="7">
        <f t="shared" si="93"/>
        <v>8.674190291773011E-2</v>
      </c>
      <c r="V98" s="7">
        <f t="shared" si="93"/>
        <v>8.786863273170524E-2</v>
      </c>
      <c r="W98" s="7">
        <f t="shared" si="93"/>
        <v>0.10958158407092768</v>
      </c>
      <c r="X98" s="7">
        <f t="shared" si="93"/>
        <v>0.11527466875738959</v>
      </c>
      <c r="Y98" s="7">
        <f t="shared" si="73"/>
        <v>9.1049070122357578E-2</v>
      </c>
    </row>
    <row r="99" spans="1:25">
      <c r="A99" s="1" t="s">
        <v>85</v>
      </c>
      <c r="B99" s="19"/>
      <c r="C99" s="19"/>
      <c r="D99" s="21">
        <v>99568</v>
      </c>
      <c r="E99" s="21">
        <v>-166303</v>
      </c>
      <c r="F99" s="21">
        <v>13934</v>
      </c>
      <c r="G99" s="21">
        <v>3073</v>
      </c>
      <c r="H99" s="21">
        <v>1449</v>
      </c>
      <c r="I99" s="21">
        <v>-166</v>
      </c>
      <c r="J99" s="21">
        <v>-4637</v>
      </c>
      <c r="K99" s="21">
        <v>3878</v>
      </c>
      <c r="L99" s="7">
        <f t="shared" si="92"/>
        <v>-0.22570509825938095</v>
      </c>
      <c r="M99" s="1"/>
      <c r="N99" s="1" t="str">
        <f>A99</f>
        <v>Extraordinary Items</v>
      </c>
      <c r="O99" s="7" t="e">
        <f t="shared" si="93"/>
        <v>#DIV/0!</v>
      </c>
      <c r="P99" s="7">
        <f t="shared" si="93"/>
        <v>0</v>
      </c>
      <c r="Q99" s="7">
        <f t="shared" si="93"/>
        <v>1.2878613557131062E-2</v>
      </c>
      <c r="R99" s="7">
        <f t="shared" si="93"/>
        <v>-2.0242439925891854E-2</v>
      </c>
      <c r="S99" s="7">
        <f t="shared" si="93"/>
        <v>1.4476165700671249E-3</v>
      </c>
      <c r="T99" s="7">
        <f t="shared" si="93"/>
        <v>3.1228710007333109E-4</v>
      </c>
      <c r="U99" s="7">
        <f t="shared" si="93"/>
        <v>1.4440656277499783E-4</v>
      </c>
      <c r="V99" s="7">
        <f t="shared" si="93"/>
        <v>-1.4817253281128996E-5</v>
      </c>
      <c r="W99" s="7">
        <f t="shared" si="93"/>
        <v>-4.8080198226870311E-4</v>
      </c>
      <c r="X99" s="7">
        <f t="shared" si="93"/>
        <v>3.7610512400073438E-4</v>
      </c>
      <c r="Y99" s="7">
        <f t="shared" si="73"/>
        <v>2.8901211419227858E-4</v>
      </c>
    </row>
    <row r="100" spans="1:25">
      <c r="A100" s="1" t="s">
        <v>86</v>
      </c>
      <c r="B100" s="19"/>
      <c r="C100" s="19">
        <f>245846</f>
        <v>245846</v>
      </c>
      <c r="D100" s="21">
        <f>170692</f>
        <v>170692</v>
      </c>
      <c r="E100" s="21">
        <f>161935</f>
        <v>161935</v>
      </c>
      <c r="F100" s="21">
        <f>173539</f>
        <v>173539</v>
      </c>
      <c r="G100" s="21">
        <f>181411</f>
        <v>181411</v>
      </c>
      <c r="H100" s="21">
        <f>294484</f>
        <v>294484</v>
      </c>
      <c r="I100" s="21">
        <v>338686</v>
      </c>
      <c r="J100" s="21">
        <v>371314</v>
      </c>
      <c r="K100" s="21">
        <v>436635</v>
      </c>
      <c r="L100" s="7">
        <f t="shared" si="92"/>
        <v>0.2026639438717823</v>
      </c>
      <c r="M100" s="1"/>
      <c r="N100" s="1" t="str">
        <f>A100</f>
        <v>Income Taxes</v>
      </c>
      <c r="O100" s="7" t="e">
        <f t="shared" si="93"/>
        <v>#DIV/0!</v>
      </c>
      <c r="P100" s="7">
        <f t="shared" si="93"/>
        <v>3.5250554002619637E-2</v>
      </c>
      <c r="Q100" s="7">
        <f t="shared" si="93"/>
        <v>2.2078140620418362E-2</v>
      </c>
      <c r="R100" s="7">
        <f t="shared" si="93"/>
        <v>1.9710765947693651E-2</v>
      </c>
      <c r="S100" s="7">
        <f t="shared" si="93"/>
        <v>1.8029132478317698E-2</v>
      </c>
      <c r="T100" s="7">
        <f t="shared" si="93"/>
        <v>1.843550768350246E-2</v>
      </c>
      <c r="U100" s="7">
        <f t="shared" si="93"/>
        <v>2.9348117482562084E-2</v>
      </c>
      <c r="V100" s="7">
        <f t="shared" si="93"/>
        <v>3.0231302679352139E-2</v>
      </c>
      <c r="W100" s="7">
        <f t="shared" si="93"/>
        <v>3.8500864188941386E-2</v>
      </c>
      <c r="X100" s="7">
        <f t="shared" si="93"/>
        <v>4.2346740798881032E-2</v>
      </c>
      <c r="Y100" s="7">
        <f t="shared" si="73"/>
        <v>2.9609588667230138E-2</v>
      </c>
    </row>
    <row r="101" spans="1:25">
      <c r="A101" s="1" t="s">
        <v>87</v>
      </c>
      <c r="B101" s="19">
        <f>B98-B99-B100</f>
        <v>0</v>
      </c>
      <c r="C101" s="19">
        <f>C98-C99-C100</f>
        <v>-2217991</v>
      </c>
      <c r="D101" s="21">
        <f t="shared" ref="D101:H101" si="94">D98+D99-D100</f>
        <v>622392</v>
      </c>
      <c r="E101" s="21">
        <f t="shared" si="94"/>
        <v>355961</v>
      </c>
      <c r="F101" s="21">
        <f t="shared" si="94"/>
        <v>512972</v>
      </c>
      <c r="G101" s="21">
        <f t="shared" si="94"/>
        <v>571754</v>
      </c>
      <c r="H101" s="21">
        <f t="shared" si="94"/>
        <v>577348</v>
      </c>
      <c r="I101" s="21">
        <f>I98+I99-I100</f>
        <v>645554</v>
      </c>
      <c r="J101" s="21">
        <f>J98+J99-J100</f>
        <v>680887</v>
      </c>
      <c r="K101" s="21">
        <f>K98+K99-K100</f>
        <v>755834</v>
      </c>
      <c r="L101" s="7">
        <f t="shared" si="92"/>
        <v>8.0603955095267299E-2</v>
      </c>
      <c r="M101" s="1"/>
      <c r="N101" s="1" t="s">
        <v>87</v>
      </c>
      <c r="O101" s="7" t="e">
        <f t="shared" si="93"/>
        <v>#DIV/0!</v>
      </c>
      <c r="P101" s="7">
        <f t="shared" si="93"/>
        <v>-0.31802596553462059</v>
      </c>
      <c r="Q101" s="7">
        <f t="shared" si="93"/>
        <v>8.0503234463380965E-2</v>
      </c>
      <c r="R101" s="7">
        <f t="shared" si="93"/>
        <v>4.3327655895927256E-2</v>
      </c>
      <c r="S101" s="7">
        <f t="shared" si="93"/>
        <v>5.3293151082278833E-2</v>
      </c>
      <c r="T101" s="7">
        <f t="shared" si="93"/>
        <v>5.8103286239937303E-2</v>
      </c>
      <c r="U101" s="7">
        <f t="shared" si="93"/>
        <v>5.7538191997943029E-2</v>
      </c>
      <c r="V101" s="7">
        <f t="shared" si="93"/>
        <v>5.7622512799071976E-2</v>
      </c>
      <c r="W101" s="7">
        <f t="shared" si="93"/>
        <v>7.059991789971759E-2</v>
      </c>
      <c r="X101" s="7">
        <f t="shared" si="93"/>
        <v>7.3304033082509296E-2</v>
      </c>
      <c r="Y101" s="7">
        <f t="shared" si="73"/>
        <v>6.1728493569319726E-2</v>
      </c>
    </row>
    <row r="102" spans="1:25">
      <c r="A102" s="1"/>
      <c r="B102" s="19"/>
      <c r="C102" s="19"/>
      <c r="D102" s="21"/>
      <c r="E102" s="21"/>
      <c r="F102" s="21"/>
      <c r="G102" s="21"/>
      <c r="H102" s="21"/>
      <c r="I102" s="21"/>
      <c r="J102" s="21"/>
      <c r="K102" s="2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9"/>
      <c r="C103" s="19"/>
      <c r="D103" s="21">
        <v>4241</v>
      </c>
      <c r="E103" s="21">
        <v>4241</v>
      </c>
      <c r="F103" s="21">
        <v>4241</v>
      </c>
      <c r="G103" s="21">
        <v>4241</v>
      </c>
      <c r="H103" s="21">
        <v>4241</v>
      </c>
      <c r="I103" s="21">
        <v>4241</v>
      </c>
      <c r="J103" s="21">
        <v>4241</v>
      </c>
      <c r="K103" s="21">
        <v>4241</v>
      </c>
      <c r="L103" s="7">
        <f t="shared" ref="L103:L104" si="95">RATE(5,,-F103,K103)</f>
        <v>2.5986567002526644E-17</v>
      </c>
      <c r="M103" s="1"/>
      <c r="N103" s="1" t="s">
        <v>89</v>
      </c>
      <c r="O103" s="7" t="e">
        <f t="shared" ref="O103:X104" si="96">B103/B$101</f>
        <v>#DIV/0!</v>
      </c>
      <c r="P103" s="7">
        <f t="shared" si="96"/>
        <v>0</v>
      </c>
      <c r="Q103" s="7">
        <f t="shared" si="96"/>
        <v>6.8140335994035916E-3</v>
      </c>
      <c r="R103" s="7">
        <f t="shared" si="96"/>
        <v>1.1914226558527479E-2</v>
      </c>
      <c r="S103" s="7">
        <f t="shared" si="96"/>
        <v>8.2675077782023189E-3</v>
      </c>
      <c r="T103" s="7">
        <f t="shared" si="96"/>
        <v>7.4175257191029711E-3</v>
      </c>
      <c r="U103" s="7">
        <f t="shared" si="96"/>
        <v>7.3456563459126907E-3</v>
      </c>
      <c r="V103" s="7">
        <f t="shared" si="96"/>
        <v>6.569551114236764E-3</v>
      </c>
      <c r="W103" s="7">
        <f t="shared" si="96"/>
        <v>6.2286399945952857E-3</v>
      </c>
      <c r="X103" s="7">
        <f t="shared" si="96"/>
        <v>5.6110204092432994E-3</v>
      </c>
      <c r="Y103" s="7">
        <f>SUM(F103:K103)/SUM(F$101:K$101)</f>
        <v>6.7958408791488189E-3</v>
      </c>
    </row>
    <row r="104" spans="1:25">
      <c r="A104" s="1" t="s">
        <v>90</v>
      </c>
      <c r="B104" s="19"/>
      <c r="C104" s="19"/>
      <c r="D104" s="21">
        <f>343092-D103</f>
        <v>338851</v>
      </c>
      <c r="E104" s="21">
        <f>320444-E103</f>
        <v>316203</v>
      </c>
      <c r="F104" s="21">
        <f>343092-F103</f>
        <v>338851</v>
      </c>
      <c r="G104" s="21">
        <f>358746-G103</f>
        <v>354505</v>
      </c>
      <c r="H104" s="21">
        <f>378892-H103</f>
        <v>374651</v>
      </c>
      <c r="I104" s="21">
        <v>382282</v>
      </c>
      <c r="J104" s="21">
        <v>414922</v>
      </c>
      <c r="K104" s="21">
        <v>432110</v>
      </c>
      <c r="L104" s="7">
        <f t="shared" si="95"/>
        <v>4.9825479699469308E-2</v>
      </c>
      <c r="M104" s="1"/>
      <c r="N104" s="1" t="s">
        <v>91</v>
      </c>
      <c r="O104" s="7" t="e">
        <f t="shared" si="96"/>
        <v>#DIV/0!</v>
      </c>
      <c r="P104" s="7">
        <f t="shared" si="96"/>
        <v>0</v>
      </c>
      <c r="Q104" s="7">
        <f t="shared" si="96"/>
        <v>0.54443341174051085</v>
      </c>
      <c r="R104" s="7">
        <f t="shared" si="96"/>
        <v>0.88830798879652551</v>
      </c>
      <c r="S104" s="7">
        <f t="shared" si="96"/>
        <v>0.66056431930007875</v>
      </c>
      <c r="T104" s="7">
        <f t="shared" si="96"/>
        <v>0.62003064254906826</v>
      </c>
      <c r="U104" s="7">
        <f t="shared" si="96"/>
        <v>0.64891711757899917</v>
      </c>
      <c r="V104" s="7">
        <f t="shared" si="96"/>
        <v>0.59217664207796716</v>
      </c>
      <c r="W104" s="7">
        <f>J104/J$101</f>
        <v>0.6093845234231231</v>
      </c>
      <c r="X104" s="7">
        <f>K104/K$101</f>
        <v>0.5716996059981424</v>
      </c>
      <c r="Y104" s="7">
        <f>SUM(F104:K104)/SUM(F$101:K$101)</f>
        <v>0.61354350248868361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Xcel Energy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97">O8</f>
        <v>2001</v>
      </c>
      <c r="C114" s="5">
        <f t="shared" si="97"/>
        <v>2002</v>
      </c>
      <c r="D114" s="5">
        <f t="shared" si="97"/>
        <v>2003</v>
      </c>
      <c r="E114" s="5">
        <f t="shared" si="97"/>
        <v>2004</v>
      </c>
      <c r="F114" s="5">
        <f t="shared" si="97"/>
        <v>2005</v>
      </c>
      <c r="G114" s="5">
        <f t="shared" si="97"/>
        <v>2006</v>
      </c>
      <c r="H114" s="5">
        <f>U8</f>
        <v>2007</v>
      </c>
      <c r="I114" s="5">
        <f>V8</f>
        <v>2008</v>
      </c>
      <c r="J114" s="162">
        <f>J8</f>
        <v>2009</v>
      </c>
      <c r="K114" s="162">
        <f>K8</f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>
        <f t="shared" ref="B117:G117" si="98">B15/B48</f>
        <v>0.60895324259290406</v>
      </c>
      <c r="C117" s="1">
        <f t="shared" si="98"/>
        <v>0.30263321984355451</v>
      </c>
      <c r="D117" s="1">
        <f t="shared" si="98"/>
        <v>1.1722806549894311</v>
      </c>
      <c r="E117" s="1">
        <f t="shared" si="98"/>
        <v>1.1007048819474707</v>
      </c>
      <c r="F117" s="1">
        <f t="shared" si="98"/>
        <v>0.85543420788243163</v>
      </c>
      <c r="G117" s="1">
        <f t="shared" si="98"/>
        <v>0.91934647945524361</v>
      </c>
      <c r="H117" s="1">
        <f>H15/H48</f>
        <v>0.77096879974425481</v>
      </c>
      <c r="I117" s="1">
        <f>I15/I48</f>
        <v>0.98991676637959192</v>
      </c>
      <c r="J117" s="1">
        <f>J15/J48</f>
        <v>0.96331260948628139</v>
      </c>
      <c r="K117" s="1">
        <f>K15/K48</f>
        <v>1.0773141922458727</v>
      </c>
      <c r="L117" s="12">
        <f>AVERAGE(F117:K117)</f>
        <v>0.92938217586561267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>
        <f t="shared" ref="B118:G118" si="99">(B11+B12)/B48</f>
        <v>0.26550242453941064</v>
      </c>
      <c r="C118" s="1">
        <f t="shared" si="99"/>
        <v>8.4556633515903853E-2</v>
      </c>
      <c r="D118" s="1">
        <f t="shared" si="99"/>
        <v>0.46883304268782577</v>
      </c>
      <c r="E118" s="1">
        <f t="shared" si="99"/>
        <v>0.33588485244397032</v>
      </c>
      <c r="F118" s="1">
        <f t="shared" si="99"/>
        <v>0.29507659769343825</v>
      </c>
      <c r="G118" s="1">
        <f t="shared" si="99"/>
        <v>0.30389724428424297</v>
      </c>
      <c r="H118" s="1">
        <f>(H11+H12)/H48</f>
        <v>0.27538199742716807</v>
      </c>
      <c r="I118" s="1">
        <f>(I11+I12)/I48</f>
        <v>0.37750706197301925</v>
      </c>
      <c r="J118" s="1">
        <f>(J11+J12)/J48</f>
        <v>0.27372177143099397</v>
      </c>
      <c r="K118" s="1">
        <f>(K11+K12)/K48</f>
        <v>0.32600048964472372</v>
      </c>
      <c r="L118" s="12">
        <f t="shared" ref="L118:L119" si="100">AVERAGE(F118:K118)</f>
        <v>0.30859752707559773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>
        <f t="shared" ref="C119:I119" si="101">365*(((B12+C12)/2)/((B78+C78)/2))</f>
        <v>82.928028051781951</v>
      </c>
      <c r="D119" s="1">
        <f t="shared" si="101"/>
        <v>29.36562902400134</v>
      </c>
      <c r="E119" s="1">
        <f t="shared" si="101"/>
        <v>32.224855626460631</v>
      </c>
      <c r="F119" s="1">
        <f t="shared" si="101"/>
        <v>36.269416891550819</v>
      </c>
      <c r="G119" s="1">
        <f t="shared" si="101"/>
        <v>34.592736351035697</v>
      </c>
      <c r="H119" s="1">
        <f t="shared" si="101"/>
        <v>32.779667275722616</v>
      </c>
      <c r="I119" s="1">
        <f t="shared" si="101"/>
        <v>31.83601198192277</v>
      </c>
      <c r="J119" s="1">
        <f>365*((I12+J12)/2)/((I78+J78*(2))/2)</f>
        <v>19.522995916077267</v>
      </c>
      <c r="K119" s="1">
        <f>365*((J12+K12)/2)/((J78+K78*(2))/2)</f>
        <v>17.469934858350388</v>
      </c>
      <c r="L119" s="12">
        <f t="shared" si="100"/>
        <v>28.745127212443261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>
        <f t="shared" ref="B122:I122" si="102">B62/B55</f>
        <v>0.30457105878753937</v>
      </c>
      <c r="C122" s="1">
        <f t="shared" si="102"/>
        <v>0.21342692430163279</v>
      </c>
      <c r="D122" s="1">
        <f t="shared" si="102"/>
        <v>0.34595244663839997</v>
      </c>
      <c r="E122" s="1">
        <f t="shared" si="102"/>
        <v>0.34693185845517205</v>
      </c>
      <c r="F122" s="1">
        <f t="shared" si="102"/>
        <v>0.33710472902153338</v>
      </c>
      <c r="G122" s="1">
        <f t="shared" si="102"/>
        <v>0.36272291586017535</v>
      </c>
      <c r="H122" s="1">
        <f t="shared" si="102"/>
        <v>0.37553476139008013</v>
      </c>
      <c r="I122" s="1">
        <f t="shared" si="102"/>
        <v>0.38925818738682783</v>
      </c>
      <c r="J122" s="1">
        <f>J62/J55</f>
        <v>0.40648243729006833</v>
      </c>
      <c r="K122" s="1">
        <f>K62/K55</f>
        <v>0.42103435504131398</v>
      </c>
      <c r="L122" s="12">
        <f t="shared" ref="L122:L125" si="103">AVERAGE(F122:K122)</f>
        <v>0.38202289766499981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>
        <f t="shared" ref="B123:I123" si="104">B62/B53</f>
        <v>0.40557764102231991</v>
      </c>
      <c r="C123" s="1">
        <f t="shared" si="104"/>
        <v>0.43634055712209546</v>
      </c>
      <c r="D123" s="1">
        <f t="shared" si="104"/>
        <v>0.42130674863535478</v>
      </c>
      <c r="E123" s="1">
        <f t="shared" si="104"/>
        <v>0.41094211643343381</v>
      </c>
      <c r="F123" s="1">
        <f t="shared" si="104"/>
        <v>0.43750540774103885</v>
      </c>
      <c r="G123" s="1">
        <f t="shared" si="104"/>
        <v>0.44162978144161269</v>
      </c>
      <c r="H123" s="1">
        <f t="shared" si="104"/>
        <v>0.47961514493377455</v>
      </c>
      <c r="I123" s="1">
        <f t="shared" si="104"/>
        <v>0.46914322059127583</v>
      </c>
      <c r="J123" s="1">
        <f>J62/J53</f>
        <v>0.49119059772910728</v>
      </c>
      <c r="K123" s="1">
        <f>K62/K53</f>
        <v>0.4851278229439745</v>
      </c>
      <c r="L123" s="12">
        <f t="shared" si="103"/>
        <v>0.46736866256346393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>
        <f t="shared" ref="B124:I124" si="105">B62/B26</f>
        <v>0.33811901749459139</v>
      </c>
      <c r="C124" s="1">
        <f t="shared" si="105"/>
        <v>0.38747564281049068</v>
      </c>
      <c r="D124" s="1">
        <f t="shared" si="105"/>
        <v>0.38857602550213494</v>
      </c>
      <c r="E124" s="1">
        <f t="shared" si="105"/>
        <v>0.36962862287759457</v>
      </c>
      <c r="F124" s="1">
        <f t="shared" si="105"/>
        <v>0.36711630334417278</v>
      </c>
      <c r="G124" s="1">
        <f t="shared" si="105"/>
        <v>0.37410444039607793</v>
      </c>
      <c r="H124" s="1">
        <f t="shared" si="105"/>
        <v>0.37785557166483497</v>
      </c>
      <c r="I124" s="1">
        <f t="shared" si="105"/>
        <v>0.39368258415532609</v>
      </c>
      <c r="J124" s="1">
        <f>J62/J26</f>
        <v>0.39351245517145395</v>
      </c>
      <c r="K124" s="1">
        <f>K62/K26</f>
        <v>0.39120587141840701</v>
      </c>
      <c r="L124" s="12">
        <f t="shared" si="103"/>
        <v>0.3829128710250454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106">(B98+B92)/B92</f>
        <v>#DIV/0!</v>
      </c>
      <c r="C125" s="1">
        <f t="shared" si="106"/>
        <v>-3.6830950797872339</v>
      </c>
      <c r="D125" s="1">
        <f t="shared" si="106"/>
        <v>2.5376647103558829</v>
      </c>
      <c r="E125" s="1">
        <f t="shared" si="106"/>
        <v>2.5747537285951023</v>
      </c>
      <c r="F125" s="1">
        <f t="shared" si="106"/>
        <v>2.5195153470424239</v>
      </c>
      <c r="G125" s="1">
        <f t="shared" si="106"/>
        <v>2.6448231703038383</v>
      </c>
      <c r="H125" s="1">
        <f t="shared" si="106"/>
        <v>2.6458187181499304</v>
      </c>
      <c r="I125" s="1">
        <f t="shared" si="106"/>
        <v>2.9156302723782352</v>
      </c>
      <c r="J125" s="1">
        <f>(J98+J92)/J92</f>
        <v>3.0251564131799062</v>
      </c>
      <c r="K125" s="1">
        <f>(K98+K92)/K92</f>
        <v>3.166506568286668</v>
      </c>
      <c r="L125" s="12">
        <f t="shared" si="103"/>
        <v>2.8195750815568341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>
        <f t="shared" ref="C128:E128" si="107">(C101+(C92*(1-(C100/C98))))/((B38+C38)/2)</f>
        <v>-5.9953875382145645E-2</v>
      </c>
      <c r="D128" s="7">
        <f t="shared" si="107"/>
        <v>3.8773911320524615E-2</v>
      </c>
      <c r="E128" s="7">
        <f t="shared" si="107"/>
        <v>3.3947433362314448E-2</v>
      </c>
      <c r="F128" s="7">
        <f>(F101+(F92*(1-(F100/F98))))/((E38+F38)/2)</f>
        <v>4.0248551054927174E-2</v>
      </c>
      <c r="G128" s="7">
        <f t="shared" ref="G128:K128" si="108">(G101+(G92*(1-(G100/G98))))/((F38+G38)/2)</f>
        <v>4.2219280113992445E-2</v>
      </c>
      <c r="H128" s="7">
        <f t="shared" si="108"/>
        <v>4.1081138794097243E-2</v>
      </c>
      <c r="I128" s="7">
        <f t="shared" si="108"/>
        <v>4.0821266990843368E-2</v>
      </c>
      <c r="J128" s="7">
        <f t="shared" si="108"/>
        <v>4.0561116345901149E-2</v>
      </c>
      <c r="K128" s="7">
        <f t="shared" si="108"/>
        <v>4.1861447855810578E-2</v>
      </c>
      <c r="L128" s="7">
        <f>AVERAGE(F128:K128)</f>
        <v>4.1132133525928663E-2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>
        <f t="shared" ref="C129:E129" si="109">(C101+(C92*(1-(C100/C98))))/((B50+C50+B57+C57+B62+C62)/2)</f>
        <v>-0.12058174432060748</v>
      </c>
      <c r="D129" s="7">
        <f t="shared" si="109"/>
        <v>8.6126786219969109E-2</v>
      </c>
      <c r="E129" s="7">
        <f t="shared" si="109"/>
        <v>5.8355552485550084E-2</v>
      </c>
      <c r="F129" s="7">
        <f>(F101+(F92*(1-(F100/F98))))/((E42+F42+E50+F50+E57+F57+E62+F62)/2)</f>
        <v>6.9369939758654769E-2</v>
      </c>
      <c r="G129" s="7">
        <f t="shared" ref="G129:K129" si="110">(G101+(G92*(1-(G100/G98))))/((F42+G42+F50+G50+F57+G57+F62+G62)/2)</f>
        <v>7.3572053256215034E-2</v>
      </c>
      <c r="H129" s="7">
        <f t="shared" si="110"/>
        <v>7.1072368884156398E-2</v>
      </c>
      <c r="I129" s="7">
        <f t="shared" si="110"/>
        <v>6.8369352148528406E-2</v>
      </c>
      <c r="J129" s="7">
        <f t="shared" si="110"/>
        <v>6.5387825106762193E-2</v>
      </c>
      <c r="K129" s="7">
        <f t="shared" si="110"/>
        <v>6.6186111523327221E-2</v>
      </c>
      <c r="L129" s="7">
        <f t="shared" ref="L129:L130" si="111">AVERAGE(F129:K129)</f>
        <v>6.8992941779607339E-2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>
        <f>(B101-B103)/((B62)/1)</f>
        <v>0</v>
      </c>
      <c r="C130" s="7">
        <f t="shared" ref="C130:F130" si="112">(C101-C103)/((C62+B62)/2)</f>
        <v>-0.37442469740985007</v>
      </c>
      <c r="D130" s="7">
        <f t="shared" si="112"/>
        <v>0.11973377558151607</v>
      </c>
      <c r="E130" s="7">
        <f t="shared" si="112"/>
        <v>6.7838336761060811E-2</v>
      </c>
      <c r="F130" s="7">
        <f t="shared" si="112"/>
        <v>9.6003528155277323E-2</v>
      </c>
      <c r="G130" s="7">
        <f t="shared" ref="G130" si="113">(G101-G103)/((G62+F62)/2)</f>
        <v>0.10123244783281456</v>
      </c>
      <c r="H130" s="7">
        <f t="shared" ref="H130" si="114">(H101-H103)/((H62+G62)/2)</f>
        <v>9.4589094543706856E-2</v>
      </c>
      <c r="I130" s="7">
        <f t="shared" ref="I130" si="115">(I101-I103)/((I62+H62)/2)</f>
        <v>9.6694372442798174E-2</v>
      </c>
      <c r="J130" s="7">
        <f t="shared" ref="J130" si="116">(J101-J103)/((J62+I62)/2)</f>
        <v>9.4987950433867208E-2</v>
      </c>
      <c r="K130" s="7">
        <f t="shared" ref="K130" si="117">(K101-K103)/((K62+J62)/2)</f>
        <v>9.7820595149375633E-2</v>
      </c>
      <c r="L130" s="7">
        <f t="shared" si="111"/>
        <v>9.6887998092973285E-2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>
        <f>B78/B11</f>
        <v>0</v>
      </c>
      <c r="C133" s="1">
        <f t="shared" ref="C133:F133" si="118">C78/((B11+C11)/2)</f>
        <v>15.299748486586866</v>
      </c>
      <c r="D133" s="1">
        <f t="shared" si="118"/>
        <v>13.888345581696974</v>
      </c>
      <c r="E133" s="1">
        <f t="shared" si="118"/>
        <v>26.122319783404635</v>
      </c>
      <c r="F133" s="1">
        <f t="shared" si="118"/>
        <v>201.46042676099083</v>
      </c>
      <c r="G133" s="1">
        <f t="shared" ref="G133" si="119">G78/((F11+G11)/2)</f>
        <v>179.47916172688639</v>
      </c>
      <c r="H133" s="1">
        <f t="shared" ref="H133" si="120">H78/((G11+H11)/2)</f>
        <v>226.56122287701234</v>
      </c>
      <c r="I133" s="1">
        <f t="shared" ref="I133" si="121">I78/((H11+I11)/2)</f>
        <v>74.608621527847149</v>
      </c>
      <c r="J133" s="1">
        <f t="shared" ref="J133" si="122">J78/((I11+J11)/2)</f>
        <v>52.867801757453833</v>
      </c>
      <c r="K133" s="1">
        <f t="shared" ref="K133" si="123">K78/((J11+K11)/2)</f>
        <v>92.027105785750948</v>
      </c>
      <c r="L133" s="12">
        <f t="shared" ref="L133:L137" si="124">AVERAGE(F133:K133)</f>
        <v>137.83405673932359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>
        <f>B78/B12</f>
        <v>0</v>
      </c>
      <c r="C134" s="1">
        <f t="shared" ref="C134:F134" si="125">C78/((B12+C12)/2)</f>
        <v>8.8028139237095218</v>
      </c>
      <c r="D134" s="1">
        <f t="shared" si="125"/>
        <v>13.069352572955776</v>
      </c>
      <c r="E134" s="1">
        <f t="shared" si="125"/>
        <v>11.670643269204817</v>
      </c>
      <c r="F134" s="1">
        <f t="shared" si="125"/>
        <v>10.858864878981834</v>
      </c>
      <c r="G134" s="1">
        <f t="shared" ref="G134" si="126">G78/((F12+G12)/2)</f>
        <v>10.667794122270392</v>
      </c>
      <c r="H134" s="1">
        <f t="shared" ref="H134" si="127">H78/((G12+H12)/2)</f>
        <v>11.243567469506234</v>
      </c>
      <c r="I134" s="1">
        <f t="shared" ref="I134" si="128">I78/((H12+I12)/2)</f>
        <v>12.096082782999643</v>
      </c>
      <c r="J134" s="1">
        <f t="shared" ref="J134" si="129">J78/((I12+J12)/2)</f>
        <v>11.826731079694873</v>
      </c>
      <c r="K134" s="1">
        <f t="shared" ref="K134" si="130">K78/((J12+K12)/2)</f>
        <v>14.235485211503866</v>
      </c>
      <c r="L134" s="12">
        <f t="shared" si="124"/>
        <v>11.821420924159474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>
        <f>B78/(B15-B48)</f>
        <v>0</v>
      </c>
      <c r="C135" s="1">
        <f t="shared" ref="C135:F135" si="131">C78/((B15+C15-B48-C48)/2)</f>
        <v>-1.2974936406626993</v>
      </c>
      <c r="D135" s="1">
        <f t="shared" si="131"/>
        <v>-1.8968954774553626</v>
      </c>
      <c r="E135" s="1">
        <f t="shared" si="131"/>
        <v>23.627657570471904</v>
      </c>
      <c r="F135" s="1">
        <f t="shared" si="131"/>
        <v>-65.098806637382111</v>
      </c>
      <c r="G135" s="1">
        <f t="shared" ref="G135" si="132">G78/((F15+G15-F48-G48)/2)</f>
        <v>-25.825536047030418</v>
      </c>
      <c r="H135" s="1">
        <f t="shared" ref="H135" si="133">H78/((G15+H15-G48-H48)/2)</f>
        <v>-18.843051718925171</v>
      </c>
      <c r="I135" s="1">
        <f t="shared" ref="I135" si="134">I78/((H15+I15-H48-I48)/2)</f>
        <v>-25.913826104757202</v>
      </c>
      <c r="J135" s="1">
        <f t="shared" ref="J135" si="135">J78/((I15+J15-I48-J48)/2)</f>
        <v>-133.87427817878955</v>
      </c>
      <c r="K135" s="1">
        <f t="shared" ref="K135" si="136">K78/((J15+K15-J48-K48)/2)</f>
        <v>249.21922509849418</v>
      </c>
      <c r="L135" s="12">
        <f t="shared" si="124"/>
        <v>-3.3893789313983782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>
        <f>B78/(B26)</f>
        <v>0</v>
      </c>
      <c r="C136" s="1">
        <f t="shared" ref="C136:F136" si="137">C78/((B26+C26)/2)</f>
        <v>0.42145836634359218</v>
      </c>
      <c r="D136" s="1">
        <f t="shared" si="137"/>
        <v>0.58107606369474052</v>
      </c>
      <c r="E136" s="1">
        <f t="shared" si="137"/>
        <v>0.60029167872434996</v>
      </c>
      <c r="F136" s="1">
        <f t="shared" si="137"/>
        <v>0.66907759000394096</v>
      </c>
      <c r="G136" s="1">
        <f t="shared" ref="G136" si="138">G78/((F26+G26)/2)</f>
        <v>0.65070685477332957</v>
      </c>
      <c r="H136" s="1">
        <f t="shared" ref="H136" si="139">H78/((G26+H26)/2)</f>
        <v>0.62276948544527533</v>
      </c>
      <c r="I136" s="1">
        <f t="shared" ref="I136" si="140">I78/((H26+I26)/2)</f>
        <v>0.65202087427140099</v>
      </c>
      <c r="J136" s="1">
        <f t="shared" ref="J136" si="141">J78/((I26+J26)/2)</f>
        <v>0.53287834555202007</v>
      </c>
      <c r="K136" s="1">
        <f t="shared" ref="K136" si="142">K78/((J26+K26)/2)</f>
        <v>0.52645311584392052</v>
      </c>
      <c r="L136" s="12">
        <f t="shared" si="124"/>
        <v>0.60898437764831448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>
        <f>B78/B38</f>
        <v>0</v>
      </c>
      <c r="C137" s="1">
        <f t="shared" ref="C137:F137" si="143">C78/((B38+C38)/2)</f>
        <v>0.23970369347422057</v>
      </c>
      <c r="D137" s="1">
        <f t="shared" si="143"/>
        <v>0.31148203136883568</v>
      </c>
      <c r="E137" s="1">
        <f t="shared" si="143"/>
        <v>0.40560433350366892</v>
      </c>
      <c r="F137" s="1">
        <f t="shared" si="143"/>
        <v>0.46044159590189498</v>
      </c>
      <c r="G137" s="1">
        <f t="shared" ref="G137" si="144">G78/((F38+G38)/2)</f>
        <v>0.4528101500701765</v>
      </c>
      <c r="H137" s="1">
        <f t="shared" ref="H137" si="145">H78/((G38+H38)/2)</f>
        <v>0.4445497097638878</v>
      </c>
      <c r="I137" s="1">
        <f t="shared" ref="I137" si="146">I78/((H38+I38)/2)</f>
        <v>0.46540948173348262</v>
      </c>
      <c r="J137" s="1">
        <f t="shared" ref="J137" si="147">J78/((I38+J38)/2)</f>
        <v>0.3837424600795441</v>
      </c>
      <c r="K137" s="1">
        <f t="shared" ref="K137" si="148">K78/((J38+K38)/2)</f>
        <v>0.39135443471168851</v>
      </c>
      <c r="L137" s="12">
        <f t="shared" si="124"/>
        <v>0.43305130537677911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>
        <f t="shared" ref="B145:K145" si="149">(B$42+B$50)/(B$42+B$50+B$57+B$62)</f>
        <v>0.63751576378681751</v>
      </c>
      <c r="C145" s="7">
        <f t="shared" si="149"/>
        <v>0.52750593186354044</v>
      </c>
      <c r="D145" s="7">
        <f t="shared" si="149"/>
        <v>0.55796065282776985</v>
      </c>
      <c r="E145" s="7">
        <f t="shared" si="149"/>
        <v>0.55857908634260856</v>
      </c>
      <c r="F145" s="7">
        <f t="shared" si="149"/>
        <v>0.55039633322186365</v>
      </c>
      <c r="G145" s="7">
        <f>(G$42+G$50)/(G$42+G$50+G$57+G$62)</f>
        <v>0.53400445126402563</v>
      </c>
      <c r="H145" s="7">
        <f t="shared" si="149"/>
        <v>0.52143010771887</v>
      </c>
      <c r="I145" s="7">
        <f t="shared" si="149"/>
        <v>0.5397722704094704</v>
      </c>
      <c r="J145" s="7">
        <f t="shared" si="149"/>
        <v>0.53300167432890155</v>
      </c>
      <c r="K145" s="7">
        <f t="shared" si="149"/>
        <v>0.5322744118400704</v>
      </c>
      <c r="L145" s="7">
        <f t="shared" ref="L145:L148" si="150">AVERAGE(F145:K145)</f>
        <v>0.53514654146386686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>
        <f t="shared" ref="B146:K146" si="151">B$57/(B$42+B$50+B$57+B$62)</f>
        <v>5.6193671606573443E-3</v>
      </c>
      <c r="C146" s="7">
        <f t="shared" si="151"/>
        <v>9.4529258295364266E-3</v>
      </c>
      <c r="D146" s="7">
        <f t="shared" si="151"/>
        <v>8.8031859852071587E-3</v>
      </c>
      <c r="E146" s="7">
        <f t="shared" si="151"/>
        <v>8.7304555429951643E-3</v>
      </c>
      <c r="F146" s="7">
        <f t="shared" si="151"/>
        <v>8.5813411496724699E-3</v>
      </c>
      <c r="G146" s="7">
        <f>G$57/(G$42+G$50+G$57+G$62)</f>
        <v>8.2610348516047281E-3</v>
      </c>
      <c r="H146" s="7">
        <f t="shared" si="151"/>
        <v>7.8427112801242697E-3</v>
      </c>
      <c r="I146" s="7">
        <f t="shared" si="151"/>
        <v>6.8349998609951923E-3</v>
      </c>
      <c r="J146" s="7">
        <f t="shared" si="151"/>
        <v>6.6356241490956105E-3</v>
      </c>
      <c r="K146" s="7">
        <f t="shared" si="151"/>
        <v>5.9964386934686573E-3</v>
      </c>
      <c r="L146" s="7">
        <f t="shared" si="150"/>
        <v>7.3586916641601545E-3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>
        <f t="shared" ref="B147:K147" si="152">B$62/(B$42+B$50+B$57+B$62)</f>
        <v>0.35686486905252518</v>
      </c>
      <c r="C147" s="16">
        <f t="shared" si="152"/>
        <v>0.46304114230692317</v>
      </c>
      <c r="D147" s="16">
        <f t="shared" si="152"/>
        <v>0.43323616118702302</v>
      </c>
      <c r="E147" s="16">
        <f t="shared" si="152"/>
        <v>0.43269045811439627</v>
      </c>
      <c r="F147" s="16">
        <f t="shared" si="152"/>
        <v>0.44102232562846388</v>
      </c>
      <c r="G147" s="16">
        <f>G$62/(G$42+G$50+G$57+G$62)</f>
        <v>0.45773451388436959</v>
      </c>
      <c r="H147" s="16">
        <f t="shared" si="152"/>
        <v>0.4707271810010058</v>
      </c>
      <c r="I147" s="16">
        <f t="shared" si="152"/>
        <v>0.45339272972953443</v>
      </c>
      <c r="J147" s="16">
        <f t="shared" si="152"/>
        <v>0.46036270152200282</v>
      </c>
      <c r="K147" s="16">
        <f t="shared" si="152"/>
        <v>0.46172914946646088</v>
      </c>
      <c r="L147" s="7">
        <f t="shared" si="150"/>
        <v>0.45749476687197288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>
        <f>SUM(B145:B147)</f>
        <v>1</v>
      </c>
      <c r="C148" s="7">
        <f t="shared" ref="C148:J148" si="153">SUM(C145:C147)</f>
        <v>1</v>
      </c>
      <c r="D148" s="7">
        <f t="shared" si="153"/>
        <v>1</v>
      </c>
      <c r="E148" s="7">
        <f t="shared" si="153"/>
        <v>1</v>
      </c>
      <c r="F148" s="7">
        <f t="shared" si="153"/>
        <v>1</v>
      </c>
      <c r="G148" s="7">
        <f t="shared" si="153"/>
        <v>0.99999999999999989</v>
      </c>
      <c r="H148" s="7">
        <f t="shared" si="153"/>
        <v>1</v>
      </c>
      <c r="I148" s="7">
        <f t="shared" si="153"/>
        <v>1</v>
      </c>
      <c r="J148" s="7">
        <f t="shared" si="153"/>
        <v>1</v>
      </c>
      <c r="K148" s="7">
        <f t="shared" ref="K148" si="154">SUM(K145:K147)</f>
        <v>1</v>
      </c>
      <c r="L148" s="7">
        <f t="shared" si="150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>
        <f t="shared" ref="B151:K151" si="155">B$43/(B$43+B$42+B$50+B$57+B$62)</f>
        <v>0.10610948486240562</v>
      </c>
      <c r="C151" s="7">
        <f t="shared" si="155"/>
        <v>4.3249100678418778E-2</v>
      </c>
      <c r="D151" s="7">
        <f t="shared" si="155"/>
        <v>4.8868509138719129E-3</v>
      </c>
      <c r="E151" s="7">
        <f t="shared" si="155"/>
        <v>2.5314356401334438E-2</v>
      </c>
      <c r="F151" s="7">
        <f t="shared" si="155"/>
        <v>5.7483879174143444E-2</v>
      </c>
      <c r="G151" s="7">
        <f>G$43/(G$43+G$42+G$50+G$57+G$62)</f>
        <v>4.6969619588078763E-2</v>
      </c>
      <c r="H151" s="7">
        <f t="shared" si="155"/>
        <v>7.5206727649961794E-2</v>
      </c>
      <c r="I151" s="7">
        <f t="shared" si="155"/>
        <v>2.8786998406708404E-2</v>
      </c>
      <c r="J151" s="7">
        <f t="shared" si="155"/>
        <v>2.8194679903464855E-2</v>
      </c>
      <c r="K151" s="7">
        <f t="shared" si="155"/>
        <v>2.594937490604201E-2</v>
      </c>
      <c r="L151" s="7">
        <f t="shared" ref="L151:L155" si="156">AVERAGE(F151:K151)</f>
        <v>4.3765213271399872E-2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>
        <f t="shared" ref="B152:K152" si="157">(B$42+B$50)/(B$43+B$42+B$50+B$57+B$62)</f>
        <v>0.56986929449973522</v>
      </c>
      <c r="C152" s="7">
        <f t="shared" si="157"/>
        <v>0.50469177470791105</v>
      </c>
      <c r="D152" s="7">
        <f t="shared" si="157"/>
        <v>0.55523398230159393</v>
      </c>
      <c r="E152" s="7">
        <f t="shared" si="157"/>
        <v>0.54443901627260005</v>
      </c>
      <c r="F152" s="7">
        <f t="shared" si="157"/>
        <v>0.5187574169050464</v>
      </c>
      <c r="G152" s="7">
        <f>(G$42+G$50)/(G$43+G$42+G$50+G$57+G$62)</f>
        <v>0.50892246532981367</v>
      </c>
      <c r="H152" s="7">
        <f t="shared" si="157"/>
        <v>0.48221505561916667</v>
      </c>
      <c r="I152" s="7">
        <f t="shared" si="157"/>
        <v>0.52423384692120756</v>
      </c>
      <c r="J152" s="7">
        <f t="shared" si="157"/>
        <v>0.51797386273318735</v>
      </c>
      <c r="K152" s="7">
        <f t="shared" si="157"/>
        <v>0.51846222357433946</v>
      </c>
      <c r="L152" s="7">
        <f t="shared" si="156"/>
        <v>0.51176081184712685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>
        <f t="shared" ref="B153:K153" si="158">B$57/(B$43+B$42+B$50+B$57+B$62)</f>
        <v>5.0230990059872745E-3</v>
      </c>
      <c r="C153" s="7">
        <f t="shared" si="158"/>
        <v>9.0440952886291798E-3</v>
      </c>
      <c r="D153" s="7">
        <f t="shared" si="158"/>
        <v>8.7601661277303643E-3</v>
      </c>
      <c r="E153" s="7">
        <f t="shared" si="158"/>
        <v>8.5094496798337801E-3</v>
      </c>
      <c r="F153" s="7">
        <f t="shared" si="158"/>
        <v>8.0880523718725918E-3</v>
      </c>
      <c r="G153" s="7">
        <f>G$57/(G$43+G$42+G$50+G$57+G$62)</f>
        <v>7.8730171872209934E-3</v>
      </c>
      <c r="H153" s="7">
        <f t="shared" si="158"/>
        <v>7.2528866288426811E-3</v>
      </c>
      <c r="I153" s="7">
        <f t="shared" si="158"/>
        <v>6.638240730886872E-3</v>
      </c>
      <c r="J153" s="7">
        <f t="shared" si="158"/>
        <v>6.4485348502521583E-3</v>
      </c>
      <c r="K153" s="7">
        <f t="shared" si="158"/>
        <v>5.8408348577107423E-3</v>
      </c>
      <c r="L153" s="7">
        <f t="shared" si="156"/>
        <v>7.0235944377976716E-3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>
        <f t="shared" ref="B154:K154" si="159">B$62/(B$43+B$42+B$50+B$57+B$62)</f>
        <v>0.31899812163187191</v>
      </c>
      <c r="C154" s="16">
        <f t="shared" si="159"/>
        <v>0.443015029325041</v>
      </c>
      <c r="D154" s="16">
        <f t="shared" si="159"/>
        <v>0.43111900065680386</v>
      </c>
      <c r="E154" s="16">
        <f t="shared" si="159"/>
        <v>0.42173717764623175</v>
      </c>
      <c r="F154" s="16">
        <f t="shared" si="159"/>
        <v>0.41567065154893751</v>
      </c>
      <c r="G154" s="16">
        <f>G$62/(G$43+G$42+G$50+G$57+G$62)</f>
        <v>0.43623489789488662</v>
      </c>
      <c r="H154" s="16">
        <f t="shared" si="159"/>
        <v>0.43532533010202884</v>
      </c>
      <c r="I154" s="16">
        <f t="shared" si="159"/>
        <v>0.44034091394119712</v>
      </c>
      <c r="J154" s="16">
        <f t="shared" si="159"/>
        <v>0.44738292251309564</v>
      </c>
      <c r="K154" s="16">
        <f t="shared" si="159"/>
        <v>0.44974756666190779</v>
      </c>
      <c r="L154" s="7">
        <f t="shared" si="156"/>
        <v>0.43745038044367562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>
        <f>SUM(B151:B154)</f>
        <v>1</v>
      </c>
      <c r="C155" s="7">
        <f t="shared" ref="C155:J155" si="160">SUM(C151:C154)</f>
        <v>1</v>
      </c>
      <c r="D155" s="7">
        <f t="shared" si="160"/>
        <v>1</v>
      </c>
      <c r="E155" s="7">
        <f t="shared" si="160"/>
        <v>1</v>
      </c>
      <c r="F155" s="7">
        <f t="shared" si="160"/>
        <v>1</v>
      </c>
      <c r="G155" s="7">
        <f t="shared" si="160"/>
        <v>1</v>
      </c>
      <c r="H155" s="7">
        <f t="shared" si="160"/>
        <v>1</v>
      </c>
      <c r="I155" s="7">
        <f t="shared" si="160"/>
        <v>1</v>
      </c>
      <c r="J155" s="7">
        <f t="shared" si="160"/>
        <v>1</v>
      </c>
      <c r="K155" s="7">
        <f t="shared" ref="K155" si="161">SUM(K151:K154)</f>
        <v>1</v>
      </c>
      <c r="L155" s="7">
        <f t="shared" si="156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  <pageSetup scale="8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142"/>
  <sheetViews>
    <sheetView topLeftCell="A70" workbookViewId="0">
      <pane xSplit="1" topLeftCell="M1" activePane="topRight" state="frozen"/>
      <selection activeCell="A4" sqref="A4"/>
      <selection pane="topRight" activeCell="A3" sqref="A3"/>
    </sheetView>
  </sheetViews>
  <sheetFormatPr defaultRowHeight="15"/>
  <cols>
    <col min="1" max="1" width="31.140625" bestFit="1" customWidth="1"/>
    <col min="2" max="6" width="0" hidden="1" customWidth="1"/>
    <col min="13" max="13" width="11" bestFit="1" customWidth="1"/>
    <col min="15" max="15" width="31.140625" bestFit="1" customWidth="1"/>
    <col min="16" max="20" width="0" hidden="1" customWidth="1"/>
    <col min="27" max="27" width="10.7109375" customWidth="1"/>
  </cols>
  <sheetData>
    <row r="1" spans="1:28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0" t="s">
        <v>0</v>
      </c>
      <c r="N1" s="72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174" t="s">
        <v>0</v>
      </c>
      <c r="AB1" s="74"/>
    </row>
    <row r="2" spans="1:28" ht="18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172" t="s">
        <v>158</v>
      </c>
      <c r="N2" s="72"/>
      <c r="O2" s="78" t="str">
        <f>A3</f>
        <v>PacifiCorp</v>
      </c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175" t="s">
        <v>159</v>
      </c>
      <c r="AB2" s="74"/>
    </row>
    <row r="3" spans="1:28" ht="18.75">
      <c r="A3" s="76" t="s">
        <v>154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172"/>
      <c r="N3" s="72"/>
      <c r="O3" s="201" t="s">
        <v>5</v>
      </c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177"/>
      <c r="AB3" s="74"/>
    </row>
    <row r="4" spans="1:28" ht="15.75">
      <c r="A4" s="81" t="s">
        <v>4</v>
      </c>
      <c r="B4" s="82"/>
      <c r="C4" s="77"/>
      <c r="D4" s="77"/>
      <c r="E4" s="77"/>
      <c r="F4" s="77"/>
      <c r="G4" s="77"/>
      <c r="H4" s="77"/>
      <c r="I4" s="77"/>
      <c r="J4" s="77"/>
      <c r="K4" s="77"/>
      <c r="L4" s="77"/>
      <c r="M4" s="85"/>
      <c r="N4" s="72"/>
      <c r="O4" s="201" t="s">
        <v>4</v>
      </c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80"/>
      <c r="AB4" s="74"/>
    </row>
    <row r="5" spans="1:28">
      <c r="A5" s="178" t="s">
        <v>179</v>
      </c>
      <c r="B5" s="82"/>
      <c r="C5" s="77"/>
      <c r="D5" s="77"/>
      <c r="E5" s="77"/>
      <c r="F5" s="77"/>
      <c r="G5" s="77"/>
      <c r="H5" s="77"/>
      <c r="I5" s="77"/>
      <c r="J5" s="77"/>
      <c r="K5" s="77"/>
      <c r="L5" s="77"/>
      <c r="M5" s="85"/>
      <c r="N5" s="72"/>
      <c r="O5" s="86" t="str">
        <f>A5</f>
        <v>Fiscal Years Ended March 31 (through 3/31/2006), Fiscal Year Ended December 31 (beginning 12/31/ 2006)</v>
      </c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80"/>
      <c r="AB5" s="74"/>
    </row>
    <row r="6" spans="1:28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172" t="s">
        <v>182</v>
      </c>
      <c r="N6" s="72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89"/>
      <c r="AB6" s="74"/>
    </row>
    <row r="7" spans="1:28">
      <c r="A7" s="87"/>
      <c r="B7" s="87"/>
      <c r="C7" s="87"/>
      <c r="D7" s="87"/>
      <c r="E7" s="87"/>
      <c r="F7" s="87"/>
      <c r="G7" s="87"/>
      <c r="H7" s="88"/>
      <c r="I7" s="88"/>
      <c r="J7" s="88"/>
      <c r="K7" s="88"/>
      <c r="L7" s="88"/>
      <c r="M7" s="85" t="s">
        <v>7</v>
      </c>
      <c r="N7" s="72"/>
      <c r="O7" s="73"/>
      <c r="P7" s="73"/>
      <c r="Q7" s="73"/>
      <c r="R7" s="73"/>
      <c r="S7" s="73"/>
      <c r="T7" s="73"/>
      <c r="U7" s="73"/>
      <c r="V7" s="93"/>
      <c r="W7" s="93"/>
      <c r="X7" s="93"/>
      <c r="Y7" s="93"/>
      <c r="Z7" s="93"/>
      <c r="AA7" s="94" t="str">
        <f>M6</f>
        <v>2005-2010</v>
      </c>
      <c r="AB7" s="74"/>
    </row>
    <row r="8" spans="1:28">
      <c r="A8" s="90" t="s">
        <v>8</v>
      </c>
      <c r="B8" s="90">
        <v>2000</v>
      </c>
      <c r="C8" s="90">
        <f>B8+1</f>
        <v>2001</v>
      </c>
      <c r="D8" s="90">
        <f>C8+1</f>
        <v>2002</v>
      </c>
      <c r="E8" s="90">
        <f>D8+1</f>
        <v>2003</v>
      </c>
      <c r="F8" s="90">
        <f>E8+1</f>
        <v>2004</v>
      </c>
      <c r="G8" s="90">
        <f>F8+1</f>
        <v>2005</v>
      </c>
      <c r="H8" s="91">
        <v>2006</v>
      </c>
      <c r="I8" s="91">
        <v>2007</v>
      </c>
      <c r="J8" s="91">
        <v>2008</v>
      </c>
      <c r="K8" s="176">
        <v>2009</v>
      </c>
      <c r="L8" s="176">
        <v>2010</v>
      </c>
      <c r="M8" s="92" t="s">
        <v>9</v>
      </c>
      <c r="N8" s="72"/>
      <c r="O8" s="95" t="s">
        <v>8</v>
      </c>
      <c r="P8" s="96">
        <f>B8</f>
        <v>2000</v>
      </c>
      <c r="Q8" s="96">
        <f t="shared" ref="Q8:V8" si="0">P8+1</f>
        <v>2001</v>
      </c>
      <c r="R8" s="96">
        <f t="shared" si="0"/>
        <v>2002</v>
      </c>
      <c r="S8" s="96">
        <f t="shared" si="0"/>
        <v>2003</v>
      </c>
      <c r="T8" s="96">
        <f t="shared" si="0"/>
        <v>2004</v>
      </c>
      <c r="U8" s="96">
        <f t="shared" si="0"/>
        <v>2005</v>
      </c>
      <c r="V8" s="96">
        <f t="shared" si="0"/>
        <v>2006</v>
      </c>
      <c r="W8" s="96">
        <f t="shared" ref="W8:X8" si="1">I8</f>
        <v>2007</v>
      </c>
      <c r="X8" s="96">
        <f t="shared" si="1"/>
        <v>2008</v>
      </c>
      <c r="Y8" s="96">
        <f>K8</f>
        <v>2009</v>
      </c>
      <c r="Z8" s="96">
        <f>L8</f>
        <v>2010</v>
      </c>
      <c r="AA8" s="193" t="s">
        <v>10</v>
      </c>
      <c r="AB8" s="74"/>
    </row>
    <row r="9" spans="1:28" ht="7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83"/>
      <c r="N9" s="72"/>
      <c r="O9" s="100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2"/>
      <c r="AB9" s="74"/>
    </row>
    <row r="10" spans="1:28">
      <c r="A10" s="98" t="s">
        <v>11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99"/>
      <c r="N10" s="75"/>
      <c r="O10" s="73" t="s">
        <v>11</v>
      </c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89"/>
      <c r="AB10" s="74"/>
    </row>
    <row r="11" spans="1:28">
      <c r="A11" s="87" t="s">
        <v>12</v>
      </c>
      <c r="B11" s="144">
        <v>154.19999999999999</v>
      </c>
      <c r="C11" s="144">
        <v>139.4</v>
      </c>
      <c r="D11" s="144">
        <v>157.9</v>
      </c>
      <c r="E11" s="144">
        <v>152.5</v>
      </c>
      <c r="F11" s="144">
        <v>58.5</v>
      </c>
      <c r="G11" s="144">
        <v>199.3</v>
      </c>
      <c r="H11" s="144">
        <v>119.6</v>
      </c>
      <c r="I11" s="144">
        <v>228</v>
      </c>
      <c r="J11" s="144">
        <v>59</v>
      </c>
      <c r="K11" s="144">
        <v>117</v>
      </c>
      <c r="L11" s="144">
        <v>31</v>
      </c>
      <c r="M11" s="99">
        <f>RATE(5.75,,-G11,L11)</f>
        <v>-0.27647600563657304</v>
      </c>
      <c r="N11" s="75"/>
      <c r="O11" s="73" t="str">
        <f>A11</f>
        <v>Cash &amp; Equivalents</v>
      </c>
      <c r="P11" s="89">
        <f t="shared" ref="P11:V15" si="2">B11/B$36</f>
        <v>1.2531389423897407E-2</v>
      </c>
      <c r="Q11" s="89">
        <f t="shared" si="2"/>
        <v>1.2520433275251937E-2</v>
      </c>
      <c r="R11" s="89">
        <f t="shared" si="2"/>
        <v>1.4516069721262043E-2</v>
      </c>
      <c r="S11" s="89">
        <f t="shared" si="2"/>
        <v>1.303886865370475E-2</v>
      </c>
      <c r="T11" s="89">
        <f t="shared" si="2"/>
        <v>5.0098055167807085E-3</v>
      </c>
      <c r="U11" s="89">
        <f t="shared" si="2"/>
        <v>1.5917386130389993E-2</v>
      </c>
      <c r="V11" s="89">
        <f t="shared" si="2"/>
        <v>9.3941702732635336E-3</v>
      </c>
      <c r="W11" s="89">
        <f t="shared" ref="W11:W15" si="3">I11/I$36</f>
        <v>1.5294827933185751E-2</v>
      </c>
      <c r="X11" s="89">
        <f t="shared" ref="X11:X15" si="4">J11/J$36</f>
        <v>3.436826469388944E-3</v>
      </c>
      <c r="Y11" s="89">
        <f t="shared" ref="Y11:Z15" si="5">K11/K$36</f>
        <v>6.1689338816830119E-3</v>
      </c>
      <c r="Z11" s="89">
        <f t="shared" si="5"/>
        <v>1.5387670008934777E-3</v>
      </c>
      <c r="AA11" s="7">
        <f>SUM(G11:L11)/SUM(G$36:L$36)</f>
        <v>7.8174416361981042E-3</v>
      </c>
      <c r="AB11" s="89"/>
    </row>
    <row r="12" spans="1:28">
      <c r="A12" s="87" t="s">
        <v>13</v>
      </c>
      <c r="B12" s="144">
        <v>561.6</v>
      </c>
      <c r="C12" s="144">
        <v>567</v>
      </c>
      <c r="D12" s="144">
        <v>249.1</v>
      </c>
      <c r="E12" s="144">
        <v>258.2</v>
      </c>
      <c r="F12" s="144">
        <v>235.1</v>
      </c>
      <c r="G12" s="144">
        <v>293</v>
      </c>
      <c r="H12" s="144">
        <v>266.8</v>
      </c>
      <c r="I12" s="144">
        <v>391</v>
      </c>
      <c r="J12" s="144">
        <v>609</v>
      </c>
      <c r="K12" s="144">
        <v>619</v>
      </c>
      <c r="L12" s="144">
        <v>628</v>
      </c>
      <c r="M12" s="99">
        <f>RATE(5.75,,-G12,L12)</f>
        <v>0.14177681897483843</v>
      </c>
      <c r="N12" s="75"/>
      <c r="O12" s="73" t="str">
        <f>A12</f>
        <v>Accounts Receivable</v>
      </c>
      <c r="P12" s="89">
        <f t="shared" si="2"/>
        <v>4.5639612843455156E-2</v>
      </c>
      <c r="Q12" s="89">
        <f t="shared" si="2"/>
        <v>5.0926009089439367E-2</v>
      </c>
      <c r="R12" s="89">
        <f t="shared" si="2"/>
        <v>2.2900272118849745E-2</v>
      </c>
      <c r="S12" s="89">
        <f t="shared" si="2"/>
        <v>2.2076300894338138E-2</v>
      </c>
      <c r="T12" s="89">
        <f t="shared" si="2"/>
        <v>2.0133423538378537E-2</v>
      </c>
      <c r="U12" s="89">
        <f t="shared" si="2"/>
        <v>2.3400873739108215E-2</v>
      </c>
      <c r="V12" s="89">
        <f t="shared" si="2"/>
        <v>2.0956225994203267E-2</v>
      </c>
      <c r="W12" s="89">
        <f t="shared" si="3"/>
        <v>2.6229288253840476E-2</v>
      </c>
      <c r="X12" s="89">
        <f t="shared" si="4"/>
        <v>3.5475039319624861E-2</v>
      </c>
      <c r="Y12" s="89">
        <f t="shared" si="5"/>
        <v>3.2637351049246019E-2</v>
      </c>
      <c r="Z12" s="89">
        <f t="shared" si="5"/>
        <v>3.1172441179390449E-2</v>
      </c>
      <c r="AA12" s="7">
        <f t="shared" ref="AA12:AA15" si="6">SUM(G12:L12)/SUM(G$36:L$36)</f>
        <v>2.9104649402415229E-2</v>
      </c>
      <c r="AB12" s="190"/>
    </row>
    <row r="13" spans="1:28">
      <c r="A13" s="87" t="s">
        <v>14</v>
      </c>
      <c r="B13" s="144">
        <v>177.4</v>
      </c>
      <c r="C13" s="144">
        <v>160.4</v>
      </c>
      <c r="D13" s="144">
        <f>93.5+59.9</f>
        <v>153.4</v>
      </c>
      <c r="E13" s="144">
        <f>99.4+71.8</f>
        <v>171.2</v>
      </c>
      <c r="F13" s="144">
        <f>56+101</f>
        <v>157</v>
      </c>
      <c r="G13" s="144">
        <f>114.7+58.5</f>
        <v>173.2</v>
      </c>
      <c r="H13" s="145">
        <f>131.2+80.9</f>
        <v>212.1</v>
      </c>
      <c r="I13" s="145">
        <f>163+129</f>
        <v>292</v>
      </c>
      <c r="J13" s="145">
        <f>184+155</f>
        <v>339</v>
      </c>
      <c r="K13" s="145">
        <f>192+187</f>
        <v>379</v>
      </c>
      <c r="L13" s="145">
        <f>186+188</f>
        <v>374</v>
      </c>
      <c r="M13" s="99">
        <f>RATE(5.75,,-G13,L13)</f>
        <v>0.14325538240164187</v>
      </c>
      <c r="N13" s="72"/>
      <c r="O13" s="73" t="str">
        <f>A13</f>
        <v>Material, Supplies, Fuel</v>
      </c>
      <c r="P13" s="89">
        <f t="shared" si="2"/>
        <v>1.4416786535664075E-2</v>
      </c>
      <c r="Q13" s="89">
        <f t="shared" si="2"/>
        <v>1.4406581760045988E-2</v>
      </c>
      <c r="R13" s="89">
        <f t="shared" si="2"/>
        <v>1.410237552401265E-2</v>
      </c>
      <c r="S13" s="89">
        <f t="shared" si="2"/>
        <v>1.4637733203372151E-2</v>
      </c>
      <c r="T13" s="89">
        <f t="shared" si="2"/>
        <v>1.3445119079223439E-2</v>
      </c>
      <c r="U13" s="89">
        <f t="shared" si="2"/>
        <v>1.3832871438954071E-2</v>
      </c>
      <c r="V13" s="89">
        <f t="shared" si="2"/>
        <v>1.6659728385946451E-2</v>
      </c>
      <c r="W13" s="89">
        <f t="shared" si="3"/>
        <v>1.9588112967062452E-2</v>
      </c>
      <c r="X13" s="89">
        <f t="shared" si="4"/>
        <v>1.9747189374963593E-2</v>
      </c>
      <c r="Y13" s="107">
        <f t="shared" si="5"/>
        <v>1.9983127702203944E-2</v>
      </c>
      <c r="Z13" s="107">
        <f t="shared" si="5"/>
        <v>1.8564479301101954E-2</v>
      </c>
      <c r="AA13" s="7">
        <f t="shared" si="6"/>
        <v>1.8346464367854233E-2</v>
      </c>
      <c r="AB13" s="190"/>
    </row>
    <row r="14" spans="1:28">
      <c r="A14" s="87" t="s">
        <v>15</v>
      </c>
      <c r="B14" s="146">
        <v>68</v>
      </c>
      <c r="C14" s="146">
        <f>370.4+73.5+46.7</f>
        <v>490.59999999999997</v>
      </c>
      <c r="D14" s="146">
        <f>127+51.3+21.5</f>
        <v>199.8</v>
      </c>
      <c r="E14" s="146">
        <f>109.2+2.5+107.2+31.1+17.5</f>
        <v>267.5</v>
      </c>
      <c r="F14" s="146">
        <f>127.8+2.4+118.9+31.5+25.2</f>
        <v>305.8</v>
      </c>
      <c r="G14" s="146">
        <f>143.8+36.5+252.7+115.8</f>
        <v>548.79999999999995</v>
      </c>
      <c r="H14" s="147">
        <f>148.2+221.7+46.9</f>
        <v>416.79999999999995</v>
      </c>
      <c r="I14" s="147">
        <f>192+34+143+55+141</f>
        <v>565</v>
      </c>
      <c r="J14" s="147">
        <f>43+174+74+78</f>
        <v>369</v>
      </c>
      <c r="K14" s="147">
        <f>1572-1115</f>
        <v>457</v>
      </c>
      <c r="L14" s="147">
        <f>1634-1033</f>
        <v>601</v>
      </c>
      <c r="M14" s="99">
        <f>RATE(5.75,,-G14,L14)</f>
        <v>1.5927398434541582E-2</v>
      </c>
      <c r="N14" s="106"/>
      <c r="O14" s="73" t="str">
        <f>A14</f>
        <v>Other Current Assets</v>
      </c>
      <c r="P14" s="108">
        <f t="shared" si="2"/>
        <v>5.5261639482816066E-3</v>
      </c>
      <c r="Q14" s="108">
        <f t="shared" si="2"/>
        <v>4.4064021268569578E-2</v>
      </c>
      <c r="R14" s="108">
        <f t="shared" si="2"/>
        <v>1.8368022357873062E-2</v>
      </c>
      <c r="S14" s="108">
        <f t="shared" si="2"/>
        <v>2.2871458130268987E-2</v>
      </c>
      <c r="T14" s="108">
        <f t="shared" si="2"/>
        <v>2.6188009009086164E-2</v>
      </c>
      <c r="U14" s="108">
        <f t="shared" si="2"/>
        <v>4.3830715044445689E-2</v>
      </c>
      <c r="V14" s="109">
        <f t="shared" si="2"/>
        <v>3.2738212122878266E-2</v>
      </c>
      <c r="W14" s="109">
        <f t="shared" si="3"/>
        <v>3.790165693969276E-2</v>
      </c>
      <c r="X14" s="109">
        <f t="shared" si="4"/>
        <v>2.1494728257703734E-2</v>
      </c>
      <c r="Y14" s="109">
        <f t="shared" si="5"/>
        <v>2.4095750289992619E-2</v>
      </c>
      <c r="Z14" s="109">
        <f t="shared" si="5"/>
        <v>2.9832224759257422E-2</v>
      </c>
      <c r="AA14" s="164">
        <f t="shared" si="6"/>
        <v>3.0668345116354308E-2</v>
      </c>
      <c r="AB14" s="190"/>
    </row>
    <row r="15" spans="1:28">
      <c r="A15" s="87" t="s">
        <v>16</v>
      </c>
      <c r="B15" s="144">
        <f t="shared" ref="B15:K15" si="7">SUM(B10:B14)</f>
        <v>961.19999999999993</v>
      </c>
      <c r="C15" s="144">
        <f t="shared" si="7"/>
        <v>1357.3999999999999</v>
      </c>
      <c r="D15" s="144">
        <f t="shared" si="7"/>
        <v>760.2</v>
      </c>
      <c r="E15" s="144">
        <f t="shared" si="7"/>
        <v>849.4</v>
      </c>
      <c r="F15" s="144">
        <f t="shared" si="7"/>
        <v>756.40000000000009</v>
      </c>
      <c r="G15" s="144">
        <f t="shared" si="7"/>
        <v>1214.3</v>
      </c>
      <c r="H15" s="144">
        <f t="shared" si="7"/>
        <v>1015.3</v>
      </c>
      <c r="I15" s="144">
        <f t="shared" ref="I15:J15" si="8">SUM(I10:I14)</f>
        <v>1476</v>
      </c>
      <c r="J15" s="144">
        <f t="shared" si="8"/>
        <v>1376</v>
      </c>
      <c r="K15" s="144">
        <f t="shared" si="7"/>
        <v>1572</v>
      </c>
      <c r="L15" s="144">
        <f t="shared" ref="L15" si="9">SUM(L10:L14)</f>
        <v>1634</v>
      </c>
      <c r="M15" s="184">
        <f>RATE(5.75,,-G15,L15)</f>
        <v>5.2984365673370365E-2</v>
      </c>
      <c r="N15" s="106"/>
      <c r="O15" s="73" t="str">
        <f>A15</f>
        <v>Total Current Assets</v>
      </c>
      <c r="P15" s="89">
        <f t="shared" si="2"/>
        <v>7.8113952751298232E-2</v>
      </c>
      <c r="Q15" s="89">
        <f t="shared" si="2"/>
        <v>0.12191704539330686</v>
      </c>
      <c r="R15" s="89">
        <f t="shared" si="2"/>
        <v>6.9886739721997507E-2</v>
      </c>
      <c r="S15" s="89">
        <f t="shared" si="2"/>
        <v>7.262436088168403E-2</v>
      </c>
      <c r="T15" s="89">
        <f t="shared" si="2"/>
        <v>6.4776357143468855E-2</v>
      </c>
      <c r="U15" s="89">
        <f t="shared" si="2"/>
        <v>9.6981846352897971E-2</v>
      </c>
      <c r="V15" s="89">
        <f t="shared" si="2"/>
        <v>7.974833677629152E-2</v>
      </c>
      <c r="W15" s="89">
        <f t="shared" si="3"/>
        <v>9.901388609378145E-2</v>
      </c>
      <c r="X15" s="89">
        <f t="shared" si="4"/>
        <v>8.0153783421681127E-2</v>
      </c>
      <c r="Y15" s="89">
        <f t="shared" si="5"/>
        <v>8.2885162923125588E-2</v>
      </c>
      <c r="Z15" s="89">
        <f t="shared" si="5"/>
        <v>8.1107912240643301E-2</v>
      </c>
      <c r="AA15" s="7">
        <f t="shared" si="6"/>
        <v>8.593690052282188E-2</v>
      </c>
      <c r="AB15" s="190"/>
    </row>
    <row r="16" spans="1:28">
      <c r="A16" s="87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99"/>
      <c r="N16" s="106"/>
      <c r="O16" s="73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190"/>
    </row>
    <row r="17" spans="1:28">
      <c r="A17" s="98" t="s">
        <v>17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99"/>
      <c r="N17" s="106"/>
      <c r="O17" s="73" t="s">
        <v>17</v>
      </c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190"/>
    </row>
    <row r="18" spans="1:28">
      <c r="A18" s="87" t="s">
        <v>160</v>
      </c>
      <c r="B18" s="144">
        <f>12862.7-312.4</f>
        <v>12550.300000000001</v>
      </c>
      <c r="C18" s="144">
        <f>12678.9-268.7</f>
        <v>12410.199999999999</v>
      </c>
      <c r="D18" s="144">
        <f>13098.9-364.4</f>
        <v>12734.5</v>
      </c>
      <c r="E18" s="144">
        <f>13516.8-332.5</f>
        <v>13184.3</v>
      </c>
      <c r="F18" s="144">
        <f>14158.2-345.4</f>
        <v>13812.800000000001</v>
      </c>
      <c r="G18" s="144">
        <f>14852.4-593.4</f>
        <v>14259</v>
      </c>
      <c r="H18" s="144">
        <v>15102.4</v>
      </c>
      <c r="I18" s="144">
        <v>17014</v>
      </c>
      <c r="J18" s="144">
        <v>18879</v>
      </c>
      <c r="K18" s="144">
        <v>20330</v>
      </c>
      <c r="L18" s="144">
        <v>22034</v>
      </c>
      <c r="M18" s="99">
        <f>RATE(5.75,,-G18,L18)</f>
        <v>7.862457005105665E-2</v>
      </c>
      <c r="N18" s="106"/>
      <c r="O18" s="73" t="s">
        <v>162</v>
      </c>
      <c r="P18" s="89">
        <f t="shared" ref="P18:V18" si="10">B18/B$36</f>
        <v>1.0199266970605685</v>
      </c>
      <c r="Q18" s="89">
        <f t="shared" si="10"/>
        <v>1.1146419012376727</v>
      </c>
      <c r="R18" s="89">
        <f t="shared" si="10"/>
        <v>1.1707086121938663</v>
      </c>
      <c r="S18" s="89">
        <f t="shared" si="10"/>
        <v>1.127267908137964</v>
      </c>
      <c r="T18" s="89">
        <f t="shared" si="10"/>
        <v>1.1828964383280098</v>
      </c>
      <c r="U18" s="89">
        <f t="shared" si="10"/>
        <v>1.1388158998155087</v>
      </c>
      <c r="V18" s="89">
        <f t="shared" si="10"/>
        <v>1.1862417820646756</v>
      </c>
      <c r="W18" s="89">
        <f t="shared" ref="W18:W22" si="11">I18/I$36</f>
        <v>1.1413429932246595</v>
      </c>
      <c r="X18" s="89">
        <f t="shared" ref="X18:X22" si="12">J18/J$36</f>
        <v>1.0997262189083707</v>
      </c>
      <c r="Y18" s="89">
        <f t="shared" ref="Y18:Z22" si="13">K18/K$36</f>
        <v>1.0719181693556892</v>
      </c>
      <c r="Z18" s="89">
        <f t="shared" si="13"/>
        <v>1.0937158741189319</v>
      </c>
      <c r="AA18" s="7">
        <f t="shared" ref="AA18:AA22" si="14">SUM(G18:L18)/SUM(G$36:L$36)</f>
        <v>1.1159312388659266</v>
      </c>
      <c r="AB18" s="190"/>
    </row>
    <row r="19" spans="1:28">
      <c r="A19" s="87" t="s">
        <v>161</v>
      </c>
      <c r="B19" s="144">
        <v>312.39999999999998</v>
      </c>
      <c r="C19" s="144">
        <v>268.7</v>
      </c>
      <c r="D19" s="144">
        <v>364.4</v>
      </c>
      <c r="E19" s="144">
        <v>332.5</v>
      </c>
      <c r="F19" s="144">
        <v>345.4</v>
      </c>
      <c r="G19" s="144">
        <v>593.4</v>
      </c>
      <c r="H19" s="144">
        <v>618.29999999999995</v>
      </c>
      <c r="I19" s="144">
        <v>960</v>
      </c>
      <c r="J19" s="144">
        <v>1220</v>
      </c>
      <c r="K19" s="144">
        <v>1830</v>
      </c>
      <c r="L19" s="144">
        <v>1004</v>
      </c>
      <c r="M19" s="99">
        <f>RATE(5.75,,-G19,L19)</f>
        <v>9.5769818118280753E-2</v>
      </c>
      <c r="N19" s="106"/>
      <c r="O19" s="73" t="s">
        <v>161</v>
      </c>
      <c r="P19" s="89">
        <f t="shared" ref="P19:R22" si="15">B19/B$36</f>
        <v>2.538784731534079E-2</v>
      </c>
      <c r="Q19" s="89">
        <f t="shared" si="15"/>
        <v>2.4133718945912448E-2</v>
      </c>
      <c r="R19" s="89">
        <f t="shared" si="15"/>
        <v>3.3500036772817529E-2</v>
      </c>
      <c r="S19" s="89"/>
      <c r="T19" s="89">
        <f t="shared" ref="T19:V22" si="16">F19/F$36</f>
        <v>2.9579261974291563E-2</v>
      </c>
      <c r="U19" s="89">
        <f t="shared" si="16"/>
        <v>4.7392759306439637E-2</v>
      </c>
      <c r="V19" s="89">
        <f t="shared" si="16"/>
        <v>4.8565346822398346E-2</v>
      </c>
      <c r="W19" s="89">
        <f t="shared" si="11"/>
        <v>6.4399275508150527E-2</v>
      </c>
      <c r="X19" s="89">
        <f t="shared" si="12"/>
        <v>7.1066581231432405E-2</v>
      </c>
      <c r="Y19" s="107">
        <f t="shared" si="13"/>
        <v>9.6488453021195825E-2</v>
      </c>
      <c r="Z19" s="107">
        <f t="shared" si="13"/>
        <v>4.9836195770872629E-2</v>
      </c>
      <c r="AA19" s="7">
        <f t="shared" si="14"/>
        <v>6.4556368741847114E-2</v>
      </c>
      <c r="AB19" s="190"/>
    </row>
    <row r="20" spans="1:28">
      <c r="A20" s="87" t="s">
        <v>163</v>
      </c>
      <c r="B20" s="144">
        <v>1281</v>
      </c>
      <c r="C20" s="144">
        <v>0</v>
      </c>
      <c r="D20" s="144">
        <v>0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99"/>
      <c r="N20" s="106"/>
      <c r="O20" s="73" t="s">
        <v>163</v>
      </c>
      <c r="P20" s="89">
        <f t="shared" si="15"/>
        <v>0.10410317673159909</v>
      </c>
      <c r="Q20" s="89">
        <f t="shared" si="15"/>
        <v>0</v>
      </c>
      <c r="R20" s="89">
        <f t="shared" si="15"/>
        <v>0</v>
      </c>
      <c r="S20" s="89">
        <f>E20/E$36</f>
        <v>0</v>
      </c>
      <c r="T20" s="89">
        <f t="shared" si="16"/>
        <v>0</v>
      </c>
      <c r="U20" s="89">
        <f t="shared" si="16"/>
        <v>0</v>
      </c>
      <c r="V20" s="89">
        <f t="shared" si="16"/>
        <v>0</v>
      </c>
      <c r="W20" s="89">
        <f t="shared" si="11"/>
        <v>0</v>
      </c>
      <c r="X20" s="89">
        <f t="shared" si="12"/>
        <v>0</v>
      </c>
      <c r="Y20" s="107">
        <f t="shared" si="13"/>
        <v>0</v>
      </c>
      <c r="Z20" s="107">
        <f t="shared" si="13"/>
        <v>0</v>
      </c>
      <c r="AA20" s="7">
        <f t="shared" si="14"/>
        <v>0</v>
      </c>
      <c r="AB20" s="190"/>
    </row>
    <row r="21" spans="1:28">
      <c r="A21" s="87" t="s">
        <v>21</v>
      </c>
      <c r="B21" s="146">
        <v>49.4</v>
      </c>
      <c r="C21" s="146">
        <v>33.5</v>
      </c>
      <c r="D21" s="146">
        <v>0</v>
      </c>
      <c r="E21" s="146">
        <v>0</v>
      </c>
      <c r="F21" s="146">
        <v>0</v>
      </c>
      <c r="G21" s="146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99"/>
      <c r="N21" s="106"/>
      <c r="O21" s="73" t="s">
        <v>21</v>
      </c>
      <c r="P21" s="107">
        <f t="shared" si="15"/>
        <v>4.0145955741928141E-3</v>
      </c>
      <c r="Q21" s="107">
        <f t="shared" si="15"/>
        <v>3.008855916219081E-3</v>
      </c>
      <c r="R21" s="107">
        <f t="shared" si="15"/>
        <v>0</v>
      </c>
      <c r="S21" s="107">
        <f>E21/E$36</f>
        <v>0</v>
      </c>
      <c r="T21" s="107">
        <f t="shared" si="16"/>
        <v>0</v>
      </c>
      <c r="U21" s="107">
        <f t="shared" si="16"/>
        <v>0</v>
      </c>
      <c r="V21" s="107">
        <f t="shared" si="16"/>
        <v>0</v>
      </c>
      <c r="W21" s="107">
        <f t="shared" si="11"/>
        <v>0</v>
      </c>
      <c r="X21" s="107">
        <f t="shared" si="12"/>
        <v>0</v>
      </c>
      <c r="Y21" s="109">
        <f t="shared" si="13"/>
        <v>0</v>
      </c>
      <c r="Z21" s="109">
        <f t="shared" si="13"/>
        <v>0</v>
      </c>
      <c r="AA21" s="164">
        <f t="shared" si="14"/>
        <v>0</v>
      </c>
      <c r="AB21" s="190"/>
    </row>
    <row r="22" spans="1:28">
      <c r="A22" s="87" t="s">
        <v>22</v>
      </c>
      <c r="B22" s="144">
        <f t="shared" ref="B22:K22" si="17">SUM(B18:B21)</f>
        <v>14193.1</v>
      </c>
      <c r="C22" s="144">
        <f t="shared" si="17"/>
        <v>12712.4</v>
      </c>
      <c r="D22" s="144">
        <f t="shared" si="17"/>
        <v>13098.9</v>
      </c>
      <c r="E22" s="144">
        <f t="shared" si="17"/>
        <v>13516.8</v>
      </c>
      <c r="F22" s="144">
        <f t="shared" si="17"/>
        <v>14158.2</v>
      </c>
      <c r="G22" s="144">
        <f t="shared" si="17"/>
        <v>14852.4</v>
      </c>
      <c r="H22" s="144">
        <f t="shared" si="17"/>
        <v>15720.699999999999</v>
      </c>
      <c r="I22" s="144">
        <f t="shared" ref="I22:J22" si="18">SUM(I18:I21)</f>
        <v>17974</v>
      </c>
      <c r="J22" s="144">
        <f t="shared" si="18"/>
        <v>20099</v>
      </c>
      <c r="K22" s="144">
        <f t="shared" si="17"/>
        <v>22160</v>
      </c>
      <c r="L22" s="144">
        <f t="shared" ref="L22" si="19">SUM(L18:L21)</f>
        <v>23038</v>
      </c>
      <c r="M22" s="184">
        <f>RATE(5.75,,-G22,L22)</f>
        <v>7.9334844452735614E-2</v>
      </c>
      <c r="N22" s="110"/>
      <c r="O22" s="73" t="s">
        <v>23</v>
      </c>
      <c r="P22" s="112">
        <f t="shared" si="15"/>
        <v>1.1534323166817011</v>
      </c>
      <c r="Q22" s="112">
        <f t="shared" si="15"/>
        <v>1.1417844760998042</v>
      </c>
      <c r="R22" s="112">
        <f t="shared" si="15"/>
        <v>1.2042086489666837</v>
      </c>
      <c r="S22" s="112">
        <f>E22/E$36</f>
        <v>1.1556969168419433</v>
      </c>
      <c r="T22" s="112">
        <f t="shared" si="16"/>
        <v>1.2124757003023012</v>
      </c>
      <c r="U22" s="112">
        <f t="shared" si="16"/>
        <v>1.1862086591219483</v>
      </c>
      <c r="V22" s="112">
        <f t="shared" si="16"/>
        <v>1.2348071288870737</v>
      </c>
      <c r="W22" s="112">
        <f t="shared" si="11"/>
        <v>1.2057422687328101</v>
      </c>
      <c r="X22" s="112">
        <f t="shared" si="12"/>
        <v>1.1707928001398031</v>
      </c>
      <c r="Y22" s="107">
        <f t="shared" si="13"/>
        <v>1.168406622376885</v>
      </c>
      <c r="Z22" s="107">
        <f t="shared" si="13"/>
        <v>1.1435520698898045</v>
      </c>
      <c r="AA22" s="7">
        <f t="shared" si="14"/>
        <v>1.1804876076077737</v>
      </c>
      <c r="AB22" s="190"/>
    </row>
    <row r="23" spans="1:28">
      <c r="A23" s="87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99"/>
      <c r="N23" s="111"/>
      <c r="O23" s="100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89"/>
      <c r="AB23" s="190"/>
    </row>
    <row r="24" spans="1:28">
      <c r="A24" s="87" t="s">
        <v>24</v>
      </c>
      <c r="B24" s="145">
        <v>4994.8</v>
      </c>
      <c r="C24" s="144">
        <v>4789.5</v>
      </c>
      <c r="D24" s="144">
        <v>5129.3999999999996</v>
      </c>
      <c r="E24" s="144">
        <v>4818.3</v>
      </c>
      <c r="F24" s="144">
        <v>5121.7</v>
      </c>
      <c r="G24" s="144">
        <v>5361.8</v>
      </c>
      <c r="H24" s="144">
        <v>5611.5</v>
      </c>
      <c r="I24" s="144">
        <v>6125</v>
      </c>
      <c r="J24" s="144">
        <v>6275</v>
      </c>
      <c r="K24" s="144">
        <v>6623</v>
      </c>
      <c r="L24" s="144">
        <v>6646</v>
      </c>
      <c r="M24" s="99">
        <f>RATE(5.75,,-G24,L24)</f>
        <v>3.8047779438754238E-2</v>
      </c>
      <c r="N24" s="72"/>
      <c r="O24" s="73" t="s">
        <v>24</v>
      </c>
      <c r="P24" s="89">
        <f t="shared" ref="P24:V24" si="20">B24/B$36</f>
        <v>0.4059129954246613</v>
      </c>
      <c r="Q24" s="89">
        <f t="shared" si="20"/>
        <v>0.43017657942481458</v>
      </c>
      <c r="R24" s="89">
        <f t="shared" si="20"/>
        <v>0.47155622563800831</v>
      </c>
      <c r="S24" s="89">
        <f t="shared" si="20"/>
        <v>0.41196839891243014</v>
      </c>
      <c r="T24" s="89">
        <f t="shared" si="20"/>
        <v>0.43861061393667955</v>
      </c>
      <c r="U24" s="89">
        <f t="shared" si="20"/>
        <v>0.42822800277935302</v>
      </c>
      <c r="V24" s="89">
        <f t="shared" si="20"/>
        <v>0.44076410107373176</v>
      </c>
      <c r="W24" s="89">
        <f t="shared" ref="W24" si="21">I24/I$36</f>
        <v>0.41088079425773127</v>
      </c>
      <c r="X24" s="89">
        <f t="shared" ref="X24" si="22">J24/J$36</f>
        <v>0.36552688297314617</v>
      </c>
      <c r="Y24" s="89">
        <f>K24/K$36</f>
        <v>0.3492038384477486</v>
      </c>
      <c r="Z24" s="89">
        <f>L24/L$36</f>
        <v>0.32989178993348556</v>
      </c>
      <c r="AA24" s="7">
        <f>SUM(G24:L24)/SUM(G$36:L$36)</f>
        <v>0.37995628288375355</v>
      </c>
      <c r="AB24" s="190"/>
    </row>
    <row r="25" spans="1:28">
      <c r="A25" s="87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99"/>
      <c r="N25" s="72"/>
      <c r="O25" s="73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89"/>
      <c r="AB25" s="190"/>
    </row>
    <row r="26" spans="1:28">
      <c r="A26" s="87" t="s">
        <v>25</v>
      </c>
      <c r="B26" s="144">
        <f t="shared" ref="B26:G26" si="23">B22-B24</f>
        <v>9198.2999999999993</v>
      </c>
      <c r="C26" s="144">
        <f t="shared" si="23"/>
        <v>7922.9</v>
      </c>
      <c r="D26" s="144">
        <f t="shared" si="23"/>
        <v>7969.5</v>
      </c>
      <c r="E26" s="144">
        <f t="shared" si="23"/>
        <v>8698.5</v>
      </c>
      <c r="F26" s="144">
        <f t="shared" si="23"/>
        <v>9036.5</v>
      </c>
      <c r="G26" s="144">
        <f t="shared" si="23"/>
        <v>9490.5999999999985</v>
      </c>
      <c r="H26" s="144">
        <f>H22-H24</f>
        <v>10109.199999999999</v>
      </c>
      <c r="I26" s="144">
        <f t="shared" ref="I26:J26" si="24">I22-I24</f>
        <v>11849</v>
      </c>
      <c r="J26" s="144">
        <f t="shared" si="24"/>
        <v>13824</v>
      </c>
      <c r="K26" s="144">
        <f>K22-K24</f>
        <v>15537</v>
      </c>
      <c r="L26" s="144">
        <f>L22-L24</f>
        <v>16392</v>
      </c>
      <c r="M26" s="99">
        <f>RATE(5.75,,-G26,L26)</f>
        <v>9.9705056277645698E-2</v>
      </c>
      <c r="N26" s="111"/>
      <c r="O26" s="73" t="s">
        <v>23</v>
      </c>
      <c r="P26" s="89">
        <f t="shared" ref="P26:V26" si="25">B26/B$36</f>
        <v>0.74751932125703968</v>
      </c>
      <c r="Q26" s="89">
        <f t="shared" si="25"/>
        <v>0.71160789667498969</v>
      </c>
      <c r="R26" s="89">
        <f t="shared" si="25"/>
        <v>0.73265242332867542</v>
      </c>
      <c r="S26" s="89">
        <f t="shared" si="25"/>
        <v>0.74372851792951322</v>
      </c>
      <c r="T26" s="89">
        <f t="shared" si="25"/>
        <v>0.77386508636562168</v>
      </c>
      <c r="U26" s="89">
        <f t="shared" si="25"/>
        <v>0.75798065634259515</v>
      </c>
      <c r="V26" s="89">
        <f t="shared" si="25"/>
        <v>0.79404302781334202</v>
      </c>
      <c r="W26" s="89">
        <f t="shared" ref="W26" si="26">I26/I$36</f>
        <v>0.79486147447507882</v>
      </c>
      <c r="X26" s="89">
        <f t="shared" ref="X26" si="27">J26/J$36</f>
        <v>0.80526591716665696</v>
      </c>
      <c r="Y26" s="89">
        <f>K26/K$36</f>
        <v>0.81920278392913637</v>
      </c>
      <c r="Z26" s="89">
        <f>L26/L$36</f>
        <v>0.81366027995631884</v>
      </c>
      <c r="AA26" s="7">
        <f>SUM(G26:L26)/SUM(G$36:L$36)</f>
        <v>0.80053132472402</v>
      </c>
      <c r="AB26" s="190"/>
    </row>
    <row r="27" spans="1:28">
      <c r="A27" s="87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99"/>
      <c r="N27" s="106"/>
      <c r="O27" s="73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190"/>
    </row>
    <row r="28" spans="1:28">
      <c r="A28" s="98" t="s">
        <v>26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99"/>
      <c r="N28" s="106"/>
      <c r="O28" s="73" t="str">
        <f>A28</f>
        <v>Other Assets: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190"/>
    </row>
    <row r="29" spans="1:28">
      <c r="A29" s="87" t="s">
        <v>27</v>
      </c>
      <c r="B29" s="144">
        <v>789.7</v>
      </c>
      <c r="C29" s="144">
        <v>1081.8</v>
      </c>
      <c r="D29" s="144">
        <v>1158.3</v>
      </c>
      <c r="E29" s="144">
        <v>1175.2</v>
      </c>
      <c r="F29" s="144">
        <f>1032.3</f>
        <v>1032.3</v>
      </c>
      <c r="G29" s="144">
        <f>972.8</f>
        <v>972.8</v>
      </c>
      <c r="H29" s="144">
        <v>979</v>
      </c>
      <c r="I29" s="144">
        <v>1091</v>
      </c>
      <c r="J29" s="144">
        <v>1624</v>
      </c>
      <c r="K29" s="144">
        <v>1539</v>
      </c>
      <c r="L29" s="144">
        <v>1715</v>
      </c>
      <c r="M29" s="99">
        <f>RATE(5.75,,-G29,L29)</f>
        <v>0.10363240966914944</v>
      </c>
      <c r="N29" s="106"/>
      <c r="O29" s="73" t="s">
        <v>27</v>
      </c>
      <c r="P29" s="89">
        <f t="shared" ref="P29:V36" si="28">B29/B$36</f>
        <v>6.4176642205264492E-2</v>
      </c>
      <c r="Q29" s="89">
        <f t="shared" si="28"/>
        <v>9.7163591945247804E-2</v>
      </c>
      <c r="R29" s="89">
        <f t="shared" si="28"/>
        <v>0.10648488637199381</v>
      </c>
      <c r="S29" s="89">
        <f t="shared" si="28"/>
        <v>0.1004805143726808</v>
      </c>
      <c r="T29" s="89">
        <f t="shared" si="28"/>
        <v>8.8403798888422647E-2</v>
      </c>
      <c r="U29" s="89">
        <f t="shared" si="28"/>
        <v>7.7694095472370203E-2</v>
      </c>
      <c r="V29" s="89">
        <f t="shared" si="28"/>
        <v>7.6897096133152168E-2</v>
      </c>
      <c r="W29" s="89">
        <f t="shared" ref="W29:X36" si="29">I29/I$36</f>
        <v>7.3187093311866902E-2</v>
      </c>
      <c r="X29" s="89">
        <f t="shared" si="29"/>
        <v>9.4600104852332959E-2</v>
      </c>
      <c r="Y29" s="89">
        <f t="shared" ref="Y29:Z36" si="30">K29/K$36</f>
        <v>8.1145207212907314E-2</v>
      </c>
      <c r="Z29" s="89">
        <f t="shared" si="30"/>
        <v>8.5128561501042394E-2</v>
      </c>
      <c r="AA29" s="7">
        <f t="shared" ref="AA29:AA36" si="31">SUM(G29:L29)/SUM(G$36:L$36)</f>
        <v>8.2133428454699495E-2</v>
      </c>
      <c r="AB29" s="190"/>
    </row>
    <row r="30" spans="1:28">
      <c r="A30" s="87" t="s">
        <v>28</v>
      </c>
      <c r="B30" s="144">
        <v>382.7</v>
      </c>
      <c r="C30" s="144">
        <v>0</v>
      </c>
      <c r="D30" s="144">
        <v>0</v>
      </c>
      <c r="E30" s="144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99"/>
      <c r="N30" s="106"/>
      <c r="O30" s="73" t="s">
        <v>28</v>
      </c>
      <c r="P30" s="89">
        <f t="shared" si="28"/>
        <v>3.1100925632461335E-2</v>
      </c>
      <c r="Q30" s="89">
        <f t="shared" si="28"/>
        <v>0</v>
      </c>
      <c r="R30" s="89">
        <f t="shared" si="28"/>
        <v>0</v>
      </c>
      <c r="S30" s="89">
        <f t="shared" si="28"/>
        <v>0</v>
      </c>
      <c r="T30" s="89">
        <f t="shared" si="28"/>
        <v>0</v>
      </c>
      <c r="U30" s="89">
        <f t="shared" si="28"/>
        <v>0</v>
      </c>
      <c r="V30" s="89">
        <f t="shared" si="28"/>
        <v>0</v>
      </c>
      <c r="W30" s="89">
        <f t="shared" si="29"/>
        <v>0</v>
      </c>
      <c r="X30" s="89">
        <f t="shared" si="29"/>
        <v>0</v>
      </c>
      <c r="Y30" s="89">
        <f t="shared" si="30"/>
        <v>0</v>
      </c>
      <c r="Z30" s="89">
        <f t="shared" si="30"/>
        <v>0</v>
      </c>
      <c r="AA30" s="7">
        <f t="shared" si="31"/>
        <v>0</v>
      </c>
      <c r="AB30" s="190"/>
    </row>
    <row r="31" spans="1:28">
      <c r="A31" s="87" t="s">
        <v>29</v>
      </c>
      <c r="B31" s="144">
        <f>196.8+288.3</f>
        <v>485.1</v>
      </c>
      <c r="C31" s="144">
        <f>189.9+278.3</f>
        <v>468.20000000000005</v>
      </c>
      <c r="D31" s="144">
        <f>468.4+155</f>
        <v>623.4</v>
      </c>
      <c r="E31" s="144">
        <f>506.9+122.3</f>
        <v>629.19999999999993</v>
      </c>
      <c r="F31" s="144">
        <f>422.2+110.3</f>
        <v>532.5</v>
      </c>
      <c r="G31" s="144">
        <f>170+360.3</f>
        <v>530.29999999999995</v>
      </c>
      <c r="H31" s="144">
        <v>345.3</v>
      </c>
      <c r="I31" s="144">
        <v>215</v>
      </c>
      <c r="J31" s="144">
        <v>86</v>
      </c>
      <c r="K31" s="144">
        <v>43</v>
      </c>
      <c r="L31" s="144">
        <v>9</v>
      </c>
      <c r="M31" s="99">
        <f>RATE(5.75,,-G31,L31)</f>
        <v>-0.50781840330601458</v>
      </c>
      <c r="N31" s="106"/>
      <c r="O31" s="73" t="s">
        <v>29</v>
      </c>
      <c r="P31" s="89">
        <f t="shared" si="28"/>
        <v>3.9422678401638343E-2</v>
      </c>
      <c r="Q31" s="89">
        <f t="shared" si="28"/>
        <v>4.2052129551455937E-2</v>
      </c>
      <c r="R31" s="89">
        <f t="shared" si="28"/>
        <v>5.7310436125615941E-2</v>
      </c>
      <c r="S31" s="89">
        <f t="shared" si="28"/>
        <v>5.3797089553514935E-2</v>
      </c>
      <c r="T31" s="89">
        <f t="shared" si="28"/>
        <v>4.5602075857875679E-2</v>
      </c>
      <c r="U31" s="89">
        <f t="shared" si="28"/>
        <v>4.2353185473887667E-2</v>
      </c>
      <c r="V31" s="89">
        <f t="shared" si="28"/>
        <v>2.7122132068209851E-2</v>
      </c>
      <c r="W31" s="89">
        <f t="shared" si="29"/>
        <v>1.4422754410679547E-2</v>
      </c>
      <c r="X31" s="89">
        <f t="shared" si="29"/>
        <v>5.0096114638550704E-3</v>
      </c>
      <c r="Y31" s="89">
        <f t="shared" si="30"/>
        <v>2.2672150163450385E-3</v>
      </c>
      <c r="Z31" s="89">
        <f t="shared" si="30"/>
        <v>4.4673880671100964E-4</v>
      </c>
      <c r="AA31" s="7">
        <f t="shared" si="31"/>
        <v>1.2739764947914831E-2</v>
      </c>
      <c r="AB31" s="190"/>
    </row>
    <row r="32" spans="1:28">
      <c r="A32" s="87" t="s">
        <v>129</v>
      </c>
      <c r="B32" s="144">
        <v>116</v>
      </c>
      <c r="C32" s="144">
        <v>0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99"/>
      <c r="N32" s="106"/>
      <c r="O32" s="73" t="s">
        <v>129</v>
      </c>
      <c r="P32" s="89">
        <f t="shared" si="28"/>
        <v>9.4269855588333291E-3</v>
      </c>
      <c r="Q32" s="89">
        <f t="shared" si="28"/>
        <v>0</v>
      </c>
      <c r="R32" s="89">
        <f t="shared" si="28"/>
        <v>0</v>
      </c>
      <c r="S32" s="89">
        <f t="shared" si="28"/>
        <v>0</v>
      </c>
      <c r="T32" s="89">
        <f t="shared" si="28"/>
        <v>0</v>
      </c>
      <c r="U32" s="89">
        <f t="shared" si="28"/>
        <v>0</v>
      </c>
      <c r="V32" s="89">
        <f t="shared" si="28"/>
        <v>0</v>
      </c>
      <c r="W32" s="89">
        <f t="shared" si="29"/>
        <v>0</v>
      </c>
      <c r="X32" s="89">
        <f t="shared" si="29"/>
        <v>0</v>
      </c>
      <c r="Y32" s="89">
        <f t="shared" si="30"/>
        <v>0</v>
      </c>
      <c r="Z32" s="89">
        <f t="shared" si="30"/>
        <v>0</v>
      </c>
      <c r="AA32" s="7">
        <f t="shared" si="31"/>
        <v>0</v>
      </c>
      <c r="AB32" s="190"/>
    </row>
    <row r="33" spans="1:28">
      <c r="A33" s="87" t="s">
        <v>31</v>
      </c>
      <c r="B33" s="146">
        <v>372.1</v>
      </c>
      <c r="C33" s="146">
        <v>303.5</v>
      </c>
      <c r="D33" s="146">
        <v>366.2</v>
      </c>
      <c r="E33" s="146">
        <v>343.5</v>
      </c>
      <c r="F33" s="146">
        <v>319.39999999999998</v>
      </c>
      <c r="G33" s="146">
        <v>312.89999999999998</v>
      </c>
      <c r="H33" s="147">
        <v>282.5</v>
      </c>
      <c r="I33" s="147">
        <v>276</v>
      </c>
      <c r="J33" s="147">
        <v>257</v>
      </c>
      <c r="K33" s="147">
        <v>275</v>
      </c>
      <c r="L33" s="147">
        <v>396</v>
      </c>
      <c r="M33" s="99">
        <f>RATE(5.75,,-G33,L33)</f>
        <v>4.1812345709872301E-2</v>
      </c>
      <c r="N33" s="106"/>
      <c r="O33" s="73" t="s">
        <v>31</v>
      </c>
      <c r="P33" s="108">
        <f t="shared" si="28"/>
        <v>3.02394941934645E-2</v>
      </c>
      <c r="Q33" s="108">
        <f t="shared" si="28"/>
        <v>2.7259336434999733E-2</v>
      </c>
      <c r="R33" s="108">
        <f t="shared" si="28"/>
        <v>3.3665514451717289E-2</v>
      </c>
      <c r="S33" s="108">
        <f t="shared" si="28"/>
        <v>2.936951726260709E-2</v>
      </c>
      <c r="T33" s="108">
        <f t="shared" si="28"/>
        <v>2.7352681744611248E-2</v>
      </c>
      <c r="U33" s="108">
        <f t="shared" si="28"/>
        <v>2.4990216358249009E-2</v>
      </c>
      <c r="V33" s="109">
        <f t="shared" si="28"/>
        <v>2.2189407209004582E-2</v>
      </c>
      <c r="W33" s="109">
        <f t="shared" si="29"/>
        <v>1.8514791708593277E-2</v>
      </c>
      <c r="X33" s="109">
        <f t="shared" si="29"/>
        <v>1.4970583095473874E-2</v>
      </c>
      <c r="Y33" s="109">
        <f t="shared" si="30"/>
        <v>1.4499630918485711E-2</v>
      </c>
      <c r="Z33" s="109">
        <f t="shared" si="30"/>
        <v>1.9656507495284425E-2</v>
      </c>
      <c r="AA33" s="164">
        <f t="shared" si="31"/>
        <v>1.8658581350543664E-2</v>
      </c>
      <c r="AB33" s="190"/>
    </row>
    <row r="34" spans="1:28">
      <c r="A34" s="87" t="s">
        <v>32</v>
      </c>
      <c r="B34" s="146">
        <f t="shared" ref="B34:H34" si="32">SUM(B29:B33)</f>
        <v>2145.6</v>
      </c>
      <c r="C34" s="146">
        <f t="shared" si="32"/>
        <v>1853.5</v>
      </c>
      <c r="D34" s="146">
        <f t="shared" si="32"/>
        <v>2147.8999999999996</v>
      </c>
      <c r="E34" s="146">
        <f t="shared" si="32"/>
        <v>2147.9</v>
      </c>
      <c r="F34" s="146">
        <f t="shared" si="32"/>
        <v>1884.1999999999998</v>
      </c>
      <c r="G34" s="146">
        <f t="shared" si="32"/>
        <v>1816</v>
      </c>
      <c r="H34" s="148">
        <f t="shared" si="32"/>
        <v>1606.8</v>
      </c>
      <c r="I34" s="148">
        <f t="shared" ref="I34:J34" si="33">SUM(I29:I33)</f>
        <v>1582</v>
      </c>
      <c r="J34" s="148">
        <f t="shared" si="33"/>
        <v>1967</v>
      </c>
      <c r="K34" s="148">
        <f>SUM(K29:K33)</f>
        <v>1857</v>
      </c>
      <c r="L34" s="148">
        <f>SUM(L29:L33)</f>
        <v>2120</v>
      </c>
      <c r="M34" s="184">
        <f>RATE(5.75,,-G34,L34)</f>
        <v>2.7283795832473621E-2</v>
      </c>
      <c r="N34" s="106"/>
      <c r="O34" s="73" t="s">
        <v>32</v>
      </c>
      <c r="P34" s="108">
        <f t="shared" si="28"/>
        <v>0.17436672599166197</v>
      </c>
      <c r="Q34" s="108">
        <f t="shared" si="28"/>
        <v>0.16647505793170347</v>
      </c>
      <c r="R34" s="108">
        <f t="shared" si="28"/>
        <v>0.19746083694932701</v>
      </c>
      <c r="S34" s="108">
        <f t="shared" si="28"/>
        <v>0.18364712118880283</v>
      </c>
      <c r="T34" s="108">
        <f t="shared" si="28"/>
        <v>0.16135855649090955</v>
      </c>
      <c r="U34" s="108">
        <f t="shared" si="28"/>
        <v>0.14503749730450688</v>
      </c>
      <c r="V34" s="113">
        <f t="shared" si="28"/>
        <v>0.12620863541036659</v>
      </c>
      <c r="W34" s="113">
        <f t="shared" si="29"/>
        <v>0.10612463943113973</v>
      </c>
      <c r="X34" s="113">
        <f t="shared" si="29"/>
        <v>0.11458029941166191</v>
      </c>
      <c r="Y34" s="113">
        <f t="shared" si="30"/>
        <v>9.7912053147738057E-2</v>
      </c>
      <c r="Z34" s="113">
        <f t="shared" si="30"/>
        <v>0.10523180780303783</v>
      </c>
      <c r="AA34" s="191">
        <f t="shared" si="31"/>
        <v>0.11353177475315798</v>
      </c>
      <c r="AB34" s="190"/>
    </row>
    <row r="35" spans="1:28">
      <c r="A35" s="87" t="s">
        <v>33</v>
      </c>
      <c r="B35" s="146">
        <f t="shared" ref="B35:K35" si="34">B26+B34</f>
        <v>11343.9</v>
      </c>
      <c r="C35" s="146">
        <f t="shared" si="34"/>
        <v>9776.4</v>
      </c>
      <c r="D35" s="146">
        <f t="shared" si="34"/>
        <v>10117.4</v>
      </c>
      <c r="E35" s="146">
        <f t="shared" si="34"/>
        <v>10846.4</v>
      </c>
      <c r="F35" s="146">
        <f t="shared" si="34"/>
        <v>10920.7</v>
      </c>
      <c r="G35" s="146">
        <f t="shared" si="34"/>
        <v>11306.599999999999</v>
      </c>
      <c r="H35" s="145">
        <f t="shared" si="34"/>
        <v>11715.999999999998</v>
      </c>
      <c r="I35" s="145">
        <f t="shared" ref="I35:J35" si="35">I26+I34</f>
        <v>13431</v>
      </c>
      <c r="J35" s="145">
        <f t="shared" si="35"/>
        <v>15791</v>
      </c>
      <c r="K35" s="145">
        <f t="shared" si="34"/>
        <v>17394</v>
      </c>
      <c r="L35" s="145">
        <f t="shared" ref="L35" si="36">L26+L34</f>
        <v>18512</v>
      </c>
      <c r="M35" s="184">
        <f>RATE(5.75,,-G35,L35)</f>
        <v>8.952823468733051E-2</v>
      </c>
      <c r="N35" s="110"/>
      <c r="O35" s="73" t="s">
        <v>33</v>
      </c>
      <c r="P35" s="108">
        <f t="shared" si="28"/>
        <v>0.92188604724870171</v>
      </c>
      <c r="Q35" s="108">
        <f t="shared" si="28"/>
        <v>0.87808295460669317</v>
      </c>
      <c r="R35" s="108">
        <f t="shared" si="28"/>
        <v>0.93011326027800245</v>
      </c>
      <c r="S35" s="108">
        <f t="shared" si="28"/>
        <v>0.927375639118316</v>
      </c>
      <c r="T35" s="108">
        <f t="shared" si="28"/>
        <v>0.93522364285653137</v>
      </c>
      <c r="U35" s="108">
        <f t="shared" si="28"/>
        <v>0.90301815364710214</v>
      </c>
      <c r="V35" s="113">
        <f t="shared" si="28"/>
        <v>0.92025166322370855</v>
      </c>
      <c r="W35" s="113">
        <f t="shared" si="29"/>
        <v>0.90098611390621852</v>
      </c>
      <c r="X35" s="113">
        <f t="shared" si="29"/>
        <v>0.91984621657831889</v>
      </c>
      <c r="Y35" s="113">
        <f t="shared" si="30"/>
        <v>0.91711483707687436</v>
      </c>
      <c r="Z35" s="113">
        <f t="shared" si="30"/>
        <v>0.91889208775935671</v>
      </c>
      <c r="AA35" s="191">
        <f t="shared" si="31"/>
        <v>0.91406309947717823</v>
      </c>
      <c r="AB35" s="190"/>
    </row>
    <row r="36" spans="1:28" ht="15.75" thickBot="1">
      <c r="A36" s="87" t="s">
        <v>36</v>
      </c>
      <c r="B36" s="149">
        <f t="shared" ref="B36:G36" si="37">B15+B26+B34</f>
        <v>12305.1</v>
      </c>
      <c r="C36" s="149">
        <f t="shared" si="37"/>
        <v>11133.8</v>
      </c>
      <c r="D36" s="149">
        <f t="shared" si="37"/>
        <v>10877.6</v>
      </c>
      <c r="E36" s="149">
        <f t="shared" si="37"/>
        <v>11695.8</v>
      </c>
      <c r="F36" s="149">
        <f t="shared" si="37"/>
        <v>11677.099999999999</v>
      </c>
      <c r="G36" s="149">
        <f t="shared" si="37"/>
        <v>12520.899999999998</v>
      </c>
      <c r="H36" s="150">
        <f>H15+H26+H34</f>
        <v>12731.299999999997</v>
      </c>
      <c r="I36" s="150">
        <f t="shared" ref="I36:J36" si="38">I15+I26+I34</f>
        <v>14907</v>
      </c>
      <c r="J36" s="150">
        <f t="shared" si="38"/>
        <v>17167</v>
      </c>
      <c r="K36" s="150">
        <f>K15+K26+K34</f>
        <v>18966</v>
      </c>
      <c r="L36" s="150">
        <f>L15+L26+L34</f>
        <v>20146</v>
      </c>
      <c r="M36" s="184">
        <f>RATE(5.75,,-G36,L36)</f>
        <v>8.6231292719147271E-2</v>
      </c>
      <c r="N36" s="111"/>
      <c r="O36" s="73" t="s">
        <v>36</v>
      </c>
      <c r="P36" s="114">
        <f t="shared" si="28"/>
        <v>1</v>
      </c>
      <c r="Q36" s="114">
        <f t="shared" si="28"/>
        <v>1</v>
      </c>
      <c r="R36" s="114">
        <f t="shared" si="28"/>
        <v>1</v>
      </c>
      <c r="S36" s="114">
        <f t="shared" si="28"/>
        <v>1</v>
      </c>
      <c r="T36" s="114">
        <f t="shared" si="28"/>
        <v>1</v>
      </c>
      <c r="U36" s="114">
        <f t="shared" si="28"/>
        <v>1</v>
      </c>
      <c r="V36" s="115">
        <f t="shared" si="28"/>
        <v>1</v>
      </c>
      <c r="W36" s="115">
        <f t="shared" si="29"/>
        <v>1</v>
      </c>
      <c r="X36" s="115">
        <f t="shared" si="29"/>
        <v>1</v>
      </c>
      <c r="Y36" s="115">
        <f t="shared" si="30"/>
        <v>1</v>
      </c>
      <c r="Z36" s="115">
        <f t="shared" si="30"/>
        <v>1</v>
      </c>
      <c r="AA36" s="192">
        <f t="shared" si="31"/>
        <v>1</v>
      </c>
      <c r="AB36" s="190"/>
    </row>
    <row r="37" spans="1:28" ht="15.75" thickTop="1">
      <c r="A37" s="87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19"/>
      <c r="N37" s="106"/>
      <c r="O37" s="73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190"/>
    </row>
    <row r="38" spans="1:28">
      <c r="A38" s="98" t="s">
        <v>37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99"/>
      <c r="N38" s="111"/>
      <c r="O38" s="73" t="s">
        <v>37</v>
      </c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190"/>
    </row>
    <row r="39" spans="1:28">
      <c r="A39" s="87" t="s">
        <v>38</v>
      </c>
      <c r="B39" s="144">
        <v>186.9</v>
      </c>
      <c r="C39" s="144">
        <v>51.2</v>
      </c>
      <c r="D39" s="144">
        <v>144.5</v>
      </c>
      <c r="E39" s="144">
        <v>136.69999999999999</v>
      </c>
      <c r="F39" s="144">
        <v>240</v>
      </c>
      <c r="G39" s="144">
        <v>269.89999999999998</v>
      </c>
      <c r="H39" s="144">
        <v>216.9</v>
      </c>
      <c r="I39" s="144">
        <v>414</v>
      </c>
      <c r="J39" s="144">
        <v>144</v>
      </c>
      <c r="K39" s="144">
        <v>16</v>
      </c>
      <c r="L39" s="144">
        <v>588</v>
      </c>
      <c r="M39" s="99">
        <f>RATE(5.75,,-G39,L39)</f>
        <v>0.14501966730397983</v>
      </c>
      <c r="N39" s="111"/>
      <c r="O39" s="73" t="str">
        <f t="shared" ref="O39:O44" si="39">A39</f>
        <v>Current Maturities LTD</v>
      </c>
      <c r="P39" s="89">
        <f t="shared" ref="P39:V45" si="40">B39/B$36</f>
        <v>1.5188824146085769E-2</v>
      </c>
      <c r="Q39" s="89">
        <f t="shared" si="40"/>
        <v>4.5986096391169235E-3</v>
      </c>
      <c r="R39" s="89">
        <f t="shared" si="40"/>
        <v>1.3284180333897182E-2</v>
      </c>
      <c r="S39" s="89">
        <f t="shared" si="40"/>
        <v>1.1687956360402879E-2</v>
      </c>
      <c r="T39" s="89">
        <f t="shared" si="40"/>
        <v>2.0553048273972137E-2</v>
      </c>
      <c r="U39" s="89">
        <f t="shared" si="40"/>
        <v>2.1555958437492515E-2</v>
      </c>
      <c r="V39" s="89">
        <f t="shared" si="40"/>
        <v>1.7036751942064051E-2</v>
      </c>
      <c r="W39" s="89">
        <f t="shared" ref="W39:Z45" si="41">I39/I$36</f>
        <v>2.7772187562889919E-2</v>
      </c>
      <c r="X39" s="89">
        <f t="shared" si="41"/>
        <v>8.3881866371526767E-3</v>
      </c>
      <c r="Y39" s="89">
        <f t="shared" si="41"/>
        <v>8.4361488980280502E-4</v>
      </c>
      <c r="Z39" s="89">
        <f t="shared" si="41"/>
        <v>2.9186935371785964E-2</v>
      </c>
      <c r="AA39" s="7">
        <f t="shared" ref="AA39:AA45" si="42">SUM(G39:L39)/SUM(G$36:L$36)</f>
        <v>1.7096959503599195E-2</v>
      </c>
      <c r="AB39" s="190"/>
    </row>
    <row r="40" spans="1:28">
      <c r="A40" s="87" t="s">
        <v>39</v>
      </c>
      <c r="B40" s="144">
        <v>109</v>
      </c>
      <c r="C40" s="144">
        <v>240.5</v>
      </c>
      <c r="D40" s="144">
        <v>177.5</v>
      </c>
      <c r="E40" s="144">
        <v>25</v>
      </c>
      <c r="F40" s="144">
        <v>124.9</v>
      </c>
      <c r="G40" s="144">
        <v>468.8</v>
      </c>
      <c r="H40" s="144">
        <v>184.4</v>
      </c>
      <c r="I40" s="144">
        <v>0</v>
      </c>
      <c r="J40" s="144">
        <v>85</v>
      </c>
      <c r="K40" s="144">
        <v>0</v>
      </c>
      <c r="L40" s="144">
        <v>36</v>
      </c>
      <c r="M40" s="99">
        <f>RATE(5.75,,-G40,L40)</f>
        <v>-0.36005636868334773</v>
      </c>
      <c r="N40" s="111"/>
      <c r="O40" s="73" t="str">
        <f t="shared" si="39"/>
        <v>Notes Payable and Commercial Paper</v>
      </c>
      <c r="P40" s="89">
        <f t="shared" si="40"/>
        <v>8.8581157406278695E-3</v>
      </c>
      <c r="Q40" s="89">
        <f t="shared" si="40"/>
        <v>2.1600890980617581E-2</v>
      </c>
      <c r="R40" s="89">
        <f t="shared" si="40"/>
        <v>1.6317937780392734E-2</v>
      </c>
      <c r="S40" s="89">
        <f t="shared" si="40"/>
        <v>2.1375194514270082E-3</v>
      </c>
      <c r="T40" s="89">
        <f t="shared" si="40"/>
        <v>1.0696148872579666E-2</v>
      </c>
      <c r="U40" s="89">
        <f t="shared" si="40"/>
        <v>3.7441397982573142E-2</v>
      </c>
      <c r="V40" s="89">
        <f t="shared" si="40"/>
        <v>1.4483988280851134E-2</v>
      </c>
      <c r="W40" s="89">
        <f t="shared" si="41"/>
        <v>0</v>
      </c>
      <c r="X40" s="89">
        <f t="shared" si="41"/>
        <v>4.9513601677637327E-3</v>
      </c>
      <c r="Y40" s="89">
        <f t="shared" si="41"/>
        <v>0</v>
      </c>
      <c r="Z40" s="89">
        <f t="shared" si="41"/>
        <v>1.7869552268440386E-3</v>
      </c>
      <c r="AA40" s="7">
        <f t="shared" si="42"/>
        <v>8.0279391361514421E-3</v>
      </c>
      <c r="AB40" s="190"/>
    </row>
    <row r="41" spans="1:28">
      <c r="A41" s="87" t="s">
        <v>40</v>
      </c>
      <c r="B41" s="144">
        <v>437.4</v>
      </c>
      <c r="C41" s="144">
        <v>609.9</v>
      </c>
      <c r="D41" s="144">
        <v>292.7</v>
      </c>
      <c r="E41" s="144">
        <v>243.4</v>
      </c>
      <c r="F41" s="144">
        <v>262.60000000000002</v>
      </c>
      <c r="G41" s="144">
        <v>350.4</v>
      </c>
      <c r="H41" s="144">
        <f>347.6</f>
        <v>347.6</v>
      </c>
      <c r="I41" s="144">
        <v>449</v>
      </c>
      <c r="J41" s="144">
        <v>757</v>
      </c>
      <c r="K41" s="144">
        <v>553</v>
      </c>
      <c r="L41" s="144">
        <v>479</v>
      </c>
      <c r="M41" s="99">
        <f>RATE(5.75,,-G41,L41)</f>
        <v>5.5874788406721741E-2</v>
      </c>
      <c r="N41" s="106"/>
      <c r="O41" s="73" t="str">
        <f t="shared" si="39"/>
        <v>Accounts Payable</v>
      </c>
      <c r="P41" s="89">
        <f t="shared" si="40"/>
        <v>3.5546236926152566E-2</v>
      </c>
      <c r="Q41" s="89">
        <f t="shared" si="40"/>
        <v>5.4779140994090071E-2</v>
      </c>
      <c r="R41" s="89">
        <f t="shared" si="40"/>
        <v>2.6908509229977198E-2</v>
      </c>
      <c r="S41" s="89">
        <f t="shared" si="40"/>
        <v>2.0810889379093353E-2</v>
      </c>
      <c r="T41" s="89">
        <f t="shared" si="40"/>
        <v>2.248846031977118E-2</v>
      </c>
      <c r="U41" s="89">
        <f t="shared" si="40"/>
        <v>2.7985208731001767E-2</v>
      </c>
      <c r="V41" s="89">
        <f t="shared" si="40"/>
        <v>2.7302789188849534E-2</v>
      </c>
      <c r="W41" s="89">
        <f t="shared" si="41"/>
        <v>3.0120077815791239E-2</v>
      </c>
      <c r="X41" s="89">
        <f t="shared" si="41"/>
        <v>4.4096231141142889E-2</v>
      </c>
      <c r="Y41" s="89">
        <f t="shared" si="41"/>
        <v>2.9157439628809449E-2</v>
      </c>
      <c r="Z41" s="89">
        <f t="shared" si="41"/>
        <v>2.3776432046063736E-2</v>
      </c>
      <c r="AA41" s="7">
        <f t="shared" si="42"/>
        <v>3.0444367480935978E-2</v>
      </c>
      <c r="AB41" s="190"/>
    </row>
    <row r="42" spans="1:28">
      <c r="A42" s="87" t="s">
        <v>41</v>
      </c>
      <c r="B42" s="144">
        <f>4.6+0</f>
        <v>4.5999999999999996</v>
      </c>
      <c r="C42" s="144">
        <f>13.6+5.1</f>
        <v>18.7</v>
      </c>
      <c r="D42" s="144">
        <v>0</v>
      </c>
      <c r="E42" s="144">
        <v>39.6</v>
      </c>
      <c r="F42" s="144">
        <v>2.6</v>
      </c>
      <c r="G42" s="144">
        <v>3.9</v>
      </c>
      <c r="H42" s="144">
        <v>3.8</v>
      </c>
      <c r="I42" s="144">
        <v>2</v>
      </c>
      <c r="J42" s="144">
        <v>0</v>
      </c>
      <c r="K42" s="144">
        <v>0</v>
      </c>
      <c r="L42" s="144"/>
      <c r="M42" s="99"/>
      <c r="N42" s="106"/>
      <c r="O42" s="73" t="str">
        <f t="shared" si="39"/>
        <v>Payable to Affiliates</v>
      </c>
      <c r="P42" s="89">
        <f t="shared" si="40"/>
        <v>3.7382873767787336E-4</v>
      </c>
      <c r="Q42" s="89">
        <f t="shared" si="40"/>
        <v>1.6795703174118451E-3</v>
      </c>
      <c r="R42" s="89">
        <f t="shared" si="40"/>
        <v>0</v>
      </c>
      <c r="S42" s="89">
        <f t="shared" si="40"/>
        <v>3.385830811060381E-3</v>
      </c>
      <c r="T42" s="89">
        <f t="shared" si="40"/>
        <v>2.2265802296803148E-4</v>
      </c>
      <c r="U42" s="89">
        <f t="shared" si="40"/>
        <v>3.1147920676628679E-4</v>
      </c>
      <c r="V42" s="89">
        <f t="shared" si="40"/>
        <v>2.9847698192643333E-4</v>
      </c>
      <c r="W42" s="89">
        <f t="shared" si="41"/>
        <v>1.3416515730864696E-4</v>
      </c>
      <c r="X42" s="89">
        <f t="shared" si="41"/>
        <v>0</v>
      </c>
      <c r="Y42" s="89">
        <f t="shared" si="41"/>
        <v>0</v>
      </c>
      <c r="Z42" s="89">
        <f t="shared" si="41"/>
        <v>0</v>
      </c>
      <c r="AA42" s="7">
        <f t="shared" si="42"/>
        <v>1.0058254923878712E-4</v>
      </c>
      <c r="AB42" s="190"/>
    </row>
    <row r="43" spans="1:28">
      <c r="A43" s="87" t="s">
        <v>42</v>
      </c>
      <c r="B43" s="144">
        <f>153.8+97.3+4.2</f>
        <v>255.3</v>
      </c>
      <c r="C43" s="144">
        <f>61.9+84.1+377.5</f>
        <v>523.5</v>
      </c>
      <c r="D43" s="144">
        <f>91.8+115.9+100.8+151.7</f>
        <v>460.2</v>
      </c>
      <c r="E43" s="144">
        <f>141.3+63.1+67.9+91.7</f>
        <v>364</v>
      </c>
      <c r="F43" s="144">
        <f>131.5+54.2+66.1+76.9+3.7</f>
        <v>332.4</v>
      </c>
      <c r="G43" s="144">
        <f>134.3+39.8+64.8+136.7+2+3.7</f>
        <v>381.3</v>
      </c>
      <c r="H43" s="144">
        <f>131.7+47+63+97.9+16.9+3.7</f>
        <v>360.2</v>
      </c>
      <c r="I43" s="144">
        <f>80+28+74+117</f>
        <v>299</v>
      </c>
      <c r="J43" s="144">
        <f>77+89+73+130</f>
        <v>369</v>
      </c>
      <c r="K43" s="144">
        <f>1013-674</f>
        <v>339</v>
      </c>
      <c r="L43" s="144">
        <f>1538-1200</f>
        <v>338</v>
      </c>
      <c r="M43" s="99">
        <f>RATE(5.75,,-G43,L43)</f>
        <v>-2.0745369306800401E-2</v>
      </c>
      <c r="N43" s="106"/>
      <c r="O43" s="73" t="str">
        <f t="shared" si="39"/>
        <v>Other Payables and Accrued Expenses</v>
      </c>
      <c r="P43" s="89">
        <f t="shared" si="40"/>
        <v>2.0747494941121974E-2</v>
      </c>
      <c r="Q43" s="89">
        <f t="shared" si="40"/>
        <v>4.7018987228080261E-2</v>
      </c>
      <c r="R43" s="89">
        <f t="shared" si="40"/>
        <v>4.2307126572037945E-2</v>
      </c>
      <c r="S43" s="89">
        <f t="shared" si="40"/>
        <v>3.1122283212777237E-2</v>
      </c>
      <c r="T43" s="89">
        <f t="shared" si="40"/>
        <v>2.8465971859451406E-2</v>
      </c>
      <c r="U43" s="89">
        <f t="shared" si="40"/>
        <v>3.0453082446150043E-2</v>
      </c>
      <c r="V43" s="89">
        <f t="shared" si="40"/>
        <v>2.8292476023658232E-2</v>
      </c>
      <c r="W43" s="89">
        <f t="shared" si="41"/>
        <v>2.005769101764272E-2</v>
      </c>
      <c r="X43" s="89">
        <f t="shared" si="41"/>
        <v>2.1494728257703734E-2</v>
      </c>
      <c r="Y43" s="89">
        <f t="shared" si="41"/>
        <v>1.7874090477696933E-2</v>
      </c>
      <c r="Z43" s="89">
        <f t="shared" si="41"/>
        <v>1.6777524074257918E-2</v>
      </c>
      <c r="AA43" s="7">
        <f t="shared" si="42"/>
        <v>2.1635617421312304E-2</v>
      </c>
      <c r="AB43" s="190"/>
    </row>
    <row r="44" spans="1:28">
      <c r="A44" s="87" t="s">
        <v>43</v>
      </c>
      <c r="B44" s="146">
        <v>103</v>
      </c>
      <c r="C44" s="146">
        <v>157.4</v>
      </c>
      <c r="D44" s="146">
        <v>142</v>
      </c>
      <c r="E44" s="146">
        <v>127.3</v>
      </c>
      <c r="F44" s="146">
        <v>111.8</v>
      </c>
      <c r="G44" s="146">
        <v>123.4</v>
      </c>
      <c r="H44" s="147">
        <v>103.2</v>
      </c>
      <c r="I44" s="147">
        <v>149</v>
      </c>
      <c r="J44" s="147">
        <v>111</v>
      </c>
      <c r="K44" s="147">
        <v>105</v>
      </c>
      <c r="L44" s="147">
        <v>97</v>
      </c>
      <c r="M44" s="99">
        <f>RATE(5.75,,-G44,L44)</f>
        <v>-4.1000160008119096E-2</v>
      </c>
      <c r="N44" s="106"/>
      <c r="O44" s="73" t="str">
        <f t="shared" si="39"/>
        <v xml:space="preserve">Other </v>
      </c>
      <c r="P44" s="108">
        <f t="shared" si="40"/>
        <v>8.3705130393089047E-3</v>
      </c>
      <c r="Q44" s="108">
        <f t="shared" si="40"/>
        <v>1.4137131976503981E-2</v>
      </c>
      <c r="R44" s="108">
        <f t="shared" si="40"/>
        <v>1.3054350224314186E-2</v>
      </c>
      <c r="S44" s="108">
        <f t="shared" si="40"/>
        <v>1.0884249046666326E-2</v>
      </c>
      <c r="T44" s="108">
        <f t="shared" si="40"/>
        <v>9.5742949876253536E-3</v>
      </c>
      <c r="U44" s="108">
        <f t="shared" si="40"/>
        <v>9.8555215679384089E-3</v>
      </c>
      <c r="V44" s="109">
        <f t="shared" si="40"/>
        <v>8.1060064565284008E-3</v>
      </c>
      <c r="W44" s="109">
        <f t="shared" si="41"/>
        <v>9.9953042194941971E-3</v>
      </c>
      <c r="X44" s="109">
        <f t="shared" si="41"/>
        <v>6.4658938661385215E-3</v>
      </c>
      <c r="Y44" s="109">
        <f t="shared" si="41"/>
        <v>5.5362227143309082E-3</v>
      </c>
      <c r="Z44" s="109">
        <f t="shared" si="41"/>
        <v>4.8148515834408817E-3</v>
      </c>
      <c r="AA44" s="164">
        <f t="shared" si="42"/>
        <v>7.1403240624565789E-3</v>
      </c>
      <c r="AB44" s="190"/>
    </row>
    <row r="45" spans="1:28">
      <c r="A45" s="87" t="s">
        <v>44</v>
      </c>
      <c r="B45" s="144">
        <f t="shared" ref="B45:K45" si="43">SUM(B38:B44)</f>
        <v>1096.2</v>
      </c>
      <c r="C45" s="144">
        <f t="shared" si="43"/>
        <v>1601.2</v>
      </c>
      <c r="D45" s="144">
        <f t="shared" si="43"/>
        <v>1216.9000000000001</v>
      </c>
      <c r="E45" s="144">
        <f t="shared" si="43"/>
        <v>936</v>
      </c>
      <c r="F45" s="144">
        <f t="shared" si="43"/>
        <v>1074.3</v>
      </c>
      <c r="G45" s="144">
        <f t="shared" si="43"/>
        <v>1597.7</v>
      </c>
      <c r="H45" s="144">
        <f t="shared" si="43"/>
        <v>1216.1000000000001</v>
      </c>
      <c r="I45" s="144">
        <f t="shared" ref="I45:J45" si="44">SUM(I38:I44)</f>
        <v>1313</v>
      </c>
      <c r="J45" s="144">
        <f t="shared" si="44"/>
        <v>1466</v>
      </c>
      <c r="K45" s="144">
        <f t="shared" si="43"/>
        <v>1013</v>
      </c>
      <c r="L45" s="144">
        <f t="shared" ref="L45" si="45">SUM(L38:L44)</f>
        <v>1538</v>
      </c>
      <c r="M45" s="184">
        <f>RATE(5.75,,-G45,L45)</f>
        <v>-6.6011117766825774E-3</v>
      </c>
      <c r="N45" s="106"/>
      <c r="O45" s="73" t="s">
        <v>44</v>
      </c>
      <c r="P45" s="89">
        <f t="shared" si="40"/>
        <v>8.9085013530974963E-2</v>
      </c>
      <c r="Q45" s="89">
        <f t="shared" si="40"/>
        <v>0.14381433113582068</v>
      </c>
      <c r="R45" s="89">
        <f t="shared" si="40"/>
        <v>0.11187210414061925</v>
      </c>
      <c r="S45" s="89">
        <f t="shared" si="40"/>
        <v>8.0028728261427179E-2</v>
      </c>
      <c r="T45" s="89">
        <f t="shared" si="40"/>
        <v>9.2000582336367764E-2</v>
      </c>
      <c r="U45" s="89">
        <f t="shared" si="40"/>
        <v>0.12760264837192217</v>
      </c>
      <c r="V45" s="89">
        <f t="shared" si="40"/>
        <v>9.552048887387779E-2</v>
      </c>
      <c r="W45" s="89">
        <f t="shared" si="41"/>
        <v>8.8079425773126718E-2</v>
      </c>
      <c r="X45" s="89">
        <f t="shared" si="41"/>
        <v>8.5396400069901554E-2</v>
      </c>
      <c r="Y45" s="89">
        <f t="shared" si="41"/>
        <v>5.341136771064009E-2</v>
      </c>
      <c r="Z45" s="89">
        <f t="shared" si="41"/>
        <v>7.6342698302392528E-2</v>
      </c>
      <c r="AA45" s="7">
        <f t="shared" si="42"/>
        <v>8.4445790153694286E-2</v>
      </c>
      <c r="AB45" s="190"/>
    </row>
    <row r="46" spans="1:28">
      <c r="A46" s="87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99"/>
      <c r="N46" s="106"/>
      <c r="O46" s="73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190"/>
    </row>
    <row r="47" spans="1:28">
      <c r="A47" s="87" t="s">
        <v>45</v>
      </c>
      <c r="B47" s="144">
        <f>4221.5+340.9</f>
        <v>4562.3999999999996</v>
      </c>
      <c r="C47" s="144">
        <v>2906.9</v>
      </c>
      <c r="D47" s="144">
        <v>3553.8</v>
      </c>
      <c r="E47" s="144">
        <v>3417.6</v>
      </c>
      <c r="F47" s="144">
        <v>3520.2</v>
      </c>
      <c r="G47" s="144">
        <v>3629</v>
      </c>
      <c r="H47" s="144">
        <v>3721</v>
      </c>
      <c r="I47" s="144">
        <v>4753</v>
      </c>
      <c r="J47" s="144">
        <v>5424</v>
      </c>
      <c r="K47" s="144">
        <v>6400</v>
      </c>
      <c r="L47" s="144">
        <v>5813</v>
      </c>
      <c r="M47" s="99">
        <f>RATE(5.75,,-G47,L47)</f>
        <v>8.5387788897802172E-2</v>
      </c>
      <c r="N47" s="106"/>
      <c r="O47" s="73" t="s">
        <v>45</v>
      </c>
      <c r="P47" s="89">
        <f t="shared" ref="P47:V50" si="46">B47/B$36</f>
        <v>0.37077309408294118</v>
      </c>
      <c r="Q47" s="89">
        <f t="shared" si="46"/>
        <v>0.26108785859275363</v>
      </c>
      <c r="R47" s="89">
        <f t="shared" si="46"/>
        <v>0.32670809737442086</v>
      </c>
      <c r="S47" s="89">
        <f t="shared" si="46"/>
        <v>0.29220745908787771</v>
      </c>
      <c r="T47" s="89">
        <f t="shared" si="46"/>
        <v>0.30146183555848627</v>
      </c>
      <c r="U47" s="89">
        <f t="shared" si="46"/>
        <v>0.28983539521919355</v>
      </c>
      <c r="V47" s="89">
        <f t="shared" si="46"/>
        <v>0.2922718025653312</v>
      </c>
      <c r="W47" s="89">
        <f t="shared" ref="W47:Z50" si="47">I47/I$36</f>
        <v>0.31884349634399944</v>
      </c>
      <c r="X47" s="89">
        <f t="shared" si="47"/>
        <v>0.31595502999941749</v>
      </c>
      <c r="Y47" s="89">
        <f t="shared" si="47"/>
        <v>0.33744595592112203</v>
      </c>
      <c r="Z47" s="89">
        <f t="shared" si="47"/>
        <v>0.28854363149012213</v>
      </c>
      <c r="AA47" s="7">
        <f t="shared" ref="AA47:AA50" si="48">SUM(G47:L47)/SUM(G$36:L$36)</f>
        <v>0.30838402209912669</v>
      </c>
      <c r="AB47" s="190"/>
    </row>
    <row r="48" spans="1:28">
      <c r="A48" s="87" t="s">
        <v>46</v>
      </c>
      <c r="B48" s="144">
        <v>1642.2</v>
      </c>
      <c r="C48" s="144">
        <v>1645</v>
      </c>
      <c r="D48" s="144">
        <v>1434.8</v>
      </c>
      <c r="E48" s="144">
        <v>1511.1</v>
      </c>
      <c r="F48" s="144">
        <v>1564.6</v>
      </c>
      <c r="G48" s="144">
        <v>1629</v>
      </c>
      <c r="H48" s="144">
        <v>1621.2</v>
      </c>
      <c r="I48" s="144">
        <v>1701</v>
      </c>
      <c r="J48" s="144">
        <v>2025</v>
      </c>
      <c r="K48" s="144">
        <v>2625</v>
      </c>
      <c r="L48" s="144">
        <v>3448</v>
      </c>
      <c r="M48" s="99">
        <f>RATE(5.75,,-G48,L48)</f>
        <v>0.13928955822076677</v>
      </c>
      <c r="N48" s="106"/>
      <c r="O48" s="73" t="s">
        <v>46</v>
      </c>
      <c r="P48" s="89">
        <f t="shared" si="46"/>
        <v>0.13345685935100079</v>
      </c>
      <c r="Q48" s="89">
        <f t="shared" si="46"/>
        <v>0.14774829797553396</v>
      </c>
      <c r="R48" s="89">
        <f t="shared" si="46"/>
        <v>0.13190409649187321</v>
      </c>
      <c r="S48" s="89">
        <f t="shared" si="46"/>
        <v>0.12920022572205406</v>
      </c>
      <c r="T48" s="89">
        <f t="shared" si="46"/>
        <v>0.13398874720607001</v>
      </c>
      <c r="U48" s="89">
        <f t="shared" si="46"/>
        <v>0.13010246867237982</v>
      </c>
      <c r="V48" s="89">
        <f t="shared" si="46"/>
        <v>0.12733970607871942</v>
      </c>
      <c r="W48" s="89">
        <f t="shared" si="47"/>
        <v>0.11410746629100423</v>
      </c>
      <c r="X48" s="89">
        <f t="shared" si="47"/>
        <v>0.11795887458495952</v>
      </c>
      <c r="Y48" s="89">
        <f t="shared" si="47"/>
        <v>0.13840556785827271</v>
      </c>
      <c r="Z48" s="89">
        <f t="shared" si="47"/>
        <v>0.1711506006155068</v>
      </c>
      <c r="AA48" s="7">
        <f t="shared" si="48"/>
        <v>0.13531152593059598</v>
      </c>
      <c r="AB48" s="190"/>
    </row>
    <row r="49" spans="1:28">
      <c r="A49" s="87" t="s">
        <v>47</v>
      </c>
      <c r="B49" s="145">
        <f>115.2+101.6+691.1</f>
        <v>907.90000000000009</v>
      </c>
      <c r="C49" s="145">
        <f>107.2+256+645.4</f>
        <v>1008.5999999999999</v>
      </c>
      <c r="D49" s="145">
        <f>99.3+219.7+560.5+443.7</f>
        <v>1323.2</v>
      </c>
      <c r="E49" s="145">
        <f>801.9+91.4+643.5+650.1</f>
        <v>2186.9</v>
      </c>
      <c r="F49" s="145">
        <f>3706.3-1564.6</f>
        <v>2141.7000000000003</v>
      </c>
      <c r="G49" s="145">
        <f>3868.3-1629</f>
        <v>2239.3000000000002</v>
      </c>
      <c r="H49" s="145">
        <f>3701.1-H48</f>
        <v>2079.8999999999996</v>
      </c>
      <c r="I49" s="145">
        <f>3761-I48</f>
        <v>2060</v>
      </c>
      <c r="J49" s="145">
        <f>821+490+874+80</f>
        <v>2265</v>
      </c>
      <c r="K49" s="147">
        <f>12234-10038</f>
        <v>2196</v>
      </c>
      <c r="L49" s="147">
        <f>12835-10799</f>
        <v>2036</v>
      </c>
      <c r="M49" s="99">
        <f>RATE(5.75,,-G49,L49)</f>
        <v>-1.6416147784210425E-2</v>
      </c>
      <c r="N49" s="110"/>
      <c r="O49" s="73" t="s">
        <v>47</v>
      </c>
      <c r="P49" s="108">
        <f t="shared" si="46"/>
        <v>7.378241542124811E-2</v>
      </c>
      <c r="Q49" s="108">
        <f t="shared" si="46"/>
        <v>9.0589017226822832E-2</v>
      </c>
      <c r="R49" s="108">
        <f t="shared" si="46"/>
        <v>0.12164448040008825</v>
      </c>
      <c r="S49" s="108">
        <f t="shared" si="46"/>
        <v>0.18698165153302898</v>
      </c>
      <c r="T49" s="108">
        <f t="shared" si="46"/>
        <v>0.18341026453485887</v>
      </c>
      <c r="U49" s="108">
        <f t="shared" si="46"/>
        <v>0.17884497120814002</v>
      </c>
      <c r="V49" s="109">
        <f t="shared" si="46"/>
        <v>0.16336901966020753</v>
      </c>
      <c r="W49" s="109">
        <f t="shared" si="47"/>
        <v>0.13819011202790635</v>
      </c>
      <c r="X49" s="109">
        <f t="shared" si="47"/>
        <v>0.13193918564688065</v>
      </c>
      <c r="Y49" s="109">
        <f t="shared" si="47"/>
        <v>0.11578614362543499</v>
      </c>
      <c r="Z49" s="109">
        <f t="shared" si="47"/>
        <v>0.1010622456070684</v>
      </c>
      <c r="AA49" s="164">
        <f t="shared" si="48"/>
        <v>0.13351763098025474</v>
      </c>
      <c r="AB49" s="190"/>
    </row>
    <row r="50" spans="1:28">
      <c r="A50" s="103" t="s">
        <v>48</v>
      </c>
      <c r="B50" s="151">
        <f t="shared" ref="B50:K50" si="49">SUM(B47:B49)</f>
        <v>7112.5</v>
      </c>
      <c r="C50" s="151">
        <f t="shared" si="49"/>
        <v>5560.5</v>
      </c>
      <c r="D50" s="151">
        <f t="shared" si="49"/>
        <v>6311.8</v>
      </c>
      <c r="E50" s="151">
        <f t="shared" si="49"/>
        <v>7115.6</v>
      </c>
      <c r="F50" s="151">
        <f t="shared" si="49"/>
        <v>7226.5</v>
      </c>
      <c r="G50" s="151">
        <f t="shared" si="49"/>
        <v>7497.3</v>
      </c>
      <c r="H50" s="151">
        <f t="shared" si="49"/>
        <v>7422.0999999999995</v>
      </c>
      <c r="I50" s="151">
        <f t="shared" ref="I50" si="50">SUM(I47:I49)</f>
        <v>8514</v>
      </c>
      <c r="J50" s="151">
        <f>SUM(J47:J49)</f>
        <v>9714</v>
      </c>
      <c r="K50" s="151">
        <f t="shared" si="49"/>
        <v>11221</v>
      </c>
      <c r="L50" s="151">
        <f t="shared" ref="L50" si="51">SUM(L47:L49)</f>
        <v>11297</v>
      </c>
      <c r="M50" s="184">
        <f>RATE(5.75,,-G50,L50)</f>
        <v>7.3906943429612418E-2</v>
      </c>
      <c r="N50" s="111"/>
      <c r="O50" s="100" t="s">
        <v>48</v>
      </c>
      <c r="P50" s="89">
        <f t="shared" si="46"/>
        <v>0.57801236885519014</v>
      </c>
      <c r="Q50" s="89">
        <f t="shared" si="46"/>
        <v>0.49942517379511042</v>
      </c>
      <c r="R50" s="89">
        <f t="shared" si="46"/>
        <v>0.58025667426638228</v>
      </c>
      <c r="S50" s="89">
        <f t="shared" si="46"/>
        <v>0.60838933634296077</v>
      </c>
      <c r="T50" s="89">
        <f t="shared" si="46"/>
        <v>0.61886084729941515</v>
      </c>
      <c r="U50" s="89">
        <f t="shared" si="46"/>
        <v>0.59878283509971342</v>
      </c>
      <c r="V50" s="89">
        <f t="shared" si="46"/>
        <v>0.58298052830425806</v>
      </c>
      <c r="W50" s="89">
        <f t="shared" si="47"/>
        <v>0.57114107466291009</v>
      </c>
      <c r="X50" s="89">
        <f t="shared" si="47"/>
        <v>0.56585309023125763</v>
      </c>
      <c r="Y50" s="89">
        <f t="shared" si="47"/>
        <v>0.5916376674048297</v>
      </c>
      <c r="Z50" s="89">
        <f t="shared" si="47"/>
        <v>0.56075647771269732</v>
      </c>
      <c r="AA50" s="7">
        <f t="shared" si="48"/>
        <v>0.57721317900997737</v>
      </c>
      <c r="AB50" s="190"/>
    </row>
    <row r="51" spans="1:28">
      <c r="A51" s="103"/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99"/>
      <c r="N51" s="106"/>
      <c r="O51" s="100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190"/>
    </row>
    <row r="52" spans="1:28">
      <c r="A52" s="87" t="s">
        <v>49</v>
      </c>
      <c r="B52" s="144">
        <f t="shared" ref="B52:G52" si="52">B50+B45</f>
        <v>8208.7000000000007</v>
      </c>
      <c r="C52" s="144">
        <f t="shared" si="52"/>
        <v>7161.7</v>
      </c>
      <c r="D52" s="144">
        <f t="shared" si="52"/>
        <v>7528.7000000000007</v>
      </c>
      <c r="E52" s="144">
        <f t="shared" si="52"/>
        <v>8051.6</v>
      </c>
      <c r="F52" s="144">
        <f t="shared" si="52"/>
        <v>8300.7999999999993</v>
      </c>
      <c r="G52" s="144">
        <f t="shared" si="52"/>
        <v>9095</v>
      </c>
      <c r="H52" s="144">
        <f t="shared" ref="H52:L52" si="53">H50+H45</f>
        <v>8638.1999999999989</v>
      </c>
      <c r="I52" s="144">
        <f t="shared" si="53"/>
        <v>9827</v>
      </c>
      <c r="J52" s="144">
        <f t="shared" si="53"/>
        <v>11180</v>
      </c>
      <c r="K52" s="144">
        <f t="shared" si="53"/>
        <v>12234</v>
      </c>
      <c r="L52" s="144">
        <f t="shared" si="53"/>
        <v>12835</v>
      </c>
      <c r="M52" s="99">
        <f>RATE(5.75,,-G52,L52)</f>
        <v>6.1735169512804867E-2</v>
      </c>
      <c r="N52" s="106"/>
      <c r="O52" s="73" t="s">
        <v>49</v>
      </c>
      <c r="P52" s="89">
        <f t="shared" ref="P52:V52" si="54">B52/B$36</f>
        <v>0.66709738238616512</v>
      </c>
      <c r="Q52" s="89">
        <f t="shared" si="54"/>
        <v>0.64323950493093107</v>
      </c>
      <c r="R52" s="89">
        <f t="shared" si="54"/>
        <v>0.6921287784070016</v>
      </c>
      <c r="S52" s="89">
        <f t="shared" si="54"/>
        <v>0.68841806460438792</v>
      </c>
      <c r="T52" s="89">
        <f t="shared" si="54"/>
        <v>0.71086142963578292</v>
      </c>
      <c r="U52" s="89">
        <f t="shared" si="54"/>
        <v>0.72638548347163556</v>
      </c>
      <c r="V52" s="89">
        <f t="shared" si="54"/>
        <v>0.67850101717813582</v>
      </c>
      <c r="W52" s="89">
        <f t="shared" ref="W52:Z52" si="55">I52/I$36</f>
        <v>0.65922050043603675</v>
      </c>
      <c r="X52" s="89">
        <f t="shared" si="55"/>
        <v>0.6512494903011592</v>
      </c>
      <c r="Y52" s="89">
        <f t="shared" si="55"/>
        <v>0.64504903511546974</v>
      </c>
      <c r="Z52" s="89">
        <f t="shared" si="55"/>
        <v>0.63709917601508981</v>
      </c>
      <c r="AA52" s="7">
        <f>SUM(G52:L52)/SUM(G$36:L$36)</f>
        <v>0.66165896916367162</v>
      </c>
      <c r="AB52" s="190"/>
    </row>
    <row r="53" spans="1:28">
      <c r="A53" s="87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99"/>
      <c r="N53" s="111"/>
      <c r="O53" s="73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190"/>
    </row>
    <row r="54" spans="1:28">
      <c r="A54" s="87" t="s">
        <v>50</v>
      </c>
      <c r="B54" s="144">
        <f>175+41.5</f>
        <v>216.5</v>
      </c>
      <c r="C54" s="144">
        <f>341.2+175+41.5</f>
        <v>557.70000000000005</v>
      </c>
      <c r="D54" s="144">
        <f>341.5+74.2+41.3</f>
        <v>457</v>
      </c>
      <c r="E54" s="144">
        <f>341.8+66.7+41.3</f>
        <v>449.8</v>
      </c>
      <c r="F54" s="144">
        <f>56.3+41.3</f>
        <v>97.6</v>
      </c>
      <c r="G54" s="144">
        <f>48.8+41.3</f>
        <v>90.1</v>
      </c>
      <c r="H54" s="144">
        <f>41.3+41.3</f>
        <v>82.6</v>
      </c>
      <c r="I54" s="144">
        <v>41.3</v>
      </c>
      <c r="J54" s="144">
        <v>41</v>
      </c>
      <c r="K54" s="144">
        <v>41</v>
      </c>
      <c r="L54" s="144">
        <v>41</v>
      </c>
      <c r="M54" s="99">
        <f>RATE(5.75,,-G54,L54)</f>
        <v>-0.12796882449195016</v>
      </c>
      <c r="N54" s="111"/>
      <c r="O54" s="73" t="s">
        <v>50</v>
      </c>
      <c r="P54" s="89">
        <f t="shared" ref="P54:V54" si="56">B54/B$36</f>
        <v>1.7594330805925998E-2</v>
      </c>
      <c r="Q54" s="89">
        <f t="shared" si="56"/>
        <v>5.0090714760459149E-2</v>
      </c>
      <c r="R54" s="89">
        <f t="shared" si="56"/>
        <v>4.2012944031771714E-2</v>
      </c>
      <c r="S54" s="89">
        <f t="shared" si="56"/>
        <v>3.8458249970074729E-2</v>
      </c>
      <c r="T54" s="89">
        <f t="shared" si="56"/>
        <v>8.3582396314153349E-3</v>
      </c>
      <c r="U54" s="89">
        <f t="shared" si="56"/>
        <v>7.1959683409339595E-3</v>
      </c>
      <c r="V54" s="89">
        <f t="shared" si="56"/>
        <v>6.4879470281903667E-3</v>
      </c>
      <c r="W54" s="89">
        <f t="shared" ref="W54:Z54" si="57">I54/I$36</f>
        <v>2.7705104984235593E-3</v>
      </c>
      <c r="X54" s="89">
        <f t="shared" si="57"/>
        <v>2.3883031397448594E-3</v>
      </c>
      <c r="Y54" s="89">
        <f t="shared" si="57"/>
        <v>2.1617631551196881E-3</v>
      </c>
      <c r="Z54" s="89">
        <f t="shared" si="57"/>
        <v>2.0351434527945992E-3</v>
      </c>
      <c r="AA54" s="7">
        <f>SUM(G54:L54)/SUM(G$36:L$36)</f>
        <v>3.4944658859248721E-3</v>
      </c>
      <c r="AB54" s="190"/>
    </row>
    <row r="55" spans="1:28">
      <c r="A55" s="71"/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99"/>
      <c r="N55" s="111"/>
      <c r="O55" s="116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190"/>
    </row>
    <row r="56" spans="1:28">
      <c r="A56" s="98" t="s">
        <v>51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99"/>
      <c r="N56" s="111"/>
      <c r="O56" s="73" t="s">
        <v>51</v>
      </c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89"/>
      <c r="AB56" s="190"/>
    </row>
    <row r="57" spans="1:28">
      <c r="A57" s="118" t="s">
        <v>52</v>
      </c>
      <c r="B57" s="144">
        <v>3284.9</v>
      </c>
      <c r="C57" s="144">
        <f>3284.9+0.9</f>
        <v>3285.8</v>
      </c>
      <c r="D57" s="144">
        <f>2742.1+0.7-24</f>
        <v>2718.7999999999997</v>
      </c>
      <c r="E57" s="144">
        <f>2892.1-1.7-1.9</f>
        <v>2888.5</v>
      </c>
      <c r="F57" s="144">
        <f>2892.1+4.5-8</f>
        <v>2888.6</v>
      </c>
      <c r="G57" s="144">
        <f>2894.1+4.3-9</f>
        <v>2889.4</v>
      </c>
      <c r="H57" s="144">
        <f>3381.9</f>
        <v>3381.9</v>
      </c>
      <c r="I57" s="144">
        <v>3804</v>
      </c>
      <c r="J57" s="144">
        <v>4254</v>
      </c>
      <c r="K57" s="144">
        <v>4457</v>
      </c>
      <c r="L57" s="144">
        <v>4472</v>
      </c>
      <c r="M57" s="99">
        <f>RATE(5.75,,-G57,L57)</f>
        <v>7.892258155374024E-2</v>
      </c>
      <c r="N57" s="106"/>
      <c r="O57" s="117" t="s">
        <v>52</v>
      </c>
      <c r="P57" s="89">
        <f t="shared" ref="P57:V60" si="58">B57/B$36</f>
        <v>0.26695435226044484</v>
      </c>
      <c r="Q57" s="89">
        <f t="shared" si="58"/>
        <v>0.29511936625410917</v>
      </c>
      <c r="R57" s="89">
        <f t="shared" si="58"/>
        <v>0.24994484077370005</v>
      </c>
      <c r="S57" s="89">
        <f t="shared" si="58"/>
        <v>0.24696899741787651</v>
      </c>
      <c r="T57" s="89">
        <f t="shared" si="58"/>
        <v>0.24737306351748295</v>
      </c>
      <c r="U57" s="89">
        <f t="shared" si="58"/>
        <v>0.23076615898218183</v>
      </c>
      <c r="V57" s="89">
        <f t="shared" si="58"/>
        <v>0.26563665925710656</v>
      </c>
      <c r="W57" s="89">
        <f t="shared" ref="W57:Z60" si="59">I57/I$36</f>
        <v>0.25518212920104649</v>
      </c>
      <c r="X57" s="89">
        <f t="shared" si="59"/>
        <v>0.24780101357255199</v>
      </c>
      <c r="Y57" s="89">
        <f t="shared" si="59"/>
        <v>0.23499947274069388</v>
      </c>
      <c r="Z57" s="89">
        <f t="shared" si="59"/>
        <v>0.22197954929018168</v>
      </c>
      <c r="AA57" s="7">
        <f t="shared" ref="AA57:AA60" si="60">SUM(G57:L57)/SUM(G$36:L$36)</f>
        <v>0.24117310360417346</v>
      </c>
      <c r="AB57" s="190"/>
    </row>
    <row r="58" spans="1:28">
      <c r="A58" s="118" t="s">
        <v>53</v>
      </c>
      <c r="B58" s="146">
        <f>622.2-27.2</f>
        <v>595</v>
      </c>
      <c r="C58" s="146">
        <v>128.6</v>
      </c>
      <c r="D58" s="146">
        <v>173.1</v>
      </c>
      <c r="E58" s="146">
        <v>305.89999999999998</v>
      </c>
      <c r="F58" s="146">
        <v>390.1</v>
      </c>
      <c r="G58" s="146">
        <v>446.4</v>
      </c>
      <c r="H58" s="147">
        <f>630-1.4</f>
        <v>628.6</v>
      </c>
      <c r="I58" s="147">
        <f>1239-4</f>
        <v>1235</v>
      </c>
      <c r="J58" s="147">
        <f>1694-2</f>
        <v>1692</v>
      </c>
      <c r="K58" s="147">
        <v>2234</v>
      </c>
      <c r="L58" s="147">
        <v>2798</v>
      </c>
      <c r="M58" s="99">
        <f>RATE(5.75,,-G58,L58)</f>
        <v>0.3760372104073475</v>
      </c>
      <c r="N58" s="106"/>
      <c r="O58" s="117" t="s">
        <v>53</v>
      </c>
      <c r="P58" s="108">
        <f t="shared" si="58"/>
        <v>4.8353934547464061E-2</v>
      </c>
      <c r="Q58" s="108">
        <f t="shared" si="58"/>
        <v>1.155041405450071E-2</v>
      </c>
      <c r="R58" s="108">
        <f t="shared" si="58"/>
        <v>1.5913436787526658E-2</v>
      </c>
      <c r="S58" s="108">
        <f t="shared" si="58"/>
        <v>2.6154688007660871E-2</v>
      </c>
      <c r="T58" s="108">
        <f t="shared" si="58"/>
        <v>3.3407267215318878E-2</v>
      </c>
      <c r="U58" s="108">
        <f t="shared" si="58"/>
        <v>3.5652389205248831E-2</v>
      </c>
      <c r="V58" s="109">
        <f t="shared" si="58"/>
        <v>4.9374376536567371E-2</v>
      </c>
      <c r="W58" s="109">
        <f t="shared" si="59"/>
        <v>8.2846984638089483E-2</v>
      </c>
      <c r="X58" s="109">
        <f t="shared" si="59"/>
        <v>9.856119298654395E-2</v>
      </c>
      <c r="Y58" s="109">
        <f t="shared" si="59"/>
        <v>0.11778972898871665</v>
      </c>
      <c r="Z58" s="109">
        <f t="shared" si="59"/>
        <v>0.13888613124193389</v>
      </c>
      <c r="AA58" s="164">
        <f t="shared" si="60"/>
        <v>9.367657214672194E-2</v>
      </c>
      <c r="AB58" s="190"/>
    </row>
    <row r="59" spans="1:28">
      <c r="A59" s="87" t="s">
        <v>54</v>
      </c>
      <c r="B59" s="146">
        <f t="shared" ref="B59:K59" si="61">SUM(B56:B58)</f>
        <v>3879.9</v>
      </c>
      <c r="C59" s="146">
        <f t="shared" si="61"/>
        <v>3414.4</v>
      </c>
      <c r="D59" s="146">
        <f t="shared" si="61"/>
        <v>2891.8999999999996</v>
      </c>
      <c r="E59" s="146">
        <f t="shared" si="61"/>
        <v>3194.4</v>
      </c>
      <c r="F59" s="146">
        <f t="shared" si="61"/>
        <v>3278.7</v>
      </c>
      <c r="G59" s="146">
        <f t="shared" si="61"/>
        <v>3335.8</v>
      </c>
      <c r="H59" s="145">
        <f t="shared" si="61"/>
        <v>4010.5</v>
      </c>
      <c r="I59" s="145">
        <f>SUM(I56:I58)</f>
        <v>5039</v>
      </c>
      <c r="J59" s="145">
        <f t="shared" ref="J59" si="62">SUM(J56:J58)</f>
        <v>5946</v>
      </c>
      <c r="K59" s="145">
        <f t="shared" si="61"/>
        <v>6691</v>
      </c>
      <c r="L59" s="145">
        <f t="shared" ref="L59" si="63">SUM(L56:L58)</f>
        <v>7270</v>
      </c>
      <c r="M59" s="184">
        <f>RATE(5.75,,-G59,L59)</f>
        <v>0.1450930172255129</v>
      </c>
      <c r="N59" s="106"/>
      <c r="O59" s="73" t="s">
        <v>54</v>
      </c>
      <c r="P59" s="108">
        <f t="shared" si="58"/>
        <v>0.3153082868079089</v>
      </c>
      <c r="Q59" s="108">
        <f t="shared" si="58"/>
        <v>0.30666978030860986</v>
      </c>
      <c r="R59" s="108">
        <f t="shared" si="58"/>
        <v>0.26585827756122671</v>
      </c>
      <c r="S59" s="108">
        <f t="shared" si="58"/>
        <v>0.27312368542553739</v>
      </c>
      <c r="T59" s="108">
        <f t="shared" si="58"/>
        <v>0.28078033073280184</v>
      </c>
      <c r="U59" s="108">
        <f t="shared" si="58"/>
        <v>0.26641854818743066</v>
      </c>
      <c r="V59" s="113">
        <f t="shared" si="58"/>
        <v>0.3150110357936739</v>
      </c>
      <c r="W59" s="113">
        <f t="shared" si="59"/>
        <v>0.33802911383913598</v>
      </c>
      <c r="X59" s="113">
        <f t="shared" si="59"/>
        <v>0.34636220655909594</v>
      </c>
      <c r="Y59" s="113">
        <f t="shared" si="59"/>
        <v>0.35278920172941053</v>
      </c>
      <c r="Z59" s="113">
        <f t="shared" si="59"/>
        <v>0.36086568053211554</v>
      </c>
      <c r="AA59" s="191">
        <f t="shared" si="60"/>
        <v>0.33484967575089541</v>
      </c>
      <c r="AB59" s="190"/>
    </row>
    <row r="60" spans="1:28" ht="15.75" thickBot="1">
      <c r="A60" s="87" t="s">
        <v>55</v>
      </c>
      <c r="B60" s="149">
        <f t="shared" ref="B60:K60" si="64">B59+B52+B54</f>
        <v>12305.1</v>
      </c>
      <c r="C60" s="149">
        <f t="shared" si="64"/>
        <v>11133.800000000001</v>
      </c>
      <c r="D60" s="149">
        <f t="shared" si="64"/>
        <v>10877.6</v>
      </c>
      <c r="E60" s="149">
        <f t="shared" si="64"/>
        <v>11695.8</v>
      </c>
      <c r="F60" s="149">
        <f t="shared" si="64"/>
        <v>11677.1</v>
      </c>
      <c r="G60" s="149">
        <f t="shared" si="64"/>
        <v>12520.9</v>
      </c>
      <c r="H60" s="150">
        <f t="shared" si="64"/>
        <v>12731.3</v>
      </c>
      <c r="I60" s="150">
        <f t="shared" ref="I60:J60" si="65">I59+I52+I54</f>
        <v>14907.3</v>
      </c>
      <c r="J60" s="150">
        <f t="shared" si="65"/>
        <v>17167</v>
      </c>
      <c r="K60" s="150">
        <f t="shared" si="64"/>
        <v>18966</v>
      </c>
      <c r="L60" s="150">
        <f t="shared" ref="L60" si="66">L59+L52+L54</f>
        <v>20146</v>
      </c>
      <c r="M60" s="185">
        <f>RATE(5.75,,-G60,L60)</f>
        <v>8.6231292719147132E-2</v>
      </c>
      <c r="N60" s="106"/>
      <c r="O60" s="73" t="s">
        <v>55</v>
      </c>
      <c r="P60" s="114">
        <f t="shared" si="58"/>
        <v>1</v>
      </c>
      <c r="Q60" s="114">
        <f t="shared" si="58"/>
        <v>1.0000000000000002</v>
      </c>
      <c r="R60" s="114">
        <f t="shared" si="58"/>
        <v>1</v>
      </c>
      <c r="S60" s="114">
        <f t="shared" si="58"/>
        <v>1</v>
      </c>
      <c r="T60" s="114">
        <f t="shared" si="58"/>
        <v>1.0000000000000002</v>
      </c>
      <c r="U60" s="114">
        <f t="shared" si="58"/>
        <v>1.0000000000000002</v>
      </c>
      <c r="V60" s="115">
        <f t="shared" si="58"/>
        <v>1.0000000000000002</v>
      </c>
      <c r="W60" s="115">
        <f t="shared" si="59"/>
        <v>1.0000201247735963</v>
      </c>
      <c r="X60" s="115">
        <f t="shared" si="59"/>
        <v>1</v>
      </c>
      <c r="Y60" s="115">
        <f t="shared" si="59"/>
        <v>1</v>
      </c>
      <c r="Z60" s="115">
        <f t="shared" si="59"/>
        <v>1</v>
      </c>
      <c r="AA60" s="192">
        <f t="shared" si="60"/>
        <v>1.0000031108004919</v>
      </c>
      <c r="AB60" s="190"/>
    </row>
    <row r="61" spans="1:28" ht="15.75" thickTop="1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119"/>
      <c r="N61" s="111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107"/>
      <c r="AB61" s="74"/>
    </row>
    <row r="62" spans="1:28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75"/>
      <c r="N62" s="72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174" t="s">
        <v>0</v>
      </c>
      <c r="AB62" s="74"/>
    </row>
    <row r="63" spans="1:28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160" t="s">
        <v>0</v>
      </c>
      <c r="N63" s="72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175" t="s">
        <v>164</v>
      </c>
      <c r="AB63" s="74"/>
    </row>
    <row r="64" spans="1:28" ht="18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173" t="s">
        <v>165</v>
      </c>
      <c r="N64" s="72"/>
      <c r="O64" s="78" t="str">
        <f>A3</f>
        <v>PacifiCorp</v>
      </c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74"/>
    </row>
    <row r="65" spans="1:28" ht="18.75">
      <c r="A65" s="76" t="str">
        <f>A3</f>
        <v>PacifiCorp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172"/>
      <c r="N65" s="72"/>
      <c r="O65" s="84" t="s">
        <v>5</v>
      </c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80"/>
      <c r="AB65" s="74"/>
    </row>
    <row r="66" spans="1:28" ht="15.75">
      <c r="A66" s="81" t="s">
        <v>58</v>
      </c>
      <c r="B66" s="82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85"/>
      <c r="N66" s="72"/>
      <c r="O66" s="84" t="s">
        <v>58</v>
      </c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80"/>
      <c r="AB66" s="74"/>
    </row>
    <row r="67" spans="1:28">
      <c r="A67" s="120" t="str">
        <f>A5</f>
        <v>Fiscal Years Ended March 31 (through 3/31/2006), Fiscal Year Ended December 31 (beginning 12/31/ 2006)</v>
      </c>
      <c r="B67" s="82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85"/>
      <c r="N67" s="72"/>
      <c r="O67" s="86" t="str">
        <f>A5</f>
        <v>Fiscal Years Ended March 31 (through 3/31/2006), Fiscal Year Ended December 31 (beginning 12/31/ 2006)</v>
      </c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80"/>
      <c r="AB67" s="74"/>
    </row>
    <row r="68" spans="1:28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5" t="str">
        <f>M6</f>
        <v>2005-2010</v>
      </c>
      <c r="N68" s="72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89"/>
      <c r="AB68" s="74"/>
    </row>
    <row r="69" spans="1:28">
      <c r="A69" s="87"/>
      <c r="B69" s="87"/>
      <c r="C69" s="87"/>
      <c r="D69" s="87"/>
      <c r="E69" s="87"/>
      <c r="F69" s="87"/>
      <c r="G69" s="87"/>
      <c r="H69" s="88"/>
      <c r="I69" s="88"/>
      <c r="J69" s="88"/>
      <c r="K69" s="88"/>
      <c r="L69" s="88"/>
      <c r="M69" s="85" t="s">
        <v>7</v>
      </c>
      <c r="N69" s="72"/>
      <c r="O69" s="73"/>
      <c r="P69" s="73"/>
      <c r="Q69" s="73"/>
      <c r="R69" s="73"/>
      <c r="S69" s="73"/>
      <c r="T69" s="73"/>
      <c r="U69" s="73"/>
      <c r="V69" s="93"/>
      <c r="W69" s="93"/>
      <c r="X69" s="93"/>
      <c r="Y69" s="93"/>
      <c r="Z69" s="93"/>
      <c r="AA69" s="94" t="str">
        <f>M6</f>
        <v>2005-2010</v>
      </c>
      <c r="AB69" s="74"/>
    </row>
    <row r="70" spans="1:28">
      <c r="A70" s="105" t="s">
        <v>8</v>
      </c>
      <c r="B70" s="90">
        <f>B8</f>
        <v>2000</v>
      </c>
      <c r="C70" s="90">
        <f t="shared" ref="C70:H70" si="67">B70+1</f>
        <v>2001</v>
      </c>
      <c r="D70" s="90">
        <f t="shared" si="67"/>
        <v>2002</v>
      </c>
      <c r="E70" s="91">
        <f t="shared" si="67"/>
        <v>2003</v>
      </c>
      <c r="F70" s="91">
        <f t="shared" si="67"/>
        <v>2004</v>
      </c>
      <c r="G70" s="91">
        <f t="shared" si="67"/>
        <v>2005</v>
      </c>
      <c r="H70" s="91">
        <f t="shared" si="67"/>
        <v>2006</v>
      </c>
      <c r="I70" s="134">
        <f t="shared" ref="I70:J70" si="68">I8</f>
        <v>2007</v>
      </c>
      <c r="J70" s="134">
        <f t="shared" si="68"/>
        <v>2008</v>
      </c>
      <c r="K70" s="91">
        <f>Y8</f>
        <v>2009</v>
      </c>
      <c r="L70" s="91">
        <f>+L8</f>
        <v>2010</v>
      </c>
      <c r="M70" s="92" t="s">
        <v>9</v>
      </c>
      <c r="N70" s="111"/>
      <c r="O70" s="95" t="s">
        <v>8</v>
      </c>
      <c r="P70" s="96">
        <f t="shared" ref="P70:V70" si="69">B70</f>
        <v>2000</v>
      </c>
      <c r="Q70" s="96">
        <f t="shared" si="69"/>
        <v>2001</v>
      </c>
      <c r="R70" s="96">
        <f t="shared" si="69"/>
        <v>2002</v>
      </c>
      <c r="S70" s="96">
        <f t="shared" si="69"/>
        <v>2003</v>
      </c>
      <c r="T70" s="96">
        <f t="shared" si="69"/>
        <v>2004</v>
      </c>
      <c r="U70" s="96">
        <f t="shared" si="69"/>
        <v>2005</v>
      </c>
      <c r="V70" s="96">
        <f t="shared" si="69"/>
        <v>2006</v>
      </c>
      <c r="W70" s="96">
        <f t="shared" ref="W70" si="70">I70</f>
        <v>2007</v>
      </c>
      <c r="X70" s="96">
        <f t="shared" ref="X70" si="71">J70</f>
        <v>2008</v>
      </c>
      <c r="Y70" s="96">
        <f>K70</f>
        <v>2009</v>
      </c>
      <c r="Z70" s="96">
        <f>L70</f>
        <v>2010</v>
      </c>
      <c r="AA70" s="97" t="s">
        <v>60</v>
      </c>
      <c r="AB70" s="74"/>
    </row>
    <row r="71" spans="1:28">
      <c r="A71" s="87" t="s">
        <v>61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99"/>
      <c r="N71" s="106"/>
      <c r="O71" s="73" t="s">
        <v>63</v>
      </c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74"/>
    </row>
    <row r="72" spans="1:28">
      <c r="A72" s="87" t="s">
        <v>167</v>
      </c>
      <c r="B72" s="153">
        <v>3986.9</v>
      </c>
      <c r="C72" s="146">
        <v>5055.7</v>
      </c>
      <c r="D72" s="146">
        <v>3353.7</v>
      </c>
      <c r="E72" s="146">
        <v>3082.4</v>
      </c>
      <c r="F72" s="146">
        <v>3194.5</v>
      </c>
      <c r="G72" s="146">
        <v>3048.8</v>
      </c>
      <c r="H72" s="146">
        <v>3896.7</v>
      </c>
      <c r="I72" s="146">
        <v>4258</v>
      </c>
      <c r="J72" s="146">
        <v>4498</v>
      </c>
      <c r="K72" s="147">
        <v>4457</v>
      </c>
      <c r="L72" s="147">
        <v>4432</v>
      </c>
      <c r="M72" s="99">
        <f>RATE(5.75,,-G72,L72)</f>
        <v>6.7224518196977098E-2</v>
      </c>
      <c r="N72" s="106"/>
      <c r="O72" s="73" t="s">
        <v>166</v>
      </c>
      <c r="P72" s="108">
        <f t="shared" ref="P72:V73" si="72">B72/B$73</f>
        <v>1</v>
      </c>
      <c r="Q72" s="108">
        <f t="shared" si="72"/>
        <v>1</v>
      </c>
      <c r="R72" s="108">
        <f t="shared" si="72"/>
        <v>1</v>
      </c>
      <c r="S72" s="108">
        <f t="shared" si="72"/>
        <v>1</v>
      </c>
      <c r="T72" s="108">
        <f t="shared" si="72"/>
        <v>1</v>
      </c>
      <c r="U72" s="108">
        <f t="shared" si="72"/>
        <v>1</v>
      </c>
      <c r="V72" s="108">
        <f t="shared" si="72"/>
        <v>1</v>
      </c>
      <c r="W72" s="108">
        <f t="shared" ref="W72:W73" si="73">I72/I$73</f>
        <v>1</v>
      </c>
      <c r="X72" s="108">
        <f t="shared" ref="X72:X73" si="74">J72/J$73</f>
        <v>1</v>
      </c>
      <c r="Y72" s="108">
        <f>K72/K$73</f>
        <v>1</v>
      </c>
      <c r="Z72" s="108">
        <f>L72/L$73</f>
        <v>1</v>
      </c>
      <c r="AA72" s="7">
        <f>SUM(G72:L72)/SUM(G$73:L$73)</f>
        <v>1</v>
      </c>
      <c r="AB72" s="74"/>
    </row>
    <row r="73" spans="1:28">
      <c r="A73" s="87" t="s">
        <v>67</v>
      </c>
      <c r="B73" s="144">
        <f t="shared" ref="B73:K73" si="75">SUM(B71:B72)</f>
        <v>3986.9</v>
      </c>
      <c r="C73" s="144">
        <f t="shared" si="75"/>
        <v>5055.7</v>
      </c>
      <c r="D73" s="144">
        <f t="shared" si="75"/>
        <v>3353.7</v>
      </c>
      <c r="E73" s="144">
        <f t="shared" si="75"/>
        <v>3082.4</v>
      </c>
      <c r="F73" s="144">
        <f t="shared" si="75"/>
        <v>3194.5</v>
      </c>
      <c r="G73" s="144">
        <f t="shared" si="75"/>
        <v>3048.8</v>
      </c>
      <c r="H73" s="144">
        <f t="shared" si="75"/>
        <v>3896.7</v>
      </c>
      <c r="I73" s="144">
        <f t="shared" ref="I73:J73" si="76">SUM(I71:I72)</f>
        <v>4258</v>
      </c>
      <c r="J73" s="144">
        <f t="shared" si="76"/>
        <v>4498</v>
      </c>
      <c r="K73" s="144">
        <f t="shared" si="75"/>
        <v>4457</v>
      </c>
      <c r="L73" s="144">
        <f t="shared" ref="L73" si="77">SUM(L71:L72)</f>
        <v>4432</v>
      </c>
      <c r="M73" s="184">
        <f>RATE(5.75,,-G73,L73)</f>
        <v>6.7224518196977098E-2</v>
      </c>
      <c r="N73" s="106"/>
      <c r="O73" s="73" t="s">
        <v>66</v>
      </c>
      <c r="P73" s="89">
        <f t="shared" si="72"/>
        <v>1</v>
      </c>
      <c r="Q73" s="89">
        <f t="shared" si="72"/>
        <v>1</v>
      </c>
      <c r="R73" s="89">
        <f t="shared" si="72"/>
        <v>1</v>
      </c>
      <c r="S73" s="89">
        <f t="shared" si="72"/>
        <v>1</v>
      </c>
      <c r="T73" s="89">
        <f t="shared" si="72"/>
        <v>1</v>
      </c>
      <c r="U73" s="89">
        <f t="shared" si="72"/>
        <v>1</v>
      </c>
      <c r="V73" s="89">
        <f t="shared" si="72"/>
        <v>1</v>
      </c>
      <c r="W73" s="89">
        <f t="shared" si="73"/>
        <v>1</v>
      </c>
      <c r="X73" s="89">
        <f t="shared" si="74"/>
        <v>1</v>
      </c>
      <c r="Y73" s="89">
        <f>K73/K$73</f>
        <v>1</v>
      </c>
      <c r="Z73" s="89">
        <f>L73/L$73</f>
        <v>1</v>
      </c>
      <c r="AA73" s="194">
        <f>SUM(G73:L73)/SUM(G$73:L$73)</f>
        <v>1</v>
      </c>
      <c r="AB73" s="74"/>
    </row>
    <row r="74" spans="1:28">
      <c r="A74" s="87"/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04"/>
      <c r="N74" s="106"/>
      <c r="O74" s="73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74"/>
    </row>
    <row r="75" spans="1:28">
      <c r="A75" s="87" t="s">
        <v>68</v>
      </c>
      <c r="B75" s="144"/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04"/>
      <c r="N75" s="106"/>
      <c r="O75" s="73" t="s">
        <v>68</v>
      </c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74"/>
    </row>
    <row r="76" spans="1:28">
      <c r="A76" s="123" t="s">
        <v>69</v>
      </c>
      <c r="B76" s="154">
        <v>1217.8</v>
      </c>
      <c r="C76" s="144">
        <v>2636</v>
      </c>
      <c r="D76" s="144">
        <v>974.4</v>
      </c>
      <c r="E76" s="144">
        <v>698.5</v>
      </c>
      <c r="F76" s="144">
        <v>672.8</v>
      </c>
      <c r="G76" s="144">
        <v>448</v>
      </c>
      <c r="H76" s="155" t="s">
        <v>168</v>
      </c>
      <c r="I76" s="156">
        <v>0</v>
      </c>
      <c r="J76" s="156">
        <v>0</v>
      </c>
      <c r="K76" s="156">
        <v>0</v>
      </c>
      <c r="L76" s="156"/>
      <c r="M76" s="99"/>
      <c r="N76" s="106"/>
      <c r="O76" s="122" t="s">
        <v>69</v>
      </c>
      <c r="P76" s="89">
        <f t="shared" ref="P76:V91" si="78">B76/B$73</f>
        <v>0.30545034989590908</v>
      </c>
      <c r="Q76" s="89">
        <f t="shared" si="78"/>
        <v>0.52139169650097916</v>
      </c>
      <c r="R76" s="89">
        <f t="shared" si="78"/>
        <v>0.29054477144646212</v>
      </c>
      <c r="S76" s="89">
        <f t="shared" si="78"/>
        <v>0.22660913573838568</v>
      </c>
      <c r="T76" s="89">
        <f t="shared" si="78"/>
        <v>0.21061198935670683</v>
      </c>
      <c r="U76" s="89">
        <f t="shared" si="78"/>
        <v>0.14694305956441878</v>
      </c>
      <c r="V76" s="187" t="s">
        <v>168</v>
      </c>
      <c r="W76" s="89">
        <f t="shared" ref="W76:X83" si="79">I76/I$73</f>
        <v>0</v>
      </c>
      <c r="X76" s="89">
        <f t="shared" si="79"/>
        <v>0</v>
      </c>
      <c r="Y76" s="89">
        <f t="shared" ref="Y76:Z94" si="80">K76/K$73</f>
        <v>0</v>
      </c>
      <c r="Z76" s="89">
        <f t="shared" si="80"/>
        <v>0</v>
      </c>
      <c r="AA76" s="7">
        <f t="shared" ref="AA76:AA94" si="81">SUM(G76:L76)/SUM(G$73:L$73)</f>
        <v>1.8218417681625017E-2</v>
      </c>
      <c r="AB76" s="74"/>
    </row>
    <row r="77" spans="1:28">
      <c r="A77" s="123" t="s">
        <v>70</v>
      </c>
      <c r="B77" s="154">
        <v>512.29999999999995</v>
      </c>
      <c r="C77" s="144">
        <v>491</v>
      </c>
      <c r="D77" s="144">
        <v>490.9</v>
      </c>
      <c r="E77" s="144">
        <v>482.2</v>
      </c>
      <c r="F77" s="144">
        <v>483.9</v>
      </c>
      <c r="G77" s="144">
        <v>500</v>
      </c>
      <c r="H77" s="144">
        <v>1545.1</v>
      </c>
      <c r="I77" s="156">
        <v>1768</v>
      </c>
      <c r="J77" s="156">
        <v>1957</v>
      </c>
      <c r="K77" s="144">
        <v>1677</v>
      </c>
      <c r="L77" s="144">
        <v>1618</v>
      </c>
      <c r="M77" s="99">
        <f>RATE(5.75,,-G77,L77)</f>
        <v>0.2265835407353681</v>
      </c>
      <c r="N77" s="106"/>
      <c r="O77" s="122" t="s">
        <v>70</v>
      </c>
      <c r="P77" s="89">
        <f t="shared" si="78"/>
        <v>0.12849582382302038</v>
      </c>
      <c r="Q77" s="89">
        <f t="shared" si="78"/>
        <v>9.7118104317898607E-2</v>
      </c>
      <c r="R77" s="89">
        <f t="shared" si="78"/>
        <v>0.14637564481020962</v>
      </c>
      <c r="S77" s="89">
        <f t="shared" si="78"/>
        <v>0.15643654295354267</v>
      </c>
      <c r="T77" s="89">
        <f t="shared" si="78"/>
        <v>0.15147910471122242</v>
      </c>
      <c r="U77" s="89">
        <f t="shared" si="78"/>
        <v>0.16399895040671739</v>
      </c>
      <c r="V77" s="89">
        <f t="shared" si="78"/>
        <v>0.39651499987168631</v>
      </c>
      <c r="W77" s="89">
        <f t="shared" si="79"/>
        <v>0.41521841240018786</v>
      </c>
      <c r="X77" s="89">
        <f t="shared" si="79"/>
        <v>0.43508225878168072</v>
      </c>
      <c r="Y77" s="89">
        <f t="shared" si="80"/>
        <v>0.37626205968140003</v>
      </c>
      <c r="Z77" s="89">
        <f t="shared" si="80"/>
        <v>0.36507220216606501</v>
      </c>
      <c r="AA77" s="7">
        <f t="shared" si="81"/>
        <v>0.36864236188772087</v>
      </c>
      <c r="AB77" s="74"/>
    </row>
    <row r="78" spans="1:28">
      <c r="A78" s="123" t="s">
        <v>71</v>
      </c>
      <c r="B78" s="154">
        <f>726+283</f>
        <v>1009</v>
      </c>
      <c r="C78" s="144">
        <f>705.2+200.8</f>
        <v>906</v>
      </c>
      <c r="D78" s="144">
        <v>813.4</v>
      </c>
      <c r="E78" s="144">
        <v>885.1</v>
      </c>
      <c r="F78" s="144">
        <v>895.8</v>
      </c>
      <c r="G78" s="144">
        <v>913.1</v>
      </c>
      <c r="H78" s="144">
        <v>1014.5</v>
      </c>
      <c r="I78" s="156">
        <v>1004</v>
      </c>
      <c r="J78" s="156">
        <v>985</v>
      </c>
      <c r="K78" s="144">
        <v>1035</v>
      </c>
      <c r="L78" s="144">
        <v>1081</v>
      </c>
      <c r="M78" s="99">
        <f>RATE(5.75,,-G78,L78)</f>
        <v>2.9791029924969136E-2</v>
      </c>
      <c r="N78" s="106"/>
      <c r="O78" s="122" t="s">
        <v>71</v>
      </c>
      <c r="P78" s="89">
        <f t="shared" si="78"/>
        <v>0.25307883317866009</v>
      </c>
      <c r="Q78" s="89">
        <f t="shared" si="78"/>
        <v>0.17920367110390253</v>
      </c>
      <c r="R78" s="89">
        <f t="shared" si="78"/>
        <v>0.24253809225631393</v>
      </c>
      <c r="S78" s="89">
        <f t="shared" si="78"/>
        <v>0.28714637944458865</v>
      </c>
      <c r="T78" s="89">
        <f t="shared" si="78"/>
        <v>0.28041947096572234</v>
      </c>
      <c r="U78" s="89">
        <f t="shared" si="78"/>
        <v>0.29949488323274731</v>
      </c>
      <c r="V78" s="89">
        <f t="shared" si="78"/>
        <v>0.26034850001283139</v>
      </c>
      <c r="W78" s="89">
        <f t="shared" si="79"/>
        <v>0.23579145138562704</v>
      </c>
      <c r="X78" s="89">
        <f t="shared" si="79"/>
        <v>0.21898621609604269</v>
      </c>
      <c r="Y78" s="89">
        <f t="shared" si="80"/>
        <v>0.23221898137760827</v>
      </c>
      <c r="Z78" s="89">
        <f t="shared" si="80"/>
        <v>0.24390794223826714</v>
      </c>
      <c r="AA78" s="7">
        <f t="shared" si="81"/>
        <v>0.24532238059413189</v>
      </c>
      <c r="AB78" s="74"/>
    </row>
    <row r="79" spans="1:28">
      <c r="A79" s="123" t="s">
        <v>72</v>
      </c>
      <c r="B79" s="154">
        <v>441.3</v>
      </c>
      <c r="C79" s="144">
        <v>429</v>
      </c>
      <c r="D79" s="144">
        <v>403</v>
      </c>
      <c r="E79" s="144">
        <v>434.3</v>
      </c>
      <c r="F79" s="144">
        <v>428.8</v>
      </c>
      <c r="G79" s="144">
        <v>436.9</v>
      </c>
      <c r="H79" s="144">
        <v>448.3</v>
      </c>
      <c r="I79" s="156">
        <v>497</v>
      </c>
      <c r="J79" s="156">
        <v>490</v>
      </c>
      <c r="K79" s="144">
        <v>549</v>
      </c>
      <c r="L79" s="144">
        <v>561</v>
      </c>
      <c r="M79" s="99">
        <f>RATE(5.75,,-G79,L79)</f>
        <v>4.4440298628435355E-2</v>
      </c>
      <c r="N79" s="110"/>
      <c r="O79" s="122" t="s">
        <v>72</v>
      </c>
      <c r="P79" s="89">
        <f t="shared" si="78"/>
        <v>0.110687501567634</v>
      </c>
      <c r="Q79" s="89">
        <f t="shared" si="78"/>
        <v>8.48547184366161E-2</v>
      </c>
      <c r="R79" s="89">
        <f t="shared" si="78"/>
        <v>0.1201657870411784</v>
      </c>
      <c r="S79" s="89">
        <f t="shared" si="78"/>
        <v>0.14089670386711653</v>
      </c>
      <c r="T79" s="89">
        <f t="shared" si="78"/>
        <v>0.13423070903114728</v>
      </c>
      <c r="U79" s="89">
        <f t="shared" si="78"/>
        <v>0.14330228286538965</v>
      </c>
      <c r="V79" s="89">
        <f t="shared" si="78"/>
        <v>0.11504606461878</v>
      </c>
      <c r="W79" s="89">
        <f t="shared" si="79"/>
        <v>0.11672146547674965</v>
      </c>
      <c r="X79" s="89">
        <f t="shared" si="79"/>
        <v>0.10893730546909737</v>
      </c>
      <c r="Y79" s="89">
        <f t="shared" si="80"/>
        <v>0.12317702490464438</v>
      </c>
      <c r="Z79" s="89">
        <f t="shared" si="80"/>
        <v>0.12657942238267147</v>
      </c>
      <c r="AA79" s="7">
        <f t="shared" si="81"/>
        <v>0.12127447591549581</v>
      </c>
      <c r="AB79" s="74"/>
    </row>
    <row r="80" spans="1:28">
      <c r="A80" s="123" t="s">
        <v>73</v>
      </c>
      <c r="B80" s="154">
        <v>101.4</v>
      </c>
      <c r="C80" s="144">
        <v>100.3</v>
      </c>
      <c r="D80" s="144">
        <v>90.8</v>
      </c>
      <c r="E80" s="144">
        <v>93.4</v>
      </c>
      <c r="F80" s="144">
        <v>95.3</v>
      </c>
      <c r="G80" s="144">
        <v>94.4</v>
      </c>
      <c r="H80" s="144">
        <v>96.8</v>
      </c>
      <c r="I80" s="156">
        <v>101</v>
      </c>
      <c r="J80" s="156">
        <v>112</v>
      </c>
      <c r="K80" s="144">
        <v>136</v>
      </c>
      <c r="L80" s="144">
        <v>136</v>
      </c>
      <c r="M80" s="99">
        <f>RATE(5.75,,-G80,L80)</f>
        <v>6.5557412611031915E-2</v>
      </c>
      <c r="N80" s="111"/>
      <c r="O80" s="122" t="s">
        <v>73</v>
      </c>
      <c r="P80" s="89">
        <f t="shared" si="78"/>
        <v>2.5433294037974365E-2</v>
      </c>
      <c r="Q80" s="89">
        <f t="shared" si="78"/>
        <v>1.983899361117155E-2</v>
      </c>
      <c r="R80" s="89">
        <f t="shared" si="78"/>
        <v>2.7074574350717119E-2</v>
      </c>
      <c r="S80" s="89">
        <f t="shared" si="78"/>
        <v>3.0301064105891513E-2</v>
      </c>
      <c r="T80" s="89">
        <f t="shared" si="78"/>
        <v>2.9832524651745185E-2</v>
      </c>
      <c r="U80" s="89">
        <f t="shared" si="78"/>
        <v>3.0963001836788243E-2</v>
      </c>
      <c r="V80" s="89">
        <f t="shared" si="78"/>
        <v>2.4841532578848771E-2</v>
      </c>
      <c r="W80" s="89">
        <f t="shared" si="79"/>
        <v>2.3720056364490372E-2</v>
      </c>
      <c r="X80" s="89">
        <f t="shared" si="79"/>
        <v>2.4899955535793685E-2</v>
      </c>
      <c r="Y80" s="89">
        <f t="shared" si="80"/>
        <v>3.0513798519183306E-2</v>
      </c>
      <c r="Z80" s="89">
        <f t="shared" si="80"/>
        <v>3.0685920577617327E-2</v>
      </c>
      <c r="AA80" s="7">
        <f t="shared" si="81"/>
        <v>2.7498424188202763E-2</v>
      </c>
      <c r="AB80" s="74"/>
    </row>
    <row r="81" spans="1:28">
      <c r="A81" s="123" t="s">
        <v>74</v>
      </c>
      <c r="B81" s="157">
        <v>0</v>
      </c>
      <c r="C81" s="146">
        <v>-30.6</v>
      </c>
      <c r="D81" s="146">
        <v>-32.4</v>
      </c>
      <c r="E81" s="146">
        <v>0</v>
      </c>
      <c r="F81" s="146">
        <v>0</v>
      </c>
      <c r="G81" s="146">
        <v>0</v>
      </c>
      <c r="H81" s="147">
        <v>0</v>
      </c>
      <c r="I81" s="147">
        <v>0</v>
      </c>
      <c r="J81" s="147">
        <v>0</v>
      </c>
      <c r="K81" s="147">
        <v>0</v>
      </c>
      <c r="L81" s="147">
        <v>0</v>
      </c>
      <c r="M81" s="99"/>
      <c r="N81" s="106"/>
      <c r="O81" s="122" t="s">
        <v>74</v>
      </c>
      <c r="P81" s="108">
        <f t="shared" si="78"/>
        <v>0</v>
      </c>
      <c r="Q81" s="108">
        <f t="shared" si="78"/>
        <v>-6.0525743220523377E-3</v>
      </c>
      <c r="R81" s="108">
        <f t="shared" si="78"/>
        <v>-9.6609714643528053E-3</v>
      </c>
      <c r="S81" s="108">
        <f t="shared" si="78"/>
        <v>0</v>
      </c>
      <c r="T81" s="108">
        <f t="shared" si="78"/>
        <v>0</v>
      </c>
      <c r="U81" s="109">
        <f t="shared" si="78"/>
        <v>0</v>
      </c>
      <c r="V81" s="109">
        <f t="shared" si="78"/>
        <v>0</v>
      </c>
      <c r="W81" s="109">
        <f t="shared" si="79"/>
        <v>0</v>
      </c>
      <c r="X81" s="109">
        <f t="shared" si="79"/>
        <v>0</v>
      </c>
      <c r="Y81" s="109">
        <f t="shared" si="80"/>
        <v>0</v>
      </c>
      <c r="Z81" s="109">
        <f t="shared" si="80"/>
        <v>0</v>
      </c>
      <c r="AA81" s="7">
        <f t="shared" si="81"/>
        <v>0</v>
      </c>
      <c r="AB81" s="74"/>
    </row>
    <row r="82" spans="1:28">
      <c r="A82" s="87" t="s">
        <v>75</v>
      </c>
      <c r="B82" s="146">
        <f t="shared" ref="B82:K82" si="82">SUM(B75:B81)</f>
        <v>3281.8</v>
      </c>
      <c r="C82" s="146">
        <f t="shared" si="82"/>
        <v>4531.7</v>
      </c>
      <c r="D82" s="146">
        <f t="shared" si="82"/>
        <v>2740.1</v>
      </c>
      <c r="E82" s="146">
        <f t="shared" si="82"/>
        <v>2593.5000000000005</v>
      </c>
      <c r="F82" s="146">
        <f t="shared" si="82"/>
        <v>2576.6000000000004</v>
      </c>
      <c r="G82" s="146">
        <f t="shared" si="82"/>
        <v>2392.4</v>
      </c>
      <c r="H82" s="148">
        <f t="shared" si="82"/>
        <v>3104.7000000000003</v>
      </c>
      <c r="I82" s="148">
        <f t="shared" ref="I82:J82" si="83">SUM(I75:I81)</f>
        <v>3370</v>
      </c>
      <c r="J82" s="148">
        <f t="shared" si="83"/>
        <v>3544</v>
      </c>
      <c r="K82" s="148">
        <f t="shared" si="82"/>
        <v>3397</v>
      </c>
      <c r="L82" s="148">
        <f t="shared" ref="L82" si="84">SUM(L75:L81)</f>
        <v>3396</v>
      </c>
      <c r="M82" s="184">
        <f>RATE(5.75,,-G82,L82)</f>
        <v>6.2815959968515758E-2</v>
      </c>
      <c r="N82" s="106"/>
      <c r="O82" s="73" t="s">
        <v>75</v>
      </c>
      <c r="P82" s="108">
        <f t="shared" si="78"/>
        <v>0.82314580250319802</v>
      </c>
      <c r="Q82" s="108">
        <f t="shared" si="78"/>
        <v>0.89635460964851554</v>
      </c>
      <c r="R82" s="108">
        <f t="shared" si="78"/>
        <v>0.81703789844052843</v>
      </c>
      <c r="S82" s="108">
        <f t="shared" si="78"/>
        <v>0.84138982610952517</v>
      </c>
      <c r="T82" s="109">
        <f t="shared" si="78"/>
        <v>0.80657379871654422</v>
      </c>
      <c r="U82" s="109">
        <f t="shared" si="78"/>
        <v>0.78470217790606134</v>
      </c>
      <c r="V82" s="109">
        <f t="shared" si="78"/>
        <v>0.79675109708214653</v>
      </c>
      <c r="W82" s="109">
        <f t="shared" si="79"/>
        <v>0.79145138562705497</v>
      </c>
      <c r="X82" s="109">
        <f t="shared" si="79"/>
        <v>0.78790573588261448</v>
      </c>
      <c r="Y82" s="109">
        <f t="shared" si="80"/>
        <v>0.76217186448283603</v>
      </c>
      <c r="Z82" s="109">
        <f t="shared" si="80"/>
        <v>0.76624548736462095</v>
      </c>
      <c r="AA82" s="191">
        <f t="shared" si="81"/>
        <v>0.78095606026717634</v>
      </c>
      <c r="AB82" s="74"/>
    </row>
    <row r="83" spans="1:28">
      <c r="A83" s="87" t="s">
        <v>169</v>
      </c>
      <c r="B83" s="144">
        <f t="shared" ref="B83:K83" si="85">B73-B82</f>
        <v>705.09999999999991</v>
      </c>
      <c r="C83" s="144">
        <f t="shared" si="85"/>
        <v>524</v>
      </c>
      <c r="D83" s="144">
        <f t="shared" si="85"/>
        <v>613.59999999999991</v>
      </c>
      <c r="E83" s="144">
        <f t="shared" si="85"/>
        <v>488.89999999999964</v>
      </c>
      <c r="F83" s="144">
        <f t="shared" si="85"/>
        <v>617.89999999999964</v>
      </c>
      <c r="G83" s="144">
        <f t="shared" si="85"/>
        <v>656.40000000000009</v>
      </c>
      <c r="H83" s="144">
        <f t="shared" si="85"/>
        <v>791.99999999999955</v>
      </c>
      <c r="I83" s="144">
        <f t="shared" ref="I83:J83" si="86">I73-I82</f>
        <v>888</v>
      </c>
      <c r="J83" s="144">
        <f t="shared" si="86"/>
        <v>954</v>
      </c>
      <c r="K83" s="144">
        <f t="shared" si="85"/>
        <v>1060</v>
      </c>
      <c r="L83" s="144">
        <f t="shared" ref="L83" si="87">L73-L82</f>
        <v>1036</v>
      </c>
      <c r="M83" s="184">
        <f>RATE(5.75,,-G83,L83)</f>
        <v>8.260002262665081E-2</v>
      </c>
      <c r="N83" s="111"/>
      <c r="O83" s="73" t="s">
        <v>169</v>
      </c>
      <c r="P83" s="89">
        <f t="shared" si="78"/>
        <v>0.17685419749680201</v>
      </c>
      <c r="Q83" s="89">
        <f t="shared" si="78"/>
        <v>0.10364539035148447</v>
      </c>
      <c r="R83" s="89">
        <f t="shared" si="78"/>
        <v>0.18296210155947162</v>
      </c>
      <c r="S83" s="89">
        <f t="shared" si="78"/>
        <v>0.15861017389047483</v>
      </c>
      <c r="T83" s="89">
        <f t="shared" si="78"/>
        <v>0.19342620128345583</v>
      </c>
      <c r="U83" s="89">
        <f t="shared" si="78"/>
        <v>0.21529782209393861</v>
      </c>
      <c r="V83" s="89">
        <f t="shared" si="78"/>
        <v>0.20324890291785347</v>
      </c>
      <c r="W83" s="89">
        <f t="shared" si="79"/>
        <v>0.20854861437294506</v>
      </c>
      <c r="X83" s="89">
        <f t="shared" si="79"/>
        <v>0.21209426411738549</v>
      </c>
      <c r="Y83" s="89">
        <f t="shared" si="80"/>
        <v>0.237828135517164</v>
      </c>
      <c r="Z83" s="89">
        <f t="shared" si="80"/>
        <v>0.23375451263537905</v>
      </c>
      <c r="AA83" s="194">
        <f t="shared" si="81"/>
        <v>0.21904393973282363</v>
      </c>
      <c r="AB83" s="74"/>
    </row>
    <row r="84" spans="1:28">
      <c r="A84" s="87"/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04"/>
      <c r="N84" s="111"/>
      <c r="O84" s="73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7">
        <f t="shared" si="81"/>
        <v>0</v>
      </c>
      <c r="AB84" s="74"/>
    </row>
    <row r="85" spans="1:28">
      <c r="A85" s="123" t="s">
        <v>79</v>
      </c>
      <c r="B85" s="144">
        <f>341.4-20.2</f>
        <v>321.2</v>
      </c>
      <c r="C85" s="144">
        <f>290.4-12.9</f>
        <v>277.5</v>
      </c>
      <c r="D85" s="144">
        <f>227.7-6.9</f>
        <v>220.79999999999998</v>
      </c>
      <c r="E85" s="144">
        <f>270.3-18</f>
        <v>252.3</v>
      </c>
      <c r="F85" s="144">
        <f>256.5-19.9</f>
        <v>236.6</v>
      </c>
      <c r="G85" s="144">
        <v>267.39999999999998</v>
      </c>
      <c r="H85" s="144">
        <v>279.89999999999998</v>
      </c>
      <c r="I85" s="144">
        <v>314</v>
      </c>
      <c r="J85" s="144">
        <v>343</v>
      </c>
      <c r="K85" s="144">
        <v>394</v>
      </c>
      <c r="L85" s="144">
        <v>387</v>
      </c>
      <c r="M85" s="99">
        <f>RATE(5.75,,-G85,L85)</f>
        <v>6.6403748456068015E-2</v>
      </c>
      <c r="N85" s="111"/>
      <c r="O85" s="122" t="s">
        <v>79</v>
      </c>
      <c r="P85" s="107">
        <f t="shared" ref="P85:T89" si="88">B85/B$73</f>
        <v>8.0563846597607153E-2</v>
      </c>
      <c r="Q85" s="107">
        <f t="shared" si="88"/>
        <v>5.4888541646062862E-2</v>
      </c>
      <c r="R85" s="107">
        <f t="shared" si="88"/>
        <v>6.5837731460774665E-2</v>
      </c>
      <c r="S85" s="107">
        <f t="shared" si="88"/>
        <v>8.185180378925512E-2</v>
      </c>
      <c r="T85" s="107">
        <f t="shared" si="88"/>
        <v>7.4064798873063081E-2</v>
      </c>
      <c r="U85" s="89">
        <f t="shared" si="78"/>
        <v>8.7706638677512452E-2</v>
      </c>
      <c r="V85" s="89">
        <f t="shared" si="78"/>
        <v>7.1830010008468698E-2</v>
      </c>
      <c r="W85" s="89">
        <f t="shared" ref="W85:X89" si="89">I85/I$73</f>
        <v>7.3743541568811646E-2</v>
      </c>
      <c r="X85" s="195" t="s">
        <v>190</v>
      </c>
      <c r="Y85" s="89">
        <f t="shared" si="80"/>
        <v>8.8400269239398699E-2</v>
      </c>
      <c r="Z85" s="89">
        <f t="shared" si="80"/>
        <v>8.7319494584837551E-2</v>
      </c>
      <c r="AA85" s="7">
        <f t="shared" si="81"/>
        <v>8.073442996279051E-2</v>
      </c>
      <c r="AB85" s="74"/>
    </row>
    <row r="86" spans="1:28">
      <c r="A86" s="123" t="s">
        <v>80</v>
      </c>
      <c r="B86" s="144">
        <v>-17.100000000000001</v>
      </c>
      <c r="C86" s="144">
        <v>-32.6</v>
      </c>
      <c r="D86" s="144">
        <v>-47.5</v>
      </c>
      <c r="E86" s="144">
        <v>-21.6</v>
      </c>
      <c r="F86" s="144">
        <v>-13.8</v>
      </c>
      <c r="G86" s="144">
        <v>-9.1</v>
      </c>
      <c r="H86" s="144">
        <v>-9.5</v>
      </c>
      <c r="I86" s="144">
        <v>-15</v>
      </c>
      <c r="J86" s="144">
        <v>-11</v>
      </c>
      <c r="K86" s="144">
        <v>-19</v>
      </c>
      <c r="L86" s="144">
        <v>-5</v>
      </c>
      <c r="M86" s="99">
        <f>RATE(5.75,,-G86,L86)</f>
        <v>-9.8905801902040999E-2</v>
      </c>
      <c r="N86" s="111"/>
      <c r="O86" s="122" t="s">
        <v>80</v>
      </c>
      <c r="P86" s="107">
        <f t="shared" si="88"/>
        <v>-4.2890466277057367E-3</v>
      </c>
      <c r="Q86" s="107">
        <f t="shared" si="88"/>
        <v>-6.4481674149969347E-3</v>
      </c>
      <c r="R86" s="107">
        <f t="shared" si="88"/>
        <v>-1.4163461251751797E-2</v>
      </c>
      <c r="S86" s="107">
        <f t="shared" si="88"/>
        <v>-7.007526602647288E-3</v>
      </c>
      <c r="T86" s="107">
        <f t="shared" si="88"/>
        <v>-4.3199248708718115E-3</v>
      </c>
      <c r="U86" s="89">
        <f t="shared" si="78"/>
        <v>-2.9847808974022565E-3</v>
      </c>
      <c r="V86" s="89">
        <f t="shared" si="78"/>
        <v>-2.4379603254035469E-3</v>
      </c>
      <c r="W86" s="89">
        <f t="shared" si="89"/>
        <v>-3.5227806481916393E-3</v>
      </c>
      <c r="X86" s="89">
        <f t="shared" si="89"/>
        <v>-2.4455313472654511E-3</v>
      </c>
      <c r="Y86" s="89">
        <f t="shared" si="80"/>
        <v>-4.2629571460623735E-3</v>
      </c>
      <c r="Z86" s="89">
        <f t="shared" si="80"/>
        <v>-1.1281588447653429E-3</v>
      </c>
      <c r="AA86" s="7">
        <f t="shared" si="81"/>
        <v>-2.7896952074988306E-3</v>
      </c>
      <c r="AB86" s="74"/>
    </row>
    <row r="87" spans="1:28">
      <c r="A87" s="123" t="s">
        <v>81</v>
      </c>
      <c r="B87" s="144">
        <v>0</v>
      </c>
      <c r="C87" s="144">
        <v>184.2</v>
      </c>
      <c r="D87" s="144">
        <v>-27.4</v>
      </c>
      <c r="E87" s="144">
        <v>0</v>
      </c>
      <c r="F87" s="144">
        <v>0</v>
      </c>
      <c r="G87" s="144">
        <v>0</v>
      </c>
      <c r="H87" s="145">
        <v>0</v>
      </c>
      <c r="I87" s="145">
        <v>0</v>
      </c>
      <c r="J87" s="145">
        <v>0</v>
      </c>
      <c r="K87" s="145">
        <v>0</v>
      </c>
      <c r="L87" s="145"/>
      <c r="M87" s="99"/>
      <c r="N87" s="106"/>
      <c r="O87" s="122" t="s">
        <v>81</v>
      </c>
      <c r="P87" s="107">
        <f t="shared" si="88"/>
        <v>0</v>
      </c>
      <c r="Q87" s="107">
        <f t="shared" si="88"/>
        <v>3.6434123860197398E-2</v>
      </c>
      <c r="R87" s="107">
        <f t="shared" si="88"/>
        <v>-8.1700808062736673E-3</v>
      </c>
      <c r="S87" s="107">
        <f t="shared" si="88"/>
        <v>0</v>
      </c>
      <c r="T87" s="107">
        <f t="shared" si="88"/>
        <v>0</v>
      </c>
      <c r="U87" s="107">
        <f t="shared" si="78"/>
        <v>0</v>
      </c>
      <c r="V87" s="107">
        <f t="shared" si="78"/>
        <v>0</v>
      </c>
      <c r="W87" s="107">
        <f t="shared" si="89"/>
        <v>0</v>
      </c>
      <c r="X87" s="107">
        <f t="shared" si="89"/>
        <v>0</v>
      </c>
      <c r="Y87" s="107">
        <f t="shared" si="80"/>
        <v>0</v>
      </c>
      <c r="Z87" s="107">
        <f t="shared" si="80"/>
        <v>0</v>
      </c>
      <c r="AA87" s="7">
        <f t="shared" si="81"/>
        <v>0</v>
      </c>
      <c r="AB87" s="74"/>
    </row>
    <row r="88" spans="1:28">
      <c r="A88" s="125" t="s">
        <v>157</v>
      </c>
      <c r="B88" s="146">
        <f>2.6-13.7</f>
        <v>-11.1</v>
      </c>
      <c r="C88" s="146">
        <v>2.7</v>
      </c>
      <c r="D88" s="146">
        <f>-1.8</f>
        <v>-1.8</v>
      </c>
      <c r="E88" s="146">
        <v>19</v>
      </c>
      <c r="F88" s="146">
        <v>1.6</v>
      </c>
      <c r="G88" s="146">
        <f>-7.3-8.8-6+2.1</f>
        <v>-20</v>
      </c>
      <c r="H88" s="147">
        <f>-6.1-18.5-13.9+2.1</f>
        <v>-36.4</v>
      </c>
      <c r="I88" s="147">
        <f>-29-41</f>
        <v>-70</v>
      </c>
      <c r="J88" s="147">
        <f>-34-47</f>
        <v>-81</v>
      </c>
      <c r="K88" s="147">
        <f>-35-64</f>
        <v>-99</v>
      </c>
      <c r="L88" s="147">
        <f>-45-79+1</f>
        <v>-123</v>
      </c>
      <c r="M88" s="99">
        <f>RATE(5.75,,-G88,L88)</f>
        <v>0.37149955904352577</v>
      </c>
      <c r="N88" s="106"/>
      <c r="O88" s="124" t="s">
        <v>82</v>
      </c>
      <c r="P88" s="108">
        <f t="shared" si="88"/>
        <v>-2.7841179864054777E-3</v>
      </c>
      <c r="Q88" s="108">
        <f t="shared" si="88"/>
        <v>5.3405067547520626E-4</v>
      </c>
      <c r="R88" s="108">
        <f t="shared" si="88"/>
        <v>-5.3672063690848914E-4</v>
      </c>
      <c r="S88" s="108">
        <f t="shared" si="88"/>
        <v>6.1640280301064106E-3</v>
      </c>
      <c r="T88" s="109">
        <f t="shared" si="88"/>
        <v>5.008608545938332E-4</v>
      </c>
      <c r="U88" s="109">
        <f t="shared" si="78"/>
        <v>-6.5599580162686959E-3</v>
      </c>
      <c r="V88" s="109">
        <f t="shared" si="78"/>
        <v>-9.3412374573356941E-3</v>
      </c>
      <c r="W88" s="109">
        <f t="shared" si="89"/>
        <v>-1.6439643024894316E-2</v>
      </c>
      <c r="X88" s="109">
        <f t="shared" si="89"/>
        <v>-1.8008003557136505E-2</v>
      </c>
      <c r="Y88" s="109">
        <f t="shared" si="80"/>
        <v>-2.2212250392640791E-2</v>
      </c>
      <c r="Z88" s="109">
        <f t="shared" si="80"/>
        <v>-2.7752707581227436E-2</v>
      </c>
      <c r="AA88" s="7">
        <f t="shared" si="81"/>
        <v>-1.7462028018950408E-2</v>
      </c>
      <c r="AB88" s="74"/>
    </row>
    <row r="89" spans="1:28">
      <c r="A89" s="87" t="s">
        <v>83</v>
      </c>
      <c r="B89" s="144">
        <f t="shared" ref="B89:K89" si="90">SUM(B85:B88)</f>
        <v>292.99999999999994</v>
      </c>
      <c r="C89" s="144">
        <f t="shared" si="90"/>
        <v>431.8</v>
      </c>
      <c r="D89" s="144">
        <f t="shared" si="90"/>
        <v>144.09999999999997</v>
      </c>
      <c r="E89" s="144">
        <f t="shared" si="90"/>
        <v>249.70000000000002</v>
      </c>
      <c r="F89" s="144">
        <f t="shared" si="90"/>
        <v>224.39999999999998</v>
      </c>
      <c r="G89" s="144">
        <f t="shared" si="90"/>
        <v>238.29999999999995</v>
      </c>
      <c r="H89" s="144">
        <f t="shared" si="90"/>
        <v>233.99999999999997</v>
      </c>
      <c r="I89" s="144">
        <f t="shared" ref="I89:J89" si="91">SUM(I85:I88)</f>
        <v>229</v>
      </c>
      <c r="J89" s="144">
        <f t="shared" si="91"/>
        <v>251</v>
      </c>
      <c r="K89" s="144">
        <f t="shared" si="90"/>
        <v>276</v>
      </c>
      <c r="L89" s="144">
        <f t="shared" ref="L89" si="92">SUM(L85:L88)</f>
        <v>259</v>
      </c>
      <c r="M89" s="184">
        <f>RATE(5.75,,-G89,L89)</f>
        <v>1.4591991260877213E-2</v>
      </c>
      <c r="N89" s="106"/>
      <c r="O89" s="73" t="s">
        <v>83</v>
      </c>
      <c r="P89" s="107">
        <f t="shared" si="88"/>
        <v>7.349068198349594E-2</v>
      </c>
      <c r="Q89" s="107">
        <f t="shared" si="88"/>
        <v>8.5408548766738535E-2</v>
      </c>
      <c r="R89" s="107">
        <f t="shared" si="88"/>
        <v>4.2967468765840705E-2</v>
      </c>
      <c r="S89" s="107">
        <f t="shared" si="88"/>
        <v>8.1008305216714246E-2</v>
      </c>
      <c r="T89" s="107">
        <f t="shared" si="88"/>
        <v>7.0245734856785091E-2</v>
      </c>
      <c r="U89" s="89">
        <f t="shared" si="78"/>
        <v>7.8161899763841497E-2</v>
      </c>
      <c r="V89" s="89">
        <f t="shared" si="78"/>
        <v>6.0050812225729458E-2</v>
      </c>
      <c r="W89" s="89">
        <f t="shared" si="89"/>
        <v>5.3781117895725691E-2</v>
      </c>
      <c r="X89" s="89">
        <f t="shared" si="89"/>
        <v>5.5802578923966208E-2</v>
      </c>
      <c r="Y89" s="89">
        <f t="shared" si="80"/>
        <v>6.1925061700695533E-2</v>
      </c>
      <c r="Z89" s="89">
        <f t="shared" si="80"/>
        <v>5.8438628158844763E-2</v>
      </c>
      <c r="AA89" s="194">
        <f t="shared" si="81"/>
        <v>6.048270673634127E-2</v>
      </c>
      <c r="AB89" s="74"/>
    </row>
    <row r="90" spans="1:28">
      <c r="A90" s="87"/>
      <c r="B90" s="145"/>
      <c r="C90" s="145"/>
      <c r="D90" s="145"/>
      <c r="E90" s="145"/>
      <c r="F90" s="145"/>
      <c r="G90" s="145"/>
      <c r="H90" s="145"/>
      <c r="I90" s="145"/>
      <c r="J90" s="145"/>
      <c r="K90" s="158"/>
      <c r="L90" s="158"/>
      <c r="M90" s="104"/>
      <c r="N90" s="106"/>
      <c r="O90" s="73"/>
      <c r="P90" s="107"/>
      <c r="Q90" s="107"/>
      <c r="R90" s="107"/>
      <c r="S90" s="107"/>
      <c r="T90" s="107"/>
      <c r="U90" s="89"/>
      <c r="V90" s="89"/>
      <c r="W90" s="89"/>
      <c r="X90" s="89"/>
      <c r="Y90" s="89"/>
      <c r="Z90" s="89"/>
      <c r="AA90" s="7">
        <f t="shared" si="81"/>
        <v>0</v>
      </c>
      <c r="AB90" s="74"/>
    </row>
    <row r="91" spans="1:28">
      <c r="A91" s="87" t="s">
        <v>84</v>
      </c>
      <c r="B91" s="146">
        <f t="shared" ref="B91:G91" si="93">B83-B89</f>
        <v>412.09999999999997</v>
      </c>
      <c r="C91" s="146">
        <f t="shared" si="93"/>
        <v>92.199999999999989</v>
      </c>
      <c r="D91" s="146">
        <f t="shared" si="93"/>
        <v>469.49999999999994</v>
      </c>
      <c r="E91" s="146">
        <f t="shared" si="93"/>
        <v>239.19999999999962</v>
      </c>
      <c r="F91" s="146">
        <f t="shared" si="93"/>
        <v>393.49999999999966</v>
      </c>
      <c r="G91" s="146">
        <f t="shared" si="93"/>
        <v>418.10000000000014</v>
      </c>
      <c r="H91" s="147">
        <f>H83-H89</f>
        <v>557.99999999999955</v>
      </c>
      <c r="I91" s="147">
        <f t="shared" ref="I91:J91" si="94">I83-I89</f>
        <v>659</v>
      </c>
      <c r="J91" s="147">
        <f t="shared" si="94"/>
        <v>703</v>
      </c>
      <c r="K91" s="147">
        <f>K83-K89</f>
        <v>784</v>
      </c>
      <c r="L91" s="147">
        <f>L83-L89</f>
        <v>777</v>
      </c>
      <c r="M91" s="99">
        <f>RATE(5.75,,-G91,L91)</f>
        <v>0.11379972048661119</v>
      </c>
      <c r="N91" s="111"/>
      <c r="O91" s="73" t="s">
        <v>84</v>
      </c>
      <c r="P91" s="89">
        <f t="shared" ref="P91:V94" si="95">B91/B$73</f>
        <v>0.10336351551330607</v>
      </c>
      <c r="Q91" s="89">
        <f t="shared" si="95"/>
        <v>1.8236841584745929E-2</v>
      </c>
      <c r="R91" s="89">
        <f t="shared" si="95"/>
        <v>0.13999463279363092</v>
      </c>
      <c r="S91" s="89">
        <f t="shared" si="95"/>
        <v>7.760186867376058E-2</v>
      </c>
      <c r="T91" s="89">
        <f t="shared" si="95"/>
        <v>0.12318046642667073</v>
      </c>
      <c r="U91" s="89">
        <f t="shared" si="78"/>
        <v>0.13713592233009714</v>
      </c>
      <c r="V91" s="89">
        <f t="shared" si="78"/>
        <v>0.143198090692124</v>
      </c>
      <c r="W91" s="89">
        <f t="shared" ref="W91:X94" si="96">I91/I$73</f>
        <v>0.15476749647721935</v>
      </c>
      <c r="X91" s="89">
        <f t="shared" si="96"/>
        <v>0.15629168519341929</v>
      </c>
      <c r="Y91" s="89">
        <f t="shared" si="80"/>
        <v>0.17590307381646847</v>
      </c>
      <c r="Z91" s="89">
        <f t="shared" si="80"/>
        <v>0.17531588447653429</v>
      </c>
      <c r="AA91" s="7">
        <f t="shared" si="81"/>
        <v>0.15856123299648237</v>
      </c>
      <c r="AB91" s="74"/>
    </row>
    <row r="92" spans="1:28">
      <c r="A92" s="87" t="s">
        <v>85</v>
      </c>
      <c r="B92" s="144">
        <f>195.5+-1.1</f>
        <v>194.4</v>
      </c>
      <c r="C92" s="144">
        <v>0</v>
      </c>
      <c r="D92" s="144">
        <f>-146.7+112.8</f>
        <v>-33.899999999999991</v>
      </c>
      <c r="E92" s="144">
        <v>1.9</v>
      </c>
      <c r="F92" s="144">
        <v>0.9</v>
      </c>
      <c r="G92" s="144">
        <v>0</v>
      </c>
      <c r="H92" s="144">
        <v>0</v>
      </c>
      <c r="I92" s="144">
        <v>0</v>
      </c>
      <c r="J92" s="144">
        <v>0</v>
      </c>
      <c r="K92" s="144">
        <v>0</v>
      </c>
      <c r="L92" s="144">
        <v>0</v>
      </c>
      <c r="M92" s="184"/>
      <c r="N92" s="106"/>
      <c r="O92" s="73" t="s">
        <v>85</v>
      </c>
      <c r="P92" s="89">
        <f t="shared" si="95"/>
        <v>4.8759687978128373E-2</v>
      </c>
      <c r="Q92" s="89">
        <f t="shared" si="95"/>
        <v>0</v>
      </c>
      <c r="R92" s="89">
        <f t="shared" si="95"/>
        <v>-1.0108238661776544E-2</v>
      </c>
      <c r="S92" s="89">
        <f t="shared" si="95"/>
        <v>6.16402803010641E-4</v>
      </c>
      <c r="T92" s="89">
        <f t="shared" si="95"/>
        <v>2.8173423070903115E-4</v>
      </c>
      <c r="U92" s="89">
        <f t="shared" si="95"/>
        <v>0</v>
      </c>
      <c r="V92" s="89">
        <f t="shared" si="95"/>
        <v>0</v>
      </c>
      <c r="W92" s="89">
        <f t="shared" si="96"/>
        <v>0</v>
      </c>
      <c r="X92" s="89">
        <f t="shared" si="96"/>
        <v>0</v>
      </c>
      <c r="Y92" s="89">
        <f t="shared" si="80"/>
        <v>0</v>
      </c>
      <c r="Z92" s="89">
        <f t="shared" si="80"/>
        <v>0</v>
      </c>
      <c r="AA92" s="7">
        <f t="shared" si="81"/>
        <v>0</v>
      </c>
      <c r="AB92" s="74"/>
    </row>
    <row r="93" spans="1:28">
      <c r="A93" s="87" t="s">
        <v>86</v>
      </c>
      <c r="B93" s="146">
        <v>134</v>
      </c>
      <c r="C93" s="146">
        <v>180.4</v>
      </c>
      <c r="D93" s="146">
        <v>176.1</v>
      </c>
      <c r="E93" s="146">
        <v>97.2</v>
      </c>
      <c r="F93" s="146">
        <v>144.5</v>
      </c>
      <c r="G93" s="146">
        <v>168.5</v>
      </c>
      <c r="H93" s="147">
        <v>199.4</v>
      </c>
      <c r="I93" s="147">
        <v>220</v>
      </c>
      <c r="J93" s="147">
        <v>238</v>
      </c>
      <c r="K93" s="145">
        <v>234</v>
      </c>
      <c r="L93" s="145">
        <v>211</v>
      </c>
      <c r="M93" s="99">
        <f>RATE(5.75,,-G93,L93)</f>
        <v>3.9892077666418807E-2</v>
      </c>
      <c r="N93" s="106"/>
      <c r="O93" s="73" t="s">
        <v>86</v>
      </c>
      <c r="P93" s="108">
        <f t="shared" si="95"/>
        <v>3.3610072989039105E-2</v>
      </c>
      <c r="Q93" s="108">
        <f t="shared" si="95"/>
        <v>3.5682496983602666E-2</v>
      </c>
      <c r="R93" s="108">
        <f t="shared" si="95"/>
        <v>5.2509168977547191E-2</v>
      </c>
      <c r="S93" s="108">
        <f t="shared" si="95"/>
        <v>3.1533869711912799E-2</v>
      </c>
      <c r="T93" s="107">
        <f t="shared" si="95"/>
        <v>4.5233995930505554E-2</v>
      </c>
      <c r="U93" s="89">
        <f t="shared" si="95"/>
        <v>5.5267646287063758E-2</v>
      </c>
      <c r="V93" s="89">
        <f t="shared" si="95"/>
        <v>5.1171504093207074E-2</v>
      </c>
      <c r="W93" s="89">
        <f t="shared" si="96"/>
        <v>5.1667449506810709E-2</v>
      </c>
      <c r="X93" s="89">
        <f t="shared" si="96"/>
        <v>5.2912405513561585E-2</v>
      </c>
      <c r="Y93" s="89">
        <f t="shared" si="80"/>
        <v>5.2501682746241868E-2</v>
      </c>
      <c r="Z93" s="89">
        <f t="shared" si="80"/>
        <v>4.7608303249097469E-2</v>
      </c>
      <c r="AA93" s="7">
        <f t="shared" si="81"/>
        <v>5.1682560338342044E-2</v>
      </c>
      <c r="AB93" s="74"/>
    </row>
    <row r="94" spans="1:28" ht="15.75" thickBot="1">
      <c r="A94" s="87" t="s">
        <v>87</v>
      </c>
      <c r="B94" s="149">
        <f t="shared" ref="B94:K94" si="97">B91-B92-B93</f>
        <v>83.69999999999996</v>
      </c>
      <c r="C94" s="149">
        <f t="shared" si="97"/>
        <v>-88.200000000000017</v>
      </c>
      <c r="D94" s="149">
        <f t="shared" si="97"/>
        <v>327.29999999999995</v>
      </c>
      <c r="E94" s="149">
        <f t="shared" si="97"/>
        <v>140.09999999999962</v>
      </c>
      <c r="F94" s="149">
        <f t="shared" si="97"/>
        <v>248.09999999999968</v>
      </c>
      <c r="G94" s="149">
        <f t="shared" si="97"/>
        <v>249.60000000000014</v>
      </c>
      <c r="H94" s="150">
        <f t="shared" si="97"/>
        <v>358.59999999999957</v>
      </c>
      <c r="I94" s="150">
        <f t="shared" ref="I94:J94" si="98">I91-I92-I93</f>
        <v>439</v>
      </c>
      <c r="J94" s="150">
        <f t="shared" si="98"/>
        <v>465</v>
      </c>
      <c r="K94" s="150">
        <f t="shared" si="97"/>
        <v>550</v>
      </c>
      <c r="L94" s="150">
        <f t="shared" ref="L94" si="99">L91-L92-L93</f>
        <v>566</v>
      </c>
      <c r="M94" s="184">
        <f>RATE(5.75,,-G94,L94)</f>
        <v>0.15302462519605078</v>
      </c>
      <c r="N94" s="29"/>
      <c r="O94" s="73" t="s">
        <v>87</v>
      </c>
      <c r="P94" s="114">
        <f t="shared" si="95"/>
        <v>2.0993754546138593E-2</v>
      </c>
      <c r="Q94" s="114">
        <f t="shared" si="95"/>
        <v>-1.744565539885674E-2</v>
      </c>
      <c r="R94" s="114">
        <f t="shared" si="95"/>
        <v>9.759370247786027E-2</v>
      </c>
      <c r="S94" s="114">
        <f t="shared" si="95"/>
        <v>4.5451596158837149E-2</v>
      </c>
      <c r="T94" s="115">
        <f t="shared" si="95"/>
        <v>7.7664736265456155E-2</v>
      </c>
      <c r="U94" s="115">
        <f t="shared" si="95"/>
        <v>8.1868276043033358E-2</v>
      </c>
      <c r="V94" s="115">
        <f t="shared" si="95"/>
        <v>9.2026586598916923E-2</v>
      </c>
      <c r="W94" s="115">
        <f t="shared" si="96"/>
        <v>0.10310004697040864</v>
      </c>
      <c r="X94" s="115">
        <f t="shared" si="96"/>
        <v>0.10337927967985772</v>
      </c>
      <c r="Y94" s="115">
        <f t="shared" si="80"/>
        <v>0.12340139107022662</v>
      </c>
      <c r="Z94" s="115">
        <f t="shared" si="80"/>
        <v>0.12770758122743683</v>
      </c>
      <c r="AA94" s="192">
        <f t="shared" si="81"/>
        <v>0.10687867265814033</v>
      </c>
      <c r="AB94" s="74"/>
    </row>
    <row r="95" spans="1:28" ht="15.75" thickTop="1">
      <c r="A95" s="87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19"/>
      <c r="N95" s="72"/>
      <c r="O95" s="73"/>
      <c r="P95" s="73"/>
      <c r="Q95" s="73"/>
      <c r="R95" s="73"/>
      <c r="S95" s="73"/>
      <c r="T95" s="73"/>
      <c r="U95" s="89"/>
      <c r="V95" s="89"/>
      <c r="W95" s="89"/>
      <c r="X95" s="89"/>
      <c r="Y95" s="89"/>
      <c r="Z95" s="89"/>
      <c r="AA95" s="196"/>
      <c r="AB95" s="74"/>
    </row>
    <row r="96" spans="1:28">
      <c r="A96" s="87" t="s">
        <v>88</v>
      </c>
      <c r="B96" s="144">
        <v>18.899999999999999</v>
      </c>
      <c r="C96" s="144">
        <v>17.899999999999999</v>
      </c>
      <c r="D96" s="144">
        <v>12.7</v>
      </c>
      <c r="E96" s="144">
        <v>7.3</v>
      </c>
      <c r="F96" s="144">
        <v>3.3</v>
      </c>
      <c r="G96" s="144">
        <v>2.1</v>
      </c>
      <c r="H96" s="144">
        <v>2.1</v>
      </c>
      <c r="I96" s="144">
        <v>2</v>
      </c>
      <c r="J96" s="144">
        <v>2</v>
      </c>
      <c r="K96" s="144">
        <v>2</v>
      </c>
      <c r="L96" s="144">
        <v>2</v>
      </c>
      <c r="M96" s="99">
        <f>RATE(5.75,,-G96,L96)</f>
        <v>-8.4493478496112367E-3</v>
      </c>
      <c r="N96" s="72"/>
      <c r="O96" s="73" t="s">
        <v>89</v>
      </c>
      <c r="P96" s="89">
        <f t="shared" ref="P96:T97" si="100">B96/B$94</f>
        <v>0.2258064516129033</v>
      </c>
      <c r="Q96" s="89">
        <f t="shared" si="100"/>
        <v>-0.20294784580498862</v>
      </c>
      <c r="R96" s="89">
        <f t="shared" si="100"/>
        <v>3.8802322028719832E-2</v>
      </c>
      <c r="S96" s="89">
        <f t="shared" si="100"/>
        <v>5.2105638829407705E-2</v>
      </c>
      <c r="T96" s="89">
        <f t="shared" si="100"/>
        <v>1.3301088270858541E-2</v>
      </c>
      <c r="U96" s="89">
        <f>G96/G$94</f>
        <v>8.4134615384615346E-3</v>
      </c>
      <c r="V96" s="89">
        <f t="shared" ref="V96:Z97" si="101">H96/H$94</f>
        <v>5.8561070831009551E-3</v>
      </c>
      <c r="W96" s="89">
        <f t="shared" si="101"/>
        <v>4.5558086560364463E-3</v>
      </c>
      <c r="X96" s="89">
        <f t="shared" si="101"/>
        <v>4.3010752688172043E-3</v>
      </c>
      <c r="Y96" s="89">
        <f t="shared" si="101"/>
        <v>3.6363636363636364E-3</v>
      </c>
      <c r="Z96" s="89">
        <f t="shared" si="101"/>
        <v>3.5335689045936395E-3</v>
      </c>
      <c r="AA96" s="7">
        <f>SUM(G96:L96)/SUM(G$73:L$94)</f>
        <v>1.5412233017803652E-4</v>
      </c>
      <c r="AB96" s="74"/>
    </row>
    <row r="97" spans="1:28">
      <c r="A97" s="87" t="s">
        <v>90</v>
      </c>
      <c r="B97" s="144">
        <f>269.5-B96</f>
        <v>250.6</v>
      </c>
      <c r="C97" s="144">
        <f>347.7-C96</f>
        <v>329.8</v>
      </c>
      <c r="D97" s="144">
        <f>310.3-D96</f>
        <v>297.60000000000002</v>
      </c>
      <c r="E97" s="144">
        <f>7.3-E96</f>
        <v>0</v>
      </c>
      <c r="F97" s="144">
        <v>160.6</v>
      </c>
      <c r="G97" s="144">
        <f>195.4-G96</f>
        <v>193.3</v>
      </c>
      <c r="H97" s="144">
        <v>175</v>
      </c>
      <c r="I97" s="144"/>
      <c r="J97" s="144"/>
      <c r="K97" s="144"/>
      <c r="L97" s="144"/>
      <c r="M97" s="104"/>
      <c r="N97" s="72"/>
      <c r="O97" s="73" t="s">
        <v>91</v>
      </c>
      <c r="P97" s="89">
        <f t="shared" si="100"/>
        <v>2.9940262843488665</v>
      </c>
      <c r="Q97" s="89">
        <f t="shared" si="100"/>
        <v>-3.73922902494331</v>
      </c>
      <c r="R97" s="89">
        <f t="shared" si="100"/>
        <v>0.90925756186984441</v>
      </c>
      <c r="S97" s="89">
        <f t="shared" si="100"/>
        <v>0</v>
      </c>
      <c r="T97" s="89">
        <f t="shared" si="100"/>
        <v>0.64731962918178232</v>
      </c>
      <c r="U97" s="89">
        <f>G97/G$94</f>
        <v>0.7744391025641022</v>
      </c>
      <c r="V97" s="89">
        <f t="shared" si="101"/>
        <v>0.48800892359174625</v>
      </c>
      <c r="W97" s="89">
        <f t="shared" si="101"/>
        <v>0</v>
      </c>
      <c r="X97" s="89">
        <f t="shared" si="101"/>
        <v>0</v>
      </c>
      <c r="Y97" s="89">
        <f t="shared" si="101"/>
        <v>0</v>
      </c>
      <c r="Z97" s="89">
        <f t="shared" si="101"/>
        <v>0</v>
      </c>
      <c r="AA97" s="7">
        <f>SUM(G97:L97)/SUM(G$73:L$94)</f>
        <v>4.6527257544730213E-3</v>
      </c>
      <c r="AB97" s="74"/>
    </row>
    <row r="98" spans="1:28">
      <c r="A98" s="88" t="s">
        <v>170</v>
      </c>
      <c r="B98" s="121" t="s">
        <v>172</v>
      </c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99"/>
      <c r="N98" s="72"/>
      <c r="O98" s="93" t="s">
        <v>170</v>
      </c>
      <c r="P98" s="126" t="s">
        <v>171</v>
      </c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74"/>
    </row>
    <row r="99" spans="1:28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99"/>
      <c r="N99" s="72"/>
      <c r="O99" s="72"/>
      <c r="P99" s="72"/>
      <c r="Q99" s="72"/>
      <c r="R99" s="72"/>
      <c r="S99" s="72"/>
      <c r="T99" s="74"/>
      <c r="U99" s="74"/>
      <c r="V99" s="74"/>
      <c r="W99" s="74"/>
      <c r="X99" s="74"/>
      <c r="Y99" s="74"/>
      <c r="Z99" s="74"/>
      <c r="AA99" s="74"/>
      <c r="AB99" s="74"/>
    </row>
    <row r="100" spans="1:28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99"/>
      <c r="N100" s="72"/>
      <c r="O100" s="72"/>
      <c r="P100" s="72"/>
      <c r="Q100" s="72"/>
      <c r="R100" s="72"/>
      <c r="S100" s="72"/>
      <c r="T100" s="74"/>
      <c r="U100" s="74"/>
      <c r="V100" s="74"/>
      <c r="W100" s="74"/>
      <c r="X100" s="74"/>
      <c r="Y100" s="74"/>
      <c r="Z100" s="74"/>
      <c r="AA100" s="74"/>
      <c r="AB100" s="74"/>
    </row>
    <row r="101" spans="1:28">
      <c r="A101" s="87"/>
      <c r="B101" s="87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160" t="s">
        <v>0</v>
      </c>
      <c r="N101" s="72"/>
      <c r="O101" s="72"/>
      <c r="P101" s="72"/>
      <c r="Q101" s="72"/>
      <c r="R101" s="72"/>
      <c r="S101" s="72"/>
      <c r="T101" s="74"/>
      <c r="U101" s="74"/>
      <c r="V101" s="74"/>
      <c r="W101" s="74"/>
      <c r="X101" s="74"/>
      <c r="Y101" s="74"/>
      <c r="Z101" s="74"/>
      <c r="AA101" s="74"/>
      <c r="AB101" s="74"/>
    </row>
    <row r="102" spans="1:28">
      <c r="A102" s="87"/>
      <c r="B102" s="87"/>
      <c r="C102" s="87"/>
      <c r="D102" s="87"/>
      <c r="E102" s="87"/>
      <c r="F102" s="71"/>
      <c r="G102" s="71"/>
      <c r="H102" s="71"/>
      <c r="I102" s="71"/>
      <c r="J102" s="71"/>
      <c r="K102" s="71"/>
      <c r="L102" s="71"/>
      <c r="M102" s="173" t="s">
        <v>173</v>
      </c>
      <c r="N102" s="72"/>
      <c r="O102" s="72"/>
      <c r="P102" s="72"/>
      <c r="Q102" s="72"/>
      <c r="R102" s="72"/>
      <c r="S102" s="72"/>
      <c r="T102" s="74"/>
      <c r="U102" s="74"/>
      <c r="V102" s="74"/>
      <c r="W102" s="74"/>
      <c r="X102" s="74"/>
      <c r="Y102" s="74"/>
      <c r="Z102" s="74"/>
      <c r="AA102" s="74"/>
      <c r="AB102" s="74"/>
    </row>
    <row r="103" spans="1:28" ht="18.75">
      <c r="A103" s="76" t="str">
        <f>A3</f>
        <v>PacifiCorp</v>
      </c>
      <c r="B103" s="77"/>
      <c r="C103" s="77"/>
      <c r="D103" s="77"/>
      <c r="E103" s="77"/>
      <c r="F103" s="82"/>
      <c r="G103" s="82"/>
      <c r="H103" s="82"/>
      <c r="I103" s="82"/>
      <c r="J103" s="82"/>
      <c r="K103" s="82"/>
      <c r="L103" s="82"/>
      <c r="M103" s="77"/>
      <c r="N103" s="72"/>
      <c r="O103" s="72"/>
      <c r="P103" s="72"/>
      <c r="Q103" s="72"/>
      <c r="R103" s="72"/>
      <c r="S103" s="72"/>
      <c r="T103" s="74"/>
      <c r="U103" s="74"/>
      <c r="V103" s="74"/>
      <c r="W103" s="74"/>
      <c r="X103" s="74"/>
      <c r="Y103" s="74"/>
      <c r="Z103" s="74"/>
      <c r="AA103" s="74"/>
      <c r="AB103" s="74"/>
    </row>
    <row r="104" spans="1:28" ht="15.75">
      <c r="A104" s="81" t="s">
        <v>93</v>
      </c>
      <c r="B104" s="82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83"/>
      <c r="N104" s="72"/>
      <c r="O104" s="72"/>
      <c r="P104" s="72"/>
      <c r="Q104" s="72"/>
      <c r="R104" s="72"/>
      <c r="S104" s="72"/>
      <c r="T104" s="74"/>
      <c r="U104" s="74"/>
      <c r="V104" s="74"/>
      <c r="W104" s="74"/>
      <c r="X104" s="74"/>
      <c r="Y104" s="74"/>
      <c r="Z104" s="74"/>
      <c r="AA104" s="74"/>
      <c r="AB104" s="74"/>
    </row>
    <row r="105" spans="1:28">
      <c r="A105" s="120" t="str">
        <f>A5</f>
        <v>Fiscal Years Ended March 31 (through 3/31/2006), Fiscal Year Ended December 31 (beginning 12/31/ 2006)</v>
      </c>
      <c r="B105" s="82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83"/>
      <c r="N105" s="72"/>
      <c r="O105" s="72"/>
      <c r="P105" s="72"/>
      <c r="Q105" s="72"/>
      <c r="R105" s="72"/>
      <c r="S105" s="72"/>
      <c r="T105" s="74"/>
      <c r="U105" s="74"/>
      <c r="V105" s="74"/>
      <c r="W105" s="74"/>
      <c r="X105" s="74"/>
      <c r="Y105" s="74"/>
      <c r="Z105" s="74"/>
      <c r="AA105" s="74"/>
      <c r="AB105" s="74"/>
    </row>
    <row r="106" spans="1:28">
      <c r="A106" s="87"/>
      <c r="B106" s="87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99"/>
      <c r="N106" s="72"/>
      <c r="O106" s="72"/>
      <c r="P106" s="72"/>
      <c r="Q106" s="72"/>
      <c r="R106" s="72"/>
      <c r="S106" s="72"/>
      <c r="T106" s="74"/>
      <c r="U106" s="74"/>
      <c r="V106" s="74"/>
      <c r="W106" s="74"/>
      <c r="X106" s="74"/>
      <c r="Y106" s="74"/>
      <c r="Z106" s="74"/>
      <c r="AA106" s="74"/>
      <c r="AB106" s="74"/>
    </row>
    <row r="107" spans="1:28">
      <c r="A107" s="87"/>
      <c r="B107" s="87"/>
      <c r="C107" s="87"/>
      <c r="D107" s="87"/>
      <c r="E107" s="87"/>
      <c r="F107" s="87"/>
      <c r="G107" s="87"/>
      <c r="H107" s="88"/>
      <c r="I107" s="88"/>
      <c r="J107" s="88"/>
      <c r="K107" s="88"/>
      <c r="L107" s="88"/>
      <c r="M107" s="85" t="str">
        <f>M6</f>
        <v>2005-2010</v>
      </c>
      <c r="N107" s="72"/>
      <c r="O107" s="72"/>
      <c r="P107" s="72"/>
      <c r="Q107" s="72"/>
      <c r="R107" s="72"/>
      <c r="S107" s="72"/>
      <c r="T107" s="74"/>
      <c r="U107" s="74"/>
      <c r="V107" s="74"/>
      <c r="W107" s="74"/>
      <c r="X107" s="74"/>
      <c r="Y107" s="74"/>
      <c r="Z107" s="74"/>
      <c r="AA107" s="74"/>
      <c r="AB107" s="74"/>
    </row>
    <row r="108" spans="1:28">
      <c r="A108" s="105" t="s">
        <v>94</v>
      </c>
      <c r="B108" s="90">
        <f t="shared" ref="B108:H108" si="102">P8</f>
        <v>2000</v>
      </c>
      <c r="C108" s="90">
        <f t="shared" si="102"/>
        <v>2001</v>
      </c>
      <c r="D108" s="90">
        <f t="shared" si="102"/>
        <v>2002</v>
      </c>
      <c r="E108" s="90">
        <f t="shared" si="102"/>
        <v>2003</v>
      </c>
      <c r="F108" s="90">
        <f t="shared" si="102"/>
        <v>2004</v>
      </c>
      <c r="G108" s="90">
        <f t="shared" si="102"/>
        <v>2005</v>
      </c>
      <c r="H108" s="90">
        <f t="shared" si="102"/>
        <v>2006</v>
      </c>
      <c r="I108" s="134">
        <f t="shared" ref="I108:J108" si="103">I8</f>
        <v>2007</v>
      </c>
      <c r="J108" s="134">
        <f t="shared" si="103"/>
        <v>2008</v>
      </c>
      <c r="K108" s="91">
        <f>Y70</f>
        <v>2009</v>
      </c>
      <c r="L108" s="91">
        <f>+L70</f>
        <v>2010</v>
      </c>
      <c r="M108" s="92" t="s">
        <v>60</v>
      </c>
      <c r="N108" s="72"/>
      <c r="O108" s="72"/>
      <c r="P108" s="72"/>
      <c r="Q108" s="72"/>
      <c r="R108" s="72"/>
      <c r="S108" s="72"/>
      <c r="T108" s="74"/>
      <c r="U108" s="74"/>
      <c r="V108" s="74"/>
      <c r="W108" s="74"/>
      <c r="X108" s="74"/>
      <c r="Y108" s="74"/>
      <c r="Z108" s="74"/>
      <c r="AA108" s="74"/>
      <c r="AB108" s="74"/>
    </row>
    <row r="109" spans="1:28">
      <c r="A109" s="103"/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8"/>
      <c r="N109" s="72"/>
      <c r="O109" s="72"/>
      <c r="P109" s="72"/>
      <c r="Q109" s="72"/>
      <c r="R109" s="72"/>
      <c r="S109" s="72"/>
      <c r="T109" s="74"/>
      <c r="U109" s="74"/>
      <c r="V109" s="74"/>
      <c r="W109" s="74"/>
      <c r="X109" s="74"/>
      <c r="Y109" s="74"/>
      <c r="Z109" s="74"/>
      <c r="AA109" s="74"/>
      <c r="AB109" s="74"/>
    </row>
    <row r="110" spans="1:28">
      <c r="A110" s="98" t="s">
        <v>95</v>
      </c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99"/>
      <c r="N110" s="72"/>
      <c r="O110" s="72"/>
      <c r="P110" s="72"/>
      <c r="Q110" s="72"/>
      <c r="R110" s="72"/>
      <c r="S110" s="72"/>
      <c r="T110" s="74"/>
      <c r="U110" s="74"/>
      <c r="V110" s="74"/>
      <c r="W110" s="74"/>
      <c r="X110" s="74"/>
      <c r="Y110" s="74"/>
      <c r="Z110" s="74"/>
      <c r="AA110" s="74"/>
      <c r="AB110" s="74"/>
    </row>
    <row r="111" spans="1:28">
      <c r="A111" s="87" t="s">
        <v>96</v>
      </c>
      <c r="B111" s="129">
        <f t="shared" ref="B111:K111" si="104">B15/B45</f>
        <v>0.87684729064039402</v>
      </c>
      <c r="C111" s="129">
        <f t="shared" si="104"/>
        <v>0.84773919560329747</v>
      </c>
      <c r="D111" s="129">
        <f t="shared" si="104"/>
        <v>0.62470211192374059</v>
      </c>
      <c r="E111" s="129">
        <f t="shared" si="104"/>
        <v>0.90747863247863247</v>
      </c>
      <c r="F111" s="129">
        <f t="shared" si="104"/>
        <v>0.70408638183002892</v>
      </c>
      <c r="G111" s="129">
        <f t="shared" si="104"/>
        <v>0.76003004318708134</v>
      </c>
      <c r="H111" s="129">
        <f t="shared" si="104"/>
        <v>0.83488199983553968</v>
      </c>
      <c r="I111" s="129">
        <f t="shared" si="104"/>
        <v>1.1241431835491242</v>
      </c>
      <c r="J111" s="129">
        <f t="shared" si="104"/>
        <v>0.93860845839017737</v>
      </c>
      <c r="K111" s="129">
        <f t="shared" si="104"/>
        <v>1.5518262586377098</v>
      </c>
      <c r="L111" s="129">
        <f t="shared" ref="L111" si="105">L15/L45</f>
        <v>1.0624187256176854</v>
      </c>
      <c r="M111" s="129">
        <f>AVERAGE(G111:L111)</f>
        <v>1.0453181115362196</v>
      </c>
      <c r="N111" s="72"/>
      <c r="O111" s="72"/>
      <c r="P111" s="72"/>
      <c r="Q111" s="72"/>
      <c r="R111" s="72"/>
      <c r="S111" s="72"/>
      <c r="T111" s="74"/>
      <c r="U111" s="74"/>
      <c r="V111" s="74"/>
      <c r="W111" s="74"/>
      <c r="X111" s="74"/>
      <c r="Y111" s="74"/>
      <c r="Z111" s="74"/>
      <c r="AA111" s="74"/>
      <c r="AB111" s="74"/>
    </row>
    <row r="112" spans="1:28">
      <c r="A112" s="87" t="s">
        <v>97</v>
      </c>
      <c r="B112" s="129">
        <f t="shared" ref="B112:K112" si="106">(B11+B12)/B45</f>
        <v>0.65298303229337706</v>
      </c>
      <c r="C112" s="129">
        <f t="shared" si="106"/>
        <v>0.44116912315763174</v>
      </c>
      <c r="D112" s="129">
        <f t="shared" si="106"/>
        <v>0.33445640562083984</v>
      </c>
      <c r="E112" s="129">
        <f t="shared" si="106"/>
        <v>0.43878205128205128</v>
      </c>
      <c r="F112" s="129">
        <f t="shared" si="106"/>
        <v>0.27329423810853581</v>
      </c>
      <c r="G112" s="129">
        <f t="shared" si="106"/>
        <v>0.30813043750391189</v>
      </c>
      <c r="H112" s="129">
        <f t="shared" si="106"/>
        <v>0.31773702820491728</v>
      </c>
      <c r="I112" s="129">
        <f t="shared" si="106"/>
        <v>0.47143945163747142</v>
      </c>
      <c r="J112" s="129">
        <f t="shared" si="106"/>
        <v>0.45566166439290584</v>
      </c>
      <c r="K112" s="129">
        <f t="shared" si="106"/>
        <v>0.72655478775913129</v>
      </c>
      <c r="L112" s="129">
        <f t="shared" ref="L112" si="107">(L11+L12)/L45</f>
        <v>0.42847854356306891</v>
      </c>
      <c r="M112" s="129">
        <f t="shared" ref="M112:M113" si="108">AVERAGE(G112:L112)</f>
        <v>0.45133365217690113</v>
      </c>
      <c r="N112" s="72"/>
      <c r="O112" s="72"/>
      <c r="P112" s="72"/>
      <c r="Q112" s="72"/>
      <c r="R112" s="72"/>
      <c r="S112" s="72"/>
      <c r="T112" s="74"/>
      <c r="U112" s="74"/>
      <c r="V112" s="74"/>
      <c r="W112" s="74"/>
      <c r="X112" s="74"/>
      <c r="Y112" s="74"/>
      <c r="Z112" s="74"/>
      <c r="AA112" s="74"/>
      <c r="AB112" s="74"/>
    </row>
    <row r="113" spans="1:28">
      <c r="A113" s="87" t="s">
        <v>98</v>
      </c>
      <c r="B113" s="129">
        <f>365*(B12/B73)</f>
        <v>51.414382101382024</v>
      </c>
      <c r="C113" s="129">
        <f t="shared" ref="C113:H113" si="109">365*(((B12+C12)/2)/((B73+C73)/2))</f>
        <v>45.555371242784148</v>
      </c>
      <c r="D113" s="129">
        <f t="shared" si="109"/>
        <v>35.42184935905059</v>
      </c>
      <c r="E113" s="129">
        <f t="shared" si="109"/>
        <v>28.769674181569581</v>
      </c>
      <c r="F113" s="129">
        <f t="shared" si="109"/>
        <v>28.685258646784238</v>
      </c>
      <c r="G113" s="129">
        <f t="shared" si="109"/>
        <v>30.87413707494434</v>
      </c>
      <c r="H113" s="129">
        <f t="shared" si="109"/>
        <v>29.41861637031171</v>
      </c>
      <c r="I113" s="129">
        <f>365*(((H12+I12)/2)/((H12+I73)/2))</f>
        <v>53.062455799151337</v>
      </c>
      <c r="J113" s="129">
        <f>365*(((I12+J12)/2)/((I73+J73)/2))</f>
        <v>41.685701233439929</v>
      </c>
      <c r="K113" s="129">
        <f>365*((J12+K12)/2)/((J73+K73*(2))/2)</f>
        <v>33.419325976737248</v>
      </c>
      <c r="L113" s="129">
        <f>365*((K12+L12)/2)/((K73+L73*(2))/2)</f>
        <v>34.16823061331732</v>
      </c>
      <c r="M113" s="129">
        <f t="shared" si="108"/>
        <v>37.10474451131698</v>
      </c>
      <c r="N113" s="72"/>
      <c r="O113" s="72"/>
      <c r="P113" s="72"/>
      <c r="Q113" s="72"/>
      <c r="R113" s="72"/>
      <c r="S113" s="72"/>
      <c r="T113" s="74"/>
      <c r="U113" s="74"/>
      <c r="V113" s="74"/>
      <c r="W113" s="74"/>
      <c r="X113" s="74"/>
      <c r="Y113" s="74"/>
      <c r="Z113" s="74"/>
      <c r="AA113" s="74"/>
      <c r="AB113" s="74"/>
    </row>
    <row r="114" spans="1:28">
      <c r="A114" s="87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72"/>
      <c r="O114" s="72"/>
      <c r="P114" s="72"/>
      <c r="Q114" s="72"/>
      <c r="R114" s="72"/>
      <c r="S114" s="72"/>
      <c r="T114" s="74"/>
      <c r="U114" s="74"/>
      <c r="V114" s="74"/>
      <c r="W114" s="74"/>
      <c r="X114" s="74"/>
      <c r="Y114" s="74"/>
      <c r="Z114" s="74"/>
      <c r="AA114" s="74"/>
      <c r="AB114" s="74"/>
    </row>
    <row r="115" spans="1:28">
      <c r="A115" s="98" t="s">
        <v>99</v>
      </c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72"/>
      <c r="O115" s="72"/>
      <c r="P115" s="72"/>
      <c r="Q115" s="72"/>
      <c r="R115" s="72"/>
      <c r="S115" s="72"/>
      <c r="T115" s="74"/>
      <c r="U115" s="74"/>
      <c r="V115" s="74"/>
      <c r="W115" s="74"/>
      <c r="X115" s="74"/>
      <c r="Y115" s="74"/>
      <c r="Z115" s="74"/>
      <c r="AA115" s="74"/>
      <c r="AB115" s="74"/>
    </row>
    <row r="116" spans="1:28">
      <c r="A116" s="87" t="s">
        <v>100</v>
      </c>
      <c r="B116" s="129">
        <f t="shared" ref="B116:K116" si="110">B59/B52</f>
        <v>0.47265705897401533</v>
      </c>
      <c r="C116" s="129">
        <f t="shared" si="110"/>
        <v>0.47675831157406762</v>
      </c>
      <c r="D116" s="129">
        <f t="shared" si="110"/>
        <v>0.38411677978933939</v>
      </c>
      <c r="E116" s="129">
        <f t="shared" si="110"/>
        <v>0.39674102041830195</v>
      </c>
      <c r="F116" s="129">
        <f t="shared" si="110"/>
        <v>0.39498602544333078</v>
      </c>
      <c r="G116" s="129">
        <f t="shared" si="110"/>
        <v>0.36677295217152284</v>
      </c>
      <c r="H116" s="129">
        <f t="shared" si="110"/>
        <v>0.46427496469171825</v>
      </c>
      <c r="I116" s="129">
        <f t="shared" ref="I116:J116" si="111">I59/I52</f>
        <v>0.51277093721379874</v>
      </c>
      <c r="J116" s="129">
        <f t="shared" si="111"/>
        <v>0.5318425760286225</v>
      </c>
      <c r="K116" s="129">
        <f t="shared" si="110"/>
        <v>0.54691842406408375</v>
      </c>
      <c r="L116" s="129">
        <f t="shared" ref="L116" si="112">L59/L52</f>
        <v>0.56641994546162833</v>
      </c>
      <c r="M116" s="129">
        <f t="shared" ref="M116:M119" si="113">AVERAGE(G116:L116)</f>
        <v>0.49816663327189575</v>
      </c>
      <c r="N116" s="72"/>
      <c r="O116" s="72"/>
      <c r="P116" s="72"/>
      <c r="Q116" s="72"/>
      <c r="R116" s="72"/>
      <c r="S116" s="72"/>
      <c r="T116" s="74"/>
      <c r="U116" s="74"/>
      <c r="V116" s="74"/>
      <c r="W116" s="74"/>
      <c r="X116" s="74"/>
      <c r="Y116" s="74"/>
      <c r="Z116" s="74"/>
      <c r="AA116" s="74"/>
      <c r="AB116" s="74"/>
    </row>
    <row r="117" spans="1:28">
      <c r="A117" s="87" t="s">
        <v>101</v>
      </c>
      <c r="B117" s="129">
        <f t="shared" ref="B117:K117" si="114">B59/B50</f>
        <v>0.54550439367311077</v>
      </c>
      <c r="C117" s="129">
        <f t="shared" si="114"/>
        <v>0.61404549950544018</v>
      </c>
      <c r="D117" s="129">
        <f t="shared" si="114"/>
        <v>0.45817357964447536</v>
      </c>
      <c r="E117" s="129">
        <f t="shared" si="114"/>
        <v>0.44892911349710496</v>
      </c>
      <c r="F117" s="129">
        <f t="shared" si="114"/>
        <v>0.45370511312530271</v>
      </c>
      <c r="G117" s="129">
        <f t="shared" si="114"/>
        <v>0.44493350939671616</v>
      </c>
      <c r="H117" s="129">
        <f t="shared" si="114"/>
        <v>0.54034572425593841</v>
      </c>
      <c r="I117" s="129">
        <f t="shared" ref="I117:J117" si="115">I59/I50</f>
        <v>0.59184871975569653</v>
      </c>
      <c r="J117" s="129">
        <f t="shared" si="115"/>
        <v>0.61210623841877698</v>
      </c>
      <c r="K117" s="129">
        <f t="shared" si="114"/>
        <v>0.59629266553783089</v>
      </c>
      <c r="L117" s="129">
        <f t="shared" ref="L117" si="116">L59/L50</f>
        <v>0.6435336815083651</v>
      </c>
      <c r="M117" s="129">
        <f t="shared" si="113"/>
        <v>0.57151008981222073</v>
      </c>
      <c r="N117" s="72"/>
      <c r="O117" s="72"/>
      <c r="P117" s="72"/>
      <c r="Q117" s="72"/>
      <c r="R117" s="72"/>
      <c r="S117" s="72"/>
      <c r="T117" s="74"/>
      <c r="U117" s="74"/>
      <c r="V117" s="74"/>
      <c r="W117" s="74"/>
      <c r="X117" s="74"/>
      <c r="Y117" s="74"/>
      <c r="Z117" s="74"/>
      <c r="AA117" s="74"/>
      <c r="AB117" s="74"/>
    </row>
    <row r="118" spans="1:28">
      <c r="A118" s="87" t="s">
        <v>102</v>
      </c>
      <c r="B118" s="129">
        <f t="shared" ref="B118:K118" si="117">B59/B26</f>
        <v>0.42180620332017876</v>
      </c>
      <c r="C118" s="129">
        <f t="shared" si="117"/>
        <v>0.43095331254969776</v>
      </c>
      <c r="D118" s="129">
        <f t="shared" si="117"/>
        <v>0.3628709454796411</v>
      </c>
      <c r="E118" s="129">
        <f t="shared" si="117"/>
        <v>0.36723573029832729</v>
      </c>
      <c r="F118" s="129">
        <f t="shared" si="117"/>
        <v>0.36282852874453603</v>
      </c>
      <c r="G118" s="129">
        <f t="shared" si="117"/>
        <v>0.35148462689397936</v>
      </c>
      <c r="H118" s="129">
        <f t="shared" si="117"/>
        <v>0.39671784117437586</v>
      </c>
      <c r="I118" s="129">
        <f t="shared" si="117"/>
        <v>0.42526795510169635</v>
      </c>
      <c r="J118" s="129">
        <f t="shared" si="117"/>
        <v>0.43012152777777779</v>
      </c>
      <c r="K118" s="129">
        <f t="shared" si="117"/>
        <v>0.43064941751946967</v>
      </c>
      <c r="L118" s="129">
        <f t="shared" ref="L118" si="118">L59/L26</f>
        <v>0.44350902879453391</v>
      </c>
      <c r="M118" s="129">
        <f t="shared" si="113"/>
        <v>0.41295839954363878</v>
      </c>
      <c r="N118" s="72"/>
      <c r="O118" s="72"/>
      <c r="P118" s="72"/>
      <c r="Q118" s="72"/>
      <c r="R118" s="72"/>
      <c r="S118" s="72"/>
      <c r="T118" s="74"/>
      <c r="U118" s="74"/>
      <c r="V118" s="74"/>
      <c r="W118" s="74"/>
      <c r="X118" s="74"/>
      <c r="Y118" s="74"/>
      <c r="Z118" s="74"/>
      <c r="AA118" s="74"/>
      <c r="AB118" s="74"/>
    </row>
    <row r="119" spans="1:28">
      <c r="A119" s="87" t="s">
        <v>103</v>
      </c>
      <c r="B119" s="129">
        <f t="shared" ref="B119:H119" si="119">(B91+B85)/B85</f>
        <v>2.2830012453300124</v>
      </c>
      <c r="C119" s="129">
        <f t="shared" si="119"/>
        <v>1.3322522522522522</v>
      </c>
      <c r="D119" s="129">
        <f t="shared" si="119"/>
        <v>3.1263586956521738</v>
      </c>
      <c r="E119" s="129">
        <f t="shared" si="119"/>
        <v>1.9480776852952819</v>
      </c>
      <c r="F119" s="129">
        <f t="shared" si="119"/>
        <v>2.6631445477599311</v>
      </c>
      <c r="G119" s="129">
        <f t="shared" si="119"/>
        <v>2.563575168287211</v>
      </c>
      <c r="H119" s="129">
        <f t="shared" si="119"/>
        <v>2.9935691318327962</v>
      </c>
      <c r="I119" s="129">
        <f t="shared" ref="I119:J119" si="120">(I91+I85)/I85</f>
        <v>3.0987261146496814</v>
      </c>
      <c r="J119" s="129">
        <f t="shared" si="120"/>
        <v>3.0495626822157433</v>
      </c>
      <c r="K119" s="129">
        <f>((K91+K85)/K85)</f>
        <v>2.9898477157360408</v>
      </c>
      <c r="L119" s="129">
        <f>((L91+L85)/L85)</f>
        <v>3.0077519379844961</v>
      </c>
      <c r="M119" s="129">
        <f t="shared" si="113"/>
        <v>2.9505054584509947</v>
      </c>
      <c r="N119" s="72"/>
      <c r="O119" s="72"/>
      <c r="P119" s="72"/>
      <c r="Q119" s="72"/>
      <c r="R119" s="72"/>
      <c r="S119" s="72"/>
      <c r="T119" s="74"/>
      <c r="U119" s="74"/>
      <c r="V119" s="74"/>
      <c r="W119" s="74"/>
      <c r="X119" s="74"/>
      <c r="Y119" s="74"/>
      <c r="Z119" s="74"/>
      <c r="AA119" s="74"/>
      <c r="AB119" s="74"/>
    </row>
    <row r="120" spans="1:28">
      <c r="A120" s="87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72"/>
      <c r="O120" s="72"/>
      <c r="P120" s="72"/>
      <c r="Q120" s="72"/>
      <c r="R120" s="72"/>
      <c r="S120" s="72"/>
      <c r="T120" s="74"/>
      <c r="U120" s="74"/>
      <c r="V120" s="74"/>
      <c r="W120" s="74"/>
      <c r="X120" s="74"/>
      <c r="Y120" s="74"/>
      <c r="Z120" s="74"/>
      <c r="AA120" s="74"/>
      <c r="AB120" s="74"/>
    </row>
    <row r="121" spans="1:28">
      <c r="A121" s="98" t="s">
        <v>104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72"/>
      <c r="O121" s="72"/>
      <c r="P121" s="72"/>
      <c r="Q121" s="72"/>
      <c r="R121" s="72"/>
      <c r="S121" s="72"/>
      <c r="T121" s="74"/>
      <c r="U121" s="74"/>
      <c r="V121" s="74"/>
      <c r="W121" s="74"/>
      <c r="X121" s="74"/>
      <c r="Y121" s="74"/>
      <c r="Z121" s="74"/>
      <c r="AA121" s="74"/>
      <c r="AB121" s="74"/>
    </row>
    <row r="122" spans="1:28">
      <c r="A122" s="87" t="s">
        <v>105</v>
      </c>
      <c r="B122" s="99">
        <f>(B94+(B85*(1-(B93/B91))))/((B36)/1)</f>
        <v>2.4417305749913163E-2</v>
      </c>
      <c r="C122" s="99">
        <f t="shared" ref="C122:F122" si="121">(C94+(C85*(1-(C93/C91))))/((B36+C36)/2)</f>
        <v>-3.0177265524137634E-2</v>
      </c>
      <c r="D122" s="99">
        <f t="shared" si="121"/>
        <v>4.2276489838652002E-2</v>
      </c>
      <c r="E122" s="99">
        <f t="shared" si="121"/>
        <v>2.5683038962038707E-2</v>
      </c>
      <c r="F122" s="99">
        <f t="shared" si="121"/>
        <v>3.4040824318727507E-2</v>
      </c>
      <c r="G122" s="99">
        <f>(G94+(G85*(1-(G93/G91))))/((F36+G36)/2)</f>
        <v>3.3823799860194313E-2</v>
      </c>
      <c r="H122" s="99">
        <f t="shared" ref="H122:L122" si="122">(H94+(H85*(1-(H93/H91))))/((G36+H36)/2)</f>
        <v>4.2648037564788313E-2</v>
      </c>
      <c r="I122" s="99">
        <f t="shared" si="122"/>
        <v>4.6904079254406247E-2</v>
      </c>
      <c r="J122" s="99">
        <f t="shared" si="122"/>
        <v>4.3142586963947432E-2</v>
      </c>
      <c r="K122" s="99">
        <f t="shared" si="122"/>
        <v>4.5742288834278347E-2</v>
      </c>
      <c r="L122" s="99">
        <f t="shared" si="122"/>
        <v>4.3357912451796682E-2</v>
      </c>
      <c r="M122" s="130">
        <f>AVERAGE(G122:L122)</f>
        <v>4.2603117488235219E-2</v>
      </c>
      <c r="N122" s="72"/>
      <c r="O122" s="72"/>
      <c r="P122" s="72"/>
      <c r="Q122" s="72"/>
      <c r="R122" s="72"/>
      <c r="S122" s="72"/>
      <c r="T122" s="74"/>
      <c r="U122" s="74"/>
      <c r="V122" s="74"/>
      <c r="W122" s="74"/>
      <c r="X122" s="74"/>
      <c r="Y122" s="74"/>
      <c r="Z122" s="74"/>
      <c r="AA122" s="74"/>
      <c r="AB122" s="74"/>
    </row>
    <row r="123" spans="1:28">
      <c r="A123" s="87" t="s">
        <v>107</v>
      </c>
      <c r="B123" s="99">
        <f>(B94+(B85*(1-(B93/B91))))/((B47+B54+B59)/1)</f>
        <v>3.4699656878927392E-2</v>
      </c>
      <c r="C123" s="99">
        <f t="shared" ref="C123:F123" si="123">(C94+(C85*(1-(C93/C91))))/((B47+C47+B54+C54+B59+C59)/2)</f>
        <v>-4.5522655002233889E-2</v>
      </c>
      <c r="D123" s="99">
        <f t="shared" si="123"/>
        <v>6.7521766431899152E-2</v>
      </c>
      <c r="E123" s="99">
        <f t="shared" si="123"/>
        <v>4.1516238440737915E-2</v>
      </c>
      <c r="F123" s="99">
        <f t="shared" si="123"/>
        <v>5.7000693689001243E-2</v>
      </c>
      <c r="G123" s="99">
        <f>(G94+(G85*(1-(G93/G91))))/((F39+G39+F47+G47+F54+G54+F59+G59)/2)</f>
        <v>5.6597146108370758E-2</v>
      </c>
      <c r="H123" s="99">
        <f t="shared" ref="H123:L123" si="124">(H94+(H85*(1-(H93/H91))))/((G39+H39+G47+H47+G54+H54+G59+H59)/2)</f>
        <v>7.0133550462597019E-2</v>
      </c>
      <c r="I123" s="99">
        <f t="shared" si="124"/>
        <v>7.0922843681144099E-2</v>
      </c>
      <c r="J123" s="99">
        <f t="shared" si="124"/>
        <v>6.3468319135212795E-2</v>
      </c>
      <c r="K123" s="99">
        <f t="shared" si="124"/>
        <v>6.6907101260939142E-2</v>
      </c>
      <c r="L123" s="99">
        <f t="shared" si="124"/>
        <v>6.3135319129362322E-2</v>
      </c>
      <c r="M123" s="130">
        <f t="shared" ref="M123:M124" si="125">AVERAGE(G123:L123)</f>
        <v>6.519404662960436E-2</v>
      </c>
      <c r="N123" s="72"/>
      <c r="O123" s="72"/>
      <c r="P123" s="72"/>
      <c r="Q123" s="72"/>
      <c r="R123" s="72"/>
      <c r="S123" s="72"/>
      <c r="T123" s="74"/>
      <c r="U123" s="74"/>
      <c r="V123" s="74"/>
      <c r="W123" s="74"/>
      <c r="X123" s="74"/>
      <c r="Y123" s="74"/>
      <c r="Z123" s="74"/>
      <c r="AA123" s="74"/>
      <c r="AB123" s="74"/>
    </row>
    <row r="124" spans="1:28">
      <c r="A124" s="87" t="s">
        <v>108</v>
      </c>
      <c r="B124" s="99">
        <f>(B94-B96)/((B59)/1)</f>
        <v>1.6701461377870552E-2</v>
      </c>
      <c r="C124" s="99">
        <f t="shared" ref="C124:G124" si="126">(C94-C96)/((C59+B59)/2)</f>
        <v>-2.9091208203665883E-2</v>
      </c>
      <c r="D124" s="99">
        <f t="shared" si="126"/>
        <v>9.9773242630385492E-2</v>
      </c>
      <c r="E124" s="99">
        <f t="shared" si="126"/>
        <v>4.3638992491332872E-2</v>
      </c>
      <c r="F124" s="99">
        <f t="shared" si="126"/>
        <v>7.563609398896963E-2</v>
      </c>
      <c r="G124" s="99">
        <f t="shared" si="126"/>
        <v>7.48355884798549E-2</v>
      </c>
      <c r="H124" s="99">
        <f t="shared" ref="H124" si="127">(H94-H96)/((H59+G59)/2)</f>
        <v>9.7055660672719479E-2</v>
      </c>
      <c r="I124" s="99">
        <f t="shared" ref="I124" si="128">(I94-I96)/((I59+H59)/2)</f>
        <v>9.6579921542626665E-2</v>
      </c>
      <c r="J124" s="99">
        <f t="shared" ref="J124" si="129">(J94-J96)/((J59+I59)/2)</f>
        <v>8.4296768320436963E-2</v>
      </c>
      <c r="K124" s="99">
        <f t="shared" ref="K124" si="130">(K94-K96)/((K59+J59)/2)</f>
        <v>8.6729445279734113E-2</v>
      </c>
      <c r="L124" s="99">
        <f t="shared" ref="L124" si="131">(L94-L96)/((L59+K59)/2)</f>
        <v>8.0796504548384787E-2</v>
      </c>
      <c r="M124" s="130">
        <f t="shared" si="125"/>
        <v>8.6715648140626156E-2</v>
      </c>
      <c r="N124" s="72"/>
      <c r="O124" s="72"/>
      <c r="P124" s="72"/>
      <c r="Q124" s="72"/>
      <c r="R124" s="72"/>
      <c r="S124" s="72"/>
      <c r="T124" s="74"/>
      <c r="U124" s="74"/>
      <c r="V124" s="74"/>
      <c r="W124" s="74"/>
      <c r="X124" s="74"/>
      <c r="Y124" s="74"/>
      <c r="Z124" s="74"/>
      <c r="AA124" s="74"/>
      <c r="AB124" s="74"/>
    </row>
    <row r="125" spans="1:28">
      <c r="A125" s="87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72"/>
      <c r="O125" s="72"/>
      <c r="P125" s="72"/>
      <c r="Q125" s="72"/>
      <c r="R125" s="72"/>
      <c r="S125" s="72"/>
      <c r="T125" s="74"/>
      <c r="U125" s="74"/>
      <c r="V125" s="74"/>
      <c r="W125" s="74"/>
      <c r="X125" s="74"/>
      <c r="Y125" s="74"/>
      <c r="Z125" s="74"/>
      <c r="AA125" s="74"/>
      <c r="AB125" s="74"/>
    </row>
    <row r="126" spans="1:28">
      <c r="A126" s="131" t="s">
        <v>174</v>
      </c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72"/>
      <c r="O126" s="72"/>
      <c r="P126" s="72"/>
      <c r="Q126" s="72"/>
      <c r="R126" s="72"/>
      <c r="S126" s="72"/>
      <c r="T126" s="74"/>
      <c r="U126" s="74"/>
      <c r="V126" s="74"/>
      <c r="W126" s="74"/>
      <c r="X126" s="74"/>
      <c r="Y126" s="74"/>
      <c r="Z126" s="74"/>
      <c r="AA126" s="74"/>
      <c r="AB126" s="74"/>
    </row>
    <row r="127" spans="1:28">
      <c r="A127" s="87" t="s">
        <v>110</v>
      </c>
      <c r="B127" s="129">
        <f>B73/B11</f>
        <v>25.855382619974062</v>
      </c>
      <c r="C127" s="129">
        <f t="shared" ref="C127:H127" si="132">C73/((B11+C11)/2)</f>
        <v>34.439373297002724</v>
      </c>
      <c r="D127" s="129">
        <f t="shared" si="132"/>
        <v>22.561049445005043</v>
      </c>
      <c r="E127" s="129">
        <f t="shared" si="132"/>
        <v>19.860824742268044</v>
      </c>
      <c r="F127" s="140">
        <f t="shared" si="132"/>
        <v>30.279620853080569</v>
      </c>
      <c r="G127" s="140">
        <f t="shared" si="132"/>
        <v>23.652443754848722</v>
      </c>
      <c r="H127" s="140">
        <f t="shared" si="132"/>
        <v>24.438381937911572</v>
      </c>
      <c r="I127" s="140">
        <f>I73/((H11+I11)/2)</f>
        <v>24.499424626006903</v>
      </c>
      <c r="J127" s="140">
        <f>J73/((I11+J11)/2)</f>
        <v>31.344947735191639</v>
      </c>
      <c r="K127" s="140">
        <f>K73*2/((J11+K11)/2)</f>
        <v>101.29545454545455</v>
      </c>
      <c r="L127" s="140">
        <f>L73*2/((K11+L11)/2)</f>
        <v>119.78378378378379</v>
      </c>
      <c r="M127" s="129">
        <f t="shared" ref="M127:M131" si="133">AVERAGE(G127:L127)</f>
        <v>54.169072730532861</v>
      </c>
      <c r="N127" s="72"/>
      <c r="O127" s="72"/>
      <c r="P127" s="72"/>
      <c r="Q127" s="72"/>
      <c r="R127" s="72"/>
      <c r="S127" s="72"/>
      <c r="T127" s="74"/>
      <c r="U127" s="74"/>
      <c r="V127" s="74"/>
      <c r="W127" s="74"/>
      <c r="X127" s="74"/>
      <c r="Y127" s="74"/>
      <c r="Z127" s="74"/>
      <c r="AA127" s="74"/>
      <c r="AB127" s="74"/>
    </row>
    <row r="128" spans="1:28">
      <c r="A128" s="87" t="s">
        <v>111</v>
      </c>
      <c r="B128" s="129">
        <f>B73/B12</f>
        <v>7.0991809116809117</v>
      </c>
      <c r="C128" s="129">
        <f t="shared" ref="C128:H128" si="134">C73/((B12+C12)/2)</f>
        <v>8.9592415381889072</v>
      </c>
      <c r="D128" s="129">
        <f t="shared" si="134"/>
        <v>8.2188457296899884</v>
      </c>
      <c r="E128" s="129">
        <f t="shared" si="134"/>
        <v>12.152178198304751</v>
      </c>
      <c r="F128" s="140">
        <f t="shared" si="134"/>
        <v>12.95155078045814</v>
      </c>
      <c r="G128" s="140">
        <f t="shared" si="134"/>
        <v>11.546298049611815</v>
      </c>
      <c r="H128" s="140">
        <f t="shared" si="134"/>
        <v>13.92175777063237</v>
      </c>
      <c r="I128" s="140">
        <f>I73/((H12+I12)/2)</f>
        <v>12.946184250532077</v>
      </c>
      <c r="J128" s="140">
        <f>J73/((I12+J12)/2)</f>
        <v>8.9960000000000004</v>
      </c>
      <c r="K128" s="140">
        <f>K73*2/((J12+K12)/2)</f>
        <v>14.517915309446254</v>
      </c>
      <c r="L128" s="140">
        <f>L73*2/((K12+L12)/2)</f>
        <v>14.216519647153168</v>
      </c>
      <c r="M128" s="129">
        <f t="shared" si="133"/>
        <v>12.690779171229281</v>
      </c>
      <c r="N128" s="72"/>
      <c r="O128" s="72"/>
      <c r="P128" s="72"/>
      <c r="Q128" s="72"/>
      <c r="R128" s="72"/>
      <c r="S128" s="72"/>
      <c r="T128" s="74"/>
      <c r="U128" s="74"/>
      <c r="V128" s="74"/>
      <c r="W128" s="74"/>
      <c r="X128" s="74"/>
      <c r="Y128" s="74"/>
      <c r="Z128" s="74"/>
      <c r="AA128" s="74"/>
      <c r="AB128" s="74"/>
    </row>
    <row r="129" spans="1:28">
      <c r="A129" s="87" t="s">
        <v>112</v>
      </c>
      <c r="B129" s="129">
        <f>B73/(B15-B45)</f>
        <v>-29.532592592592568</v>
      </c>
      <c r="C129" s="129">
        <f t="shared" ref="C129:H129" si="135">C73/((B15+C15-B45-C45)/2)</f>
        <v>-26.693241816261867</v>
      </c>
      <c r="D129" s="129">
        <f t="shared" si="135"/>
        <v>-9.5751605995717313</v>
      </c>
      <c r="E129" s="129">
        <f t="shared" si="135"/>
        <v>-11.346953800846673</v>
      </c>
      <c r="F129" s="140">
        <f t="shared" si="135"/>
        <v>-15.794808405438822</v>
      </c>
      <c r="G129" s="140">
        <f t="shared" si="135"/>
        <v>-8.6947098246114365</v>
      </c>
      <c r="H129" s="140">
        <f t="shared" si="135"/>
        <v>-13.340294419719267</v>
      </c>
      <c r="I129" s="140">
        <f t="shared" ref="I129" si="136">I73/((H15+I15-H45-I45)/2)</f>
        <v>-225.29100529100558</v>
      </c>
      <c r="J129" s="140">
        <f t="shared" ref="J129" si="137">J73/((I15+J15-I45-J45)/2)</f>
        <v>123.23287671232876</v>
      </c>
      <c r="K129" s="140">
        <f>K73*2/((J15+K15-J45-K45)/2)</f>
        <v>38.012793176972281</v>
      </c>
      <c r="L129" s="140">
        <f>L73*2/((K15+L15-K45-L45)/2)</f>
        <v>27.065648854961832</v>
      </c>
      <c r="M129" s="129">
        <f t="shared" si="133"/>
        <v>-9.8357817985122349</v>
      </c>
      <c r="N129" s="72"/>
      <c r="O129" s="72"/>
      <c r="P129" s="72"/>
      <c r="Q129" s="72"/>
      <c r="R129" s="72"/>
      <c r="S129" s="72"/>
      <c r="T129" s="74"/>
      <c r="U129" s="74"/>
      <c r="V129" s="74"/>
      <c r="W129" s="74"/>
      <c r="X129" s="74"/>
      <c r="Y129" s="74"/>
      <c r="Z129" s="74"/>
      <c r="AA129" s="74"/>
      <c r="AB129" s="74"/>
    </row>
    <row r="130" spans="1:28">
      <c r="A130" s="87" t="s">
        <v>113</v>
      </c>
      <c r="B130" s="129">
        <f>B73/(B26)</f>
        <v>0.43343878760205695</v>
      </c>
      <c r="C130" s="129">
        <f t="shared" ref="C130:H130" si="138">C73/((B26+C26)/2)</f>
        <v>0.59057776324089439</v>
      </c>
      <c r="D130" s="129">
        <f t="shared" si="138"/>
        <v>0.42205079157333064</v>
      </c>
      <c r="E130" s="129">
        <f t="shared" si="138"/>
        <v>0.36985841132709385</v>
      </c>
      <c r="F130" s="140">
        <f t="shared" si="138"/>
        <v>0.36024809698336624</v>
      </c>
      <c r="G130" s="140">
        <f t="shared" si="138"/>
        <v>0.32911788677127024</v>
      </c>
      <c r="H130" s="140">
        <f t="shared" si="138"/>
        <v>0.39762650639292246</v>
      </c>
      <c r="I130" s="140">
        <f t="shared" ref="I130" si="139">I73/((H26+I26)/2)</f>
        <v>0.38782778187647443</v>
      </c>
      <c r="J130" s="140">
        <f t="shared" ref="J130" si="140">J73/((I26+J26)/2)</f>
        <v>0.35040704241810461</v>
      </c>
      <c r="K130" s="140">
        <f>K73*2/((J26+K26)/2)</f>
        <v>0.60720002724702837</v>
      </c>
      <c r="L130" s="140">
        <f>L73*2/((K26+L26)/2)</f>
        <v>0.55523192082432893</v>
      </c>
      <c r="M130" s="129">
        <f t="shared" si="133"/>
        <v>0.4379018609216882</v>
      </c>
      <c r="N130" s="72"/>
      <c r="O130" s="72"/>
      <c r="P130" s="72"/>
      <c r="Q130" s="72"/>
      <c r="R130" s="72"/>
      <c r="S130" s="72"/>
      <c r="T130" s="74"/>
      <c r="U130" s="74"/>
      <c r="V130" s="74"/>
      <c r="W130" s="74"/>
      <c r="X130" s="74"/>
      <c r="Y130" s="74"/>
      <c r="Z130" s="74"/>
      <c r="AA130" s="74"/>
      <c r="AB130" s="74"/>
    </row>
    <row r="131" spans="1:28">
      <c r="A131" s="87" t="s">
        <v>114</v>
      </c>
      <c r="B131" s="129">
        <f>B73/B36</f>
        <v>0.3240038683147638</v>
      </c>
      <c r="C131" s="129">
        <f t="shared" ref="C131:H131" si="141">C73/((B36+C36)/2)</f>
        <v>0.43139396473383984</v>
      </c>
      <c r="D131" s="129">
        <f t="shared" si="141"/>
        <v>0.30472391578909108</v>
      </c>
      <c r="E131" s="129">
        <f t="shared" si="141"/>
        <v>0.27310019757767989</v>
      </c>
      <c r="F131" s="140">
        <f t="shared" si="141"/>
        <v>0.27335076092397609</v>
      </c>
      <c r="G131" s="140">
        <f t="shared" si="141"/>
        <v>0.25198776758409791</v>
      </c>
      <c r="H131" s="140">
        <f t="shared" si="141"/>
        <v>0.30862261505928196</v>
      </c>
      <c r="I131" s="140">
        <f t="shared" ref="I131" si="142">I73/((H36+I36)/2)</f>
        <v>0.30812314795048906</v>
      </c>
      <c r="J131" s="140">
        <f t="shared" ref="J131" si="143">J73/((I36+J36)/2)</f>
        <v>0.28047639832886451</v>
      </c>
      <c r="K131" s="140">
        <f>K73*2/((J36+K36)/2)</f>
        <v>0.49339938560318825</v>
      </c>
      <c r="L131" s="140">
        <f>L73*2/((K36+L36)/2)</f>
        <v>0.45326242585395787</v>
      </c>
      <c r="M131" s="129">
        <f t="shared" si="133"/>
        <v>0.34931195672997989</v>
      </c>
      <c r="N131" s="72"/>
      <c r="O131" s="72"/>
      <c r="P131" s="72"/>
      <c r="Q131" s="72"/>
      <c r="R131" s="72"/>
      <c r="S131" s="72"/>
      <c r="T131" s="74"/>
      <c r="U131" s="74"/>
      <c r="V131" s="74"/>
      <c r="W131" s="74"/>
      <c r="X131" s="74"/>
      <c r="Y131" s="74"/>
      <c r="Z131" s="74"/>
      <c r="AA131" s="74"/>
      <c r="AB131" s="74"/>
    </row>
    <row r="132" spans="1:28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129"/>
      <c r="N132" s="72"/>
      <c r="O132" s="72"/>
      <c r="P132" s="72"/>
      <c r="Q132" s="72"/>
      <c r="R132" s="72"/>
      <c r="S132" s="72"/>
      <c r="T132" s="74"/>
      <c r="U132" s="74"/>
      <c r="V132" s="74"/>
      <c r="W132" s="74"/>
      <c r="X132" s="74"/>
      <c r="Y132" s="74"/>
      <c r="Z132" s="74"/>
      <c r="AA132" s="74"/>
      <c r="AB132" s="74"/>
    </row>
    <row r="133" spans="1:28">
      <c r="A133" s="98" t="s">
        <v>175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129"/>
      <c r="N133" s="72"/>
      <c r="O133" s="72"/>
      <c r="P133" s="72"/>
      <c r="Q133" s="72"/>
      <c r="R133" s="72"/>
      <c r="S133" s="72"/>
      <c r="T133" s="74"/>
      <c r="U133" s="74"/>
      <c r="V133" s="74"/>
      <c r="W133" s="74"/>
      <c r="X133" s="74"/>
      <c r="Y133" s="74"/>
      <c r="Z133" s="74"/>
      <c r="AA133" s="74"/>
      <c r="AB133" s="74"/>
    </row>
    <row r="134" spans="1:28">
      <c r="A134" s="87" t="s">
        <v>120</v>
      </c>
      <c r="B134" s="75">
        <f t="shared" ref="B134:K134" si="144">B59/B$137</f>
        <v>0.43861989441197424</v>
      </c>
      <c r="C134" s="75">
        <f t="shared" si="144"/>
        <v>0.49268419381836021</v>
      </c>
      <c r="D134" s="75">
        <f t="shared" si="144"/>
        <v>0.4103615620388239</v>
      </c>
      <c r="E134" s="75">
        <f t="shared" si="144"/>
        <v>0.44375911648260058</v>
      </c>
      <c r="F134" s="75">
        <f t="shared" si="144"/>
        <v>0.45942688993203951</v>
      </c>
      <c r="G134" s="75">
        <f t="shared" si="144"/>
        <v>0.45541175185670602</v>
      </c>
      <c r="H134" s="75">
        <f t="shared" si="144"/>
        <v>0.49937741252645995</v>
      </c>
      <c r="I134" s="75">
        <f t="shared" ref="I134:J134" si="145">I59/I$137</f>
        <v>0.4917392874220527</v>
      </c>
      <c r="J134" s="75">
        <f t="shared" si="145"/>
        <v>0.51458243184768504</v>
      </c>
      <c r="K134" s="75">
        <f t="shared" si="144"/>
        <v>0.50889869181624581</v>
      </c>
      <c r="L134" s="75">
        <f t="shared" ref="L134" si="146">L59/L$137</f>
        <v>0.53019253208868145</v>
      </c>
      <c r="M134" s="130">
        <f t="shared" ref="M134:M136" si="147">AVERAGE(G134:L134)</f>
        <v>0.50003368459297182</v>
      </c>
      <c r="N134" s="72"/>
      <c r="O134" s="72"/>
      <c r="P134" s="72"/>
      <c r="Q134" s="72"/>
      <c r="R134" s="72"/>
      <c r="S134" s="72"/>
      <c r="T134" s="74"/>
      <c r="U134" s="74"/>
      <c r="V134" s="74"/>
      <c r="W134" s="74"/>
      <c r="X134" s="74"/>
      <c r="Y134" s="74"/>
      <c r="Z134" s="74"/>
      <c r="AA134" s="74"/>
      <c r="AB134" s="74"/>
    </row>
    <row r="135" spans="1:28">
      <c r="A135" s="87" t="s">
        <v>50</v>
      </c>
      <c r="B135" s="75">
        <f t="shared" ref="B135:K135" si="148">B54/B$137</f>
        <v>2.4475168726047686E-2</v>
      </c>
      <c r="C135" s="75">
        <f t="shared" si="148"/>
        <v>8.0473867998037574E-2</v>
      </c>
      <c r="D135" s="75">
        <f t="shared" si="148"/>
        <v>6.4848450448405037E-2</v>
      </c>
      <c r="E135" s="75">
        <f t="shared" si="148"/>
        <v>6.2485239980551506E-2</v>
      </c>
      <c r="F135" s="75">
        <f t="shared" si="148"/>
        <v>1.3676171792895677E-2</v>
      </c>
      <c r="G135" s="75">
        <f t="shared" si="148"/>
        <v>1.2300677151594582E-2</v>
      </c>
      <c r="H135" s="75">
        <f t="shared" si="148"/>
        <v>1.0285145062881335E-2</v>
      </c>
      <c r="I135" s="75">
        <f t="shared" ref="I135:J135" si="149">I54/I$137</f>
        <v>4.0303299405697107E-3</v>
      </c>
      <c r="J135" s="75">
        <f t="shared" si="149"/>
        <v>3.5482475118996104E-3</v>
      </c>
      <c r="K135" s="75">
        <f t="shared" si="148"/>
        <v>3.1183449954365681E-3</v>
      </c>
      <c r="L135" s="75">
        <f t="shared" ref="L135" si="150">L54/L$137</f>
        <v>2.9900816802800466E-3</v>
      </c>
      <c r="M135" s="130">
        <f t="shared" si="147"/>
        <v>6.0454710571103088E-3</v>
      </c>
      <c r="N135" s="72"/>
      <c r="O135" s="72"/>
      <c r="P135" s="72"/>
      <c r="Q135" s="72"/>
      <c r="R135" s="72"/>
      <c r="S135" s="72"/>
      <c r="T135" s="74"/>
      <c r="U135" s="74"/>
      <c r="V135" s="74"/>
      <c r="W135" s="74"/>
      <c r="X135" s="74"/>
      <c r="Y135" s="74"/>
      <c r="Z135" s="74"/>
      <c r="AA135" s="74"/>
      <c r="AB135" s="74"/>
    </row>
    <row r="136" spans="1:28">
      <c r="A136" s="87" t="s">
        <v>176</v>
      </c>
      <c r="B136" s="75">
        <f t="shared" ref="B136:K136" si="151">(B39+B47)/B$137</f>
        <v>0.53690493686197815</v>
      </c>
      <c r="C136" s="75">
        <f t="shared" si="151"/>
        <v>0.42684193818360217</v>
      </c>
      <c r="D136" s="75">
        <f t="shared" si="151"/>
        <v>0.52478998751277106</v>
      </c>
      <c r="E136" s="132">
        <f t="shared" si="151"/>
        <v>0.49375564353684792</v>
      </c>
      <c r="F136" s="132">
        <f t="shared" si="151"/>
        <v>0.52689693827506479</v>
      </c>
      <c r="G136" s="132">
        <f t="shared" si="151"/>
        <v>0.53228757099169943</v>
      </c>
      <c r="H136" s="132">
        <f t="shared" si="151"/>
        <v>0.49033744241065869</v>
      </c>
      <c r="I136" s="132">
        <f t="shared" ref="I136:J136" si="152">(I39+I47)/I$137</f>
        <v>0.50423038263737774</v>
      </c>
      <c r="J136" s="132">
        <f t="shared" si="152"/>
        <v>0.48186932064041538</v>
      </c>
      <c r="K136" s="132">
        <f t="shared" si="151"/>
        <v>0.48798296318831763</v>
      </c>
      <c r="L136" s="132">
        <f t="shared" ref="L136" si="153">(L39+L47)/L$137</f>
        <v>0.46681738623103852</v>
      </c>
      <c r="M136" s="130">
        <f t="shared" si="147"/>
        <v>0.4939208443499179</v>
      </c>
      <c r="N136" s="72"/>
      <c r="O136" s="72"/>
      <c r="P136" s="72"/>
      <c r="Q136" s="72"/>
      <c r="R136" s="72"/>
      <c r="S136" s="72"/>
      <c r="T136" s="74"/>
      <c r="U136" s="74"/>
      <c r="V136" s="74"/>
      <c r="W136" s="74"/>
      <c r="X136" s="74"/>
      <c r="Y136" s="74"/>
      <c r="Z136" s="74"/>
      <c r="AA136" s="74"/>
      <c r="AB136" s="74"/>
    </row>
    <row r="137" spans="1:28">
      <c r="A137" s="87" t="s">
        <v>177</v>
      </c>
      <c r="B137" s="23">
        <f>B39+B47+B54+B59</f>
        <v>8845.6999999999989</v>
      </c>
      <c r="C137" s="23">
        <f t="shared" ref="C137:K137" si="154">C39+C47+C54+C59</f>
        <v>6930.2000000000007</v>
      </c>
      <c r="D137" s="23">
        <f t="shared" si="154"/>
        <v>7047.2</v>
      </c>
      <c r="E137" s="23">
        <f t="shared" si="154"/>
        <v>7198.5</v>
      </c>
      <c r="F137" s="23">
        <f t="shared" si="154"/>
        <v>7136.5</v>
      </c>
      <c r="G137" s="23">
        <f t="shared" si="154"/>
        <v>7324.8</v>
      </c>
      <c r="H137" s="23">
        <f t="shared" si="154"/>
        <v>8031</v>
      </c>
      <c r="I137" s="23">
        <f t="shared" ref="I137:J137" si="155">I39+I47+I54+I59</f>
        <v>10247.299999999999</v>
      </c>
      <c r="J137" s="23">
        <f t="shared" si="155"/>
        <v>11555</v>
      </c>
      <c r="K137" s="23">
        <f t="shared" si="154"/>
        <v>13148</v>
      </c>
      <c r="L137" s="23">
        <f t="shared" ref="L137" si="156">L39+L47+L54+L59</f>
        <v>13712</v>
      </c>
      <c r="M137" s="186">
        <f>AVERAGE(G137:L137)</f>
        <v>10669.683333333332</v>
      </c>
      <c r="N137" s="72"/>
      <c r="O137" s="72"/>
      <c r="P137" s="72"/>
      <c r="Q137" s="72"/>
      <c r="R137" s="72"/>
      <c r="S137" s="72"/>
      <c r="T137" s="74"/>
      <c r="U137" s="74"/>
      <c r="V137" s="74"/>
      <c r="W137" s="74"/>
      <c r="X137" s="74"/>
      <c r="Y137" s="74"/>
      <c r="Z137" s="74"/>
      <c r="AA137" s="74"/>
      <c r="AB137" s="74"/>
    </row>
    <row r="138" spans="1:28">
      <c r="A138" s="71"/>
      <c r="B138" s="72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133"/>
      <c r="N138" s="72"/>
      <c r="O138" s="72"/>
      <c r="P138" s="72"/>
      <c r="Q138" s="72"/>
      <c r="R138" s="72"/>
      <c r="S138" s="72"/>
      <c r="T138" s="74"/>
      <c r="U138" s="74"/>
      <c r="V138" s="74"/>
      <c r="W138" s="74"/>
      <c r="X138" s="74"/>
      <c r="Y138" s="74"/>
      <c r="Z138" s="74"/>
      <c r="AA138" s="74"/>
      <c r="AB138" s="74"/>
    </row>
    <row r="139" spans="1:28">
      <c r="A139" s="98" t="s">
        <v>115</v>
      </c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99"/>
      <c r="N139" s="72"/>
      <c r="O139" s="72"/>
      <c r="P139" s="72"/>
      <c r="Q139" s="72"/>
      <c r="R139" s="72"/>
      <c r="S139" s="72"/>
      <c r="T139" s="74"/>
      <c r="U139" s="74"/>
      <c r="V139" s="74"/>
      <c r="W139" s="74"/>
      <c r="X139" s="74"/>
      <c r="Y139" s="74"/>
      <c r="Z139" s="74"/>
      <c r="AA139" s="74"/>
      <c r="AB139" s="74"/>
    </row>
    <row r="140" spans="1:28">
      <c r="A140" s="87" t="s">
        <v>116</v>
      </c>
      <c r="B140" s="87"/>
      <c r="C140" s="87"/>
      <c r="D140" s="87"/>
      <c r="E140" s="87"/>
      <c r="F140" s="87"/>
      <c r="G140" s="87"/>
      <c r="H140" s="88" t="s">
        <v>178</v>
      </c>
      <c r="I140" s="88"/>
      <c r="J140" s="88"/>
      <c r="K140" s="159" t="s">
        <v>181</v>
      </c>
      <c r="L140" s="159"/>
      <c r="M140" s="99"/>
      <c r="N140" s="72"/>
      <c r="O140" s="72"/>
      <c r="P140" s="72"/>
      <c r="Q140" s="72"/>
      <c r="R140" s="72"/>
      <c r="S140" s="72"/>
      <c r="T140" s="74"/>
      <c r="U140" s="74"/>
      <c r="V140" s="74"/>
      <c r="W140" s="74"/>
      <c r="X140" s="74"/>
      <c r="Y140" s="74"/>
      <c r="Z140" s="74"/>
      <c r="AA140" s="74"/>
      <c r="AB140" s="74"/>
    </row>
    <row r="141" spans="1:28">
      <c r="O141" s="72"/>
      <c r="P141" s="72"/>
      <c r="Q141" s="72"/>
      <c r="R141" s="72"/>
      <c r="S141" s="72"/>
      <c r="T141" s="74"/>
      <c r="U141" s="74"/>
      <c r="V141" s="74"/>
      <c r="W141" s="74"/>
      <c r="X141" s="74"/>
      <c r="Y141" s="74"/>
      <c r="Z141" s="74"/>
      <c r="AA141" s="74"/>
      <c r="AB141" s="74"/>
    </row>
    <row r="142" spans="1:28">
      <c r="AB142" s="74"/>
    </row>
  </sheetData>
  <mergeCells count="2">
    <mergeCell ref="O3:Z3"/>
    <mergeCell ref="O4:Z4"/>
  </mergeCells>
  <pageMargins left="0.7" right="0.7" top="0.75" bottom="0.75" header="0.3" footer="0.3"/>
  <pageSetup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55"/>
  <sheetViews>
    <sheetView topLeftCell="A64" workbookViewId="0">
      <pane xSplit="1" topLeftCell="L1" activePane="topRight" state="frozen"/>
      <selection activeCell="A71" sqref="A71"/>
      <selection pane="topRight" activeCell="M88" sqref="M88"/>
    </sheetView>
  </sheetViews>
  <sheetFormatPr defaultRowHeight="15"/>
  <cols>
    <col min="1" max="1" width="32.28515625" bestFit="1" customWidth="1"/>
    <col min="2" max="2" width="7.7109375" hidden="1" customWidth="1"/>
    <col min="3" max="3" width="9.140625" hidden="1" customWidth="1"/>
    <col min="4" max="4" width="11.85546875" hidden="1" customWidth="1"/>
    <col min="5" max="5" width="9.140625" hidden="1" customWidth="1"/>
    <col min="6" max="6" width="7.5703125" bestFit="1" customWidth="1"/>
    <col min="7" max="7" width="9.140625" bestFit="1" customWidth="1"/>
    <col min="8" max="8" width="7.7109375" bestFit="1" customWidth="1"/>
    <col min="9" max="9" width="8.42578125" bestFit="1" customWidth="1"/>
    <col min="10" max="10" width="9.85546875" bestFit="1" customWidth="1"/>
    <col min="11" max="11" width="9.85546875" customWidth="1"/>
    <col min="12" max="12" width="11.7109375" customWidth="1"/>
    <col min="13" max="13" width="12.85546875" customWidth="1"/>
    <col min="14" max="14" width="32.28515625" bestFit="1" customWidth="1"/>
    <col min="15" max="18" width="9.7109375" hidden="1" customWidth="1"/>
    <col min="19" max="23" width="9.7109375" customWidth="1"/>
    <col min="24" max="24" width="9.85546875" customWidth="1"/>
    <col min="25" max="25" width="10.7109375" bestFit="1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Alliant Energy</v>
      </c>
      <c r="O3" s="2"/>
      <c r="P3" s="2"/>
      <c r="Q3" s="2"/>
      <c r="R3" s="2"/>
      <c r="S3" s="2"/>
      <c r="T3" s="2"/>
      <c r="U3" s="2"/>
      <c r="V3" s="2"/>
      <c r="W3" s="2"/>
      <c r="X3" s="2"/>
      <c r="Y3" s="10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10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10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10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">
        <f>68.4+ 34.421</f>
        <v>102.821</v>
      </c>
      <c r="C11" s="6">
        <f>62.859+9.61</f>
        <v>72.468999999999994</v>
      </c>
      <c r="D11" s="11">
        <f>240.8+9.8</f>
        <v>250.60000000000002</v>
      </c>
      <c r="E11" s="11">
        <f>202.4+13.2</f>
        <v>215.6</v>
      </c>
      <c r="F11" s="11">
        <f>205.3+19.4</f>
        <v>224.70000000000002</v>
      </c>
      <c r="G11" s="11">
        <v>265.2</v>
      </c>
      <c r="H11" s="11">
        <f>745.6</f>
        <v>745.6</v>
      </c>
      <c r="I11" s="11">
        <v>346.9</v>
      </c>
      <c r="J11" s="11">
        <v>175.3</v>
      </c>
      <c r="K11" s="11">
        <v>159.30000000000001</v>
      </c>
      <c r="L11" s="7">
        <f>RATE(5,,-F11,K11)</f>
        <v>-6.648233469886769E-2</v>
      </c>
      <c r="M11" s="1"/>
      <c r="N11" s="1" t="str">
        <f>A11</f>
        <v>Cash &amp; Equivalents</v>
      </c>
      <c r="O11" s="7">
        <f t="shared" ref="O11:X15" si="2">B11/B$38</f>
        <v>1.6483205553128641E-2</v>
      </c>
      <c r="P11" s="7">
        <f t="shared" si="2"/>
        <v>9.2741516472052248E-3</v>
      </c>
      <c r="Q11" s="7">
        <f t="shared" si="2"/>
        <v>3.213850593138827E-2</v>
      </c>
      <c r="R11" s="7">
        <f t="shared" si="2"/>
        <v>2.6053750966744008E-2</v>
      </c>
      <c r="S11" s="7">
        <f t="shared" si="2"/>
        <v>2.9056911199906894E-2</v>
      </c>
      <c r="T11" s="7">
        <f t="shared" si="2"/>
        <v>3.7435948109145828E-2</v>
      </c>
      <c r="U11" s="7">
        <f t="shared" si="2"/>
        <v>0.10370390975979527</v>
      </c>
      <c r="V11" s="7">
        <f t="shared" si="2"/>
        <v>4.2297140766932875E-2</v>
      </c>
      <c r="W11" s="7">
        <f t="shared" si="2"/>
        <v>1.9400177069499779E-2</v>
      </c>
      <c r="X11" s="7">
        <f t="shared" si="2"/>
        <v>1.7160585592864298E-2</v>
      </c>
      <c r="Y11" s="7">
        <f>SUM(F11:K11)/SUM(F$38:K$38)</f>
        <v>3.9503537184224134E-2</v>
      </c>
      <c r="Z11" s="189"/>
    </row>
    <row r="12" spans="1:26">
      <c r="A12" s="1" t="s">
        <v>13</v>
      </c>
      <c r="B12" s="1">
        <f>43.411+71.388+72.912</f>
        <v>187.71100000000001</v>
      </c>
      <c r="C12" s="1">
        <f>69.413+50.624+60.107</f>
        <v>180.14400000000001</v>
      </c>
      <c r="D12" s="11">
        <f>58.9+83.4+93.8</f>
        <v>236.10000000000002</v>
      </c>
      <c r="E12" s="11">
        <f>128+138.1+59.4</f>
        <v>325.5</v>
      </c>
      <c r="F12" s="11">
        <f>171.8+143.7+70.5</f>
        <v>386</v>
      </c>
      <c r="G12" s="11">
        <f>127.4+120.5+101.9</f>
        <v>349.8</v>
      </c>
      <c r="H12" s="11">
        <f>154.7+151.6+40.6</f>
        <v>346.9</v>
      </c>
      <c r="I12" s="11">
        <f>233.9+186.2+138.6+67.7</f>
        <v>626.40000000000009</v>
      </c>
      <c r="J12" s="11">
        <f>246.9+169+86+169.7</f>
        <v>671.59999999999991</v>
      </c>
      <c r="K12" s="11">
        <f>120.5+82.3+213.1+39.3</f>
        <v>455.2</v>
      </c>
      <c r="L12" s="7">
        <f t="shared" ref="L12:L15" si="3">RATE(5,,-F12,K12)</f>
        <v>3.3529767843867832E-2</v>
      </c>
      <c r="M12" s="1"/>
      <c r="N12" s="1" t="str">
        <f>A12</f>
        <v>Accounts Receivable</v>
      </c>
      <c r="O12" s="7">
        <f t="shared" si="2"/>
        <v>3.0091897546058982E-2</v>
      </c>
      <c r="P12" s="7">
        <f t="shared" si="2"/>
        <v>2.3053757804497622E-2</v>
      </c>
      <c r="Q12" s="7">
        <f t="shared" si="2"/>
        <v>3.0278935556268038E-2</v>
      </c>
      <c r="R12" s="7">
        <f t="shared" si="2"/>
        <v>3.9334396751740143E-2</v>
      </c>
      <c r="S12" s="7">
        <f t="shared" si="2"/>
        <v>4.991529916850939E-2</v>
      </c>
      <c r="T12" s="7">
        <f t="shared" si="2"/>
        <v>4.9378184949393715E-2</v>
      </c>
      <c r="U12" s="7">
        <f t="shared" si="2"/>
        <v>4.8249579259218044E-2</v>
      </c>
      <c r="V12" s="7">
        <f t="shared" si="2"/>
        <v>7.6376272633054937E-2</v>
      </c>
      <c r="W12" s="7">
        <f t="shared" si="2"/>
        <v>7.4324922532093843E-2</v>
      </c>
      <c r="X12" s="7">
        <f t="shared" si="2"/>
        <v>4.9036400262848882E-2</v>
      </c>
      <c r="Y12" s="7">
        <f t="shared" ref="Y12:Y15" si="4">SUM(F12:K12)/SUM(F$38:K$38)</f>
        <v>5.843927026642734E-2</v>
      </c>
      <c r="Z12" s="189"/>
    </row>
    <row r="13" spans="1:26">
      <c r="A13" s="1" t="s">
        <v>14</v>
      </c>
      <c r="B13" s="6">
        <f>54.707+54.401+57.114</f>
        <v>166.22200000000001</v>
      </c>
      <c r="C13" s="6">
        <f>63.126+58.603+62.797</f>
        <v>184.52600000000001</v>
      </c>
      <c r="D13" s="11">
        <f>54.1+60.5+49.3</f>
        <v>163.89999999999998</v>
      </c>
      <c r="E13" s="11">
        <f>43.1+42.4+64.9</f>
        <v>150.4</v>
      </c>
      <c r="F13" s="11">
        <f>55.7+38+92.1</f>
        <v>185.8</v>
      </c>
      <c r="G13" s="11">
        <f>73.2+41.1+63.9</f>
        <v>178.20000000000002</v>
      </c>
      <c r="H13" s="11">
        <f>92.2+45.6+70.5</f>
        <v>208.3</v>
      </c>
      <c r="I13" s="11">
        <f>111.7+55.8+75</f>
        <v>242.5</v>
      </c>
      <c r="J13" s="11">
        <f>140.2+53.5+44.8</f>
        <v>238.5</v>
      </c>
      <c r="K13" s="11">
        <f>122.8+61.6+48.6</f>
        <v>233</v>
      </c>
      <c r="L13" s="7">
        <f t="shared" si="3"/>
        <v>4.631401426992119E-2</v>
      </c>
      <c r="M13" s="1"/>
      <c r="N13" s="1" t="str">
        <f>A13</f>
        <v>Material, Supplies, Fuel</v>
      </c>
      <c r="O13" s="7">
        <f t="shared" si="2"/>
        <v>2.6647002007879221E-2</v>
      </c>
      <c r="P13" s="7">
        <f t="shared" si="2"/>
        <v>2.3614540104764679E-2</v>
      </c>
      <c r="Q13" s="7">
        <f t="shared" si="2"/>
        <v>2.1019557550496951E-2</v>
      </c>
      <c r="R13" s="7">
        <f t="shared" si="2"/>
        <v>1.8174787316318643E-2</v>
      </c>
      <c r="S13" s="7">
        <f t="shared" si="2"/>
        <v>2.4026587009090793E-2</v>
      </c>
      <c r="T13" s="7">
        <f t="shared" si="2"/>
        <v>2.5154924408181702E-2</v>
      </c>
      <c r="U13" s="7">
        <f t="shared" si="2"/>
        <v>2.8972001613419198E-2</v>
      </c>
      <c r="V13" s="7">
        <f t="shared" si="2"/>
        <v>2.9567761994757056E-2</v>
      </c>
      <c r="W13" s="7">
        <f t="shared" si="2"/>
        <v>2.6394422310756973E-2</v>
      </c>
      <c r="X13" s="7">
        <f t="shared" si="2"/>
        <v>2.5099914897284251E-2</v>
      </c>
      <c r="Y13" s="7">
        <f t="shared" si="4"/>
        <v>2.6506729201913149E-2</v>
      </c>
      <c r="Z13" s="189"/>
    </row>
    <row r="14" spans="1:26">
      <c r="A14" s="1" t="s">
        <v>15</v>
      </c>
      <c r="B14" s="6">
        <f>25.401+19.632+540.187+66.882</f>
        <v>652.10200000000009</v>
      </c>
      <c r="C14" s="6">
        <f>46.076+969.291+105.487+97.469</f>
        <v>1218.3230000000001</v>
      </c>
      <c r="D14" s="11">
        <f>61.8+193.1+83</f>
        <v>337.9</v>
      </c>
      <c r="E14" s="11">
        <f>61.7+1301.8+87.8</f>
        <v>1451.3</v>
      </c>
      <c r="F14" s="11">
        <f>86.3+802.6+98</f>
        <v>986.9</v>
      </c>
      <c r="G14" s="11">
        <f>133.7+7.2+581.9+113.9</f>
        <v>836.69999999999993</v>
      </c>
      <c r="H14" s="11">
        <f>58.5+34.1+78.9</f>
        <v>171.5</v>
      </c>
      <c r="I14" s="11">
        <f>101.6+18.1+110.1</f>
        <v>229.79999999999998</v>
      </c>
      <c r="J14" s="11">
        <f>154.4+23.7+14.4+112.1</f>
        <v>304.60000000000002</v>
      </c>
      <c r="K14" s="11">
        <f>109+19.1+5.7+111.4</f>
        <v>245.2</v>
      </c>
      <c r="L14" s="7">
        <f t="shared" si="3"/>
        <v>-0.24308090162503745</v>
      </c>
      <c r="M14" s="1"/>
      <c r="N14" s="1" t="str">
        <f>A14</f>
        <v>Other Current Assets</v>
      </c>
      <c r="O14" s="7">
        <f t="shared" si="2"/>
        <v>0.1045382879723626</v>
      </c>
      <c r="P14" s="7">
        <f t="shared" si="2"/>
        <v>0.15591373217897325</v>
      </c>
      <c r="Q14" s="7">
        <f t="shared" si="2"/>
        <v>4.3334402051939724E-2</v>
      </c>
      <c r="R14" s="7">
        <f t="shared" si="2"/>
        <v>0.17537944702242847</v>
      </c>
      <c r="S14" s="7">
        <f t="shared" si="2"/>
        <v>0.12762022992073035</v>
      </c>
      <c r="T14" s="7">
        <f t="shared" si="2"/>
        <v>0.1181095693172033</v>
      </c>
      <c r="U14" s="7">
        <f t="shared" si="2"/>
        <v>2.3853568299094539E-2</v>
      </c>
      <c r="V14" s="7">
        <f t="shared" si="2"/>
        <v>2.8019264768639879E-2</v>
      </c>
      <c r="W14" s="7">
        <f t="shared" si="2"/>
        <v>3.3709606020362992E-2</v>
      </c>
      <c r="X14" s="7">
        <f t="shared" si="2"/>
        <v>2.6414159368300848E-2</v>
      </c>
      <c r="Y14" s="7">
        <f t="shared" si="4"/>
        <v>5.7178124478386383E-2</v>
      </c>
      <c r="Z14" s="189"/>
    </row>
    <row r="15" spans="1:26">
      <c r="A15" s="1" t="s">
        <v>16</v>
      </c>
      <c r="B15" s="1">
        <f>SUM(B10:B14)</f>
        <v>1108.8560000000002</v>
      </c>
      <c r="C15" s="1">
        <f>SUM(C11:C14)</f>
        <v>1655.462</v>
      </c>
      <c r="D15" s="11">
        <f t="shared" ref="D15:K15" si="5">SUM(D10:D14)</f>
        <v>988.5</v>
      </c>
      <c r="E15" s="11">
        <f t="shared" si="5"/>
        <v>2142.8000000000002</v>
      </c>
      <c r="F15" s="11">
        <f t="shared" si="5"/>
        <v>1783.4</v>
      </c>
      <c r="G15" s="11">
        <f t="shared" si="5"/>
        <v>1629.9</v>
      </c>
      <c r="H15" s="11">
        <f t="shared" si="5"/>
        <v>1472.3</v>
      </c>
      <c r="I15" s="11">
        <f t="shared" si="5"/>
        <v>1445.6000000000001</v>
      </c>
      <c r="J15" s="11">
        <f t="shared" si="5"/>
        <v>1390</v>
      </c>
      <c r="K15" s="11">
        <f t="shared" si="5"/>
        <v>1092.7</v>
      </c>
      <c r="L15" s="7">
        <f t="shared" si="3"/>
        <v>-9.332751529324794E-2</v>
      </c>
      <c r="M15" s="1"/>
      <c r="N15" s="1" t="str">
        <f>A15</f>
        <v>Total Current Assets</v>
      </c>
      <c r="O15" s="7">
        <f t="shared" si="2"/>
        <v>0.17776039307942945</v>
      </c>
      <c r="P15" s="7">
        <f t="shared" si="2"/>
        <v>0.21185618173544074</v>
      </c>
      <c r="Q15" s="7">
        <f t="shared" si="2"/>
        <v>0.12677140109009297</v>
      </c>
      <c r="R15" s="7">
        <f t="shared" si="2"/>
        <v>0.2589423820572313</v>
      </c>
      <c r="S15" s="7">
        <f t="shared" si="2"/>
        <v>0.23061902729823744</v>
      </c>
      <c r="T15" s="7">
        <f t="shared" si="2"/>
        <v>0.23007862678392457</v>
      </c>
      <c r="U15" s="7">
        <f t="shared" si="2"/>
        <v>0.20477905893152704</v>
      </c>
      <c r="V15" s="7">
        <f t="shared" si="2"/>
        <v>0.17626044016338477</v>
      </c>
      <c r="W15" s="7">
        <f t="shared" si="2"/>
        <v>0.15382912793271358</v>
      </c>
      <c r="X15" s="7">
        <f t="shared" si="2"/>
        <v>0.11771106012129828</v>
      </c>
      <c r="Y15" s="7">
        <f t="shared" si="4"/>
        <v>0.18162766113095105</v>
      </c>
      <c r="Z15" s="189"/>
    </row>
    <row r="16" spans="1:26">
      <c r="A16" s="1"/>
      <c r="B16" s="1"/>
      <c r="C16" s="1"/>
      <c r="D16" s="11"/>
      <c r="E16" s="11"/>
      <c r="F16" s="11"/>
      <c r="G16" s="11"/>
      <c r="H16" s="11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</row>
    <row r="17" spans="1:26">
      <c r="A17" s="1" t="s">
        <v>17</v>
      </c>
      <c r="B17" s="1"/>
      <c r="C17" s="1"/>
      <c r="D17" s="11"/>
      <c r="E17" s="11"/>
      <c r="F17" s="11"/>
      <c r="G17" s="11"/>
      <c r="H17" s="11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6">
      <c r="A18" s="1" t="s">
        <v>18</v>
      </c>
      <c r="B18" s="1">
        <f>5123.781</f>
        <v>5123.7809999999999</v>
      </c>
      <c r="C18" s="1">
        <f>5295.381</f>
        <v>5295.3810000000003</v>
      </c>
      <c r="D18" s="11">
        <f>5707.5</f>
        <v>5707.5</v>
      </c>
      <c r="E18" s="11">
        <f>5554.8</f>
        <v>5554.8</v>
      </c>
      <c r="F18" s="11">
        <v>5887.3</v>
      </c>
      <c r="G18" s="11">
        <v>5407</v>
      </c>
      <c r="H18" s="11">
        <f>5633.7</f>
        <v>5633.7</v>
      </c>
      <c r="I18" s="11">
        <v>6018.8</v>
      </c>
      <c r="J18" s="136">
        <v>7037.7</v>
      </c>
      <c r="K18" s="136">
        <v>7676.8</v>
      </c>
      <c r="L18" s="7">
        <f t="shared" ref="L18:L22" si="6">RATE(5,,-F18,K18)</f>
        <v>5.4515121741822659E-2</v>
      </c>
      <c r="M18" s="1"/>
      <c r="N18" s="1" t="str">
        <f>A18</f>
        <v xml:space="preserve">  Domestic Electric Plant in Service</v>
      </c>
      <c r="O18" s="7">
        <f t="shared" ref="O18:X22" si="7">B18/B$38</f>
        <v>0.82139188912979866</v>
      </c>
      <c r="P18" s="7">
        <f t="shared" si="7"/>
        <v>0.67767136877463818</v>
      </c>
      <c r="Q18" s="7">
        <f t="shared" si="7"/>
        <v>0.73196537351715296</v>
      </c>
      <c r="R18" s="7">
        <f t="shared" si="7"/>
        <v>0.67125870069605575</v>
      </c>
      <c r="S18" s="7">
        <f t="shared" si="7"/>
        <v>0.7613117637170087</v>
      </c>
      <c r="T18" s="7">
        <f t="shared" si="7"/>
        <v>0.7632585649553224</v>
      </c>
      <c r="U18" s="7">
        <f t="shared" si="7"/>
        <v>0.78357928703562041</v>
      </c>
      <c r="V18" s="7">
        <f t="shared" si="7"/>
        <v>0.733865756264098</v>
      </c>
      <c r="W18" s="7">
        <f t="shared" si="7"/>
        <v>0.77885126162018592</v>
      </c>
      <c r="X18" s="7">
        <f t="shared" si="7"/>
        <v>0.82698294713936371</v>
      </c>
      <c r="Y18" s="7">
        <f t="shared" ref="Y18:Y22" si="8">SUM(F18:K18)/SUM(F$38:K$38)</f>
        <v>0.77608480175076711</v>
      </c>
      <c r="Z18" s="189"/>
    </row>
    <row r="19" spans="1:26">
      <c r="A19" s="1" t="s">
        <v>19</v>
      </c>
      <c r="B19" s="1">
        <f>111.069</f>
        <v>111.069</v>
      </c>
      <c r="C19" s="1">
        <f>10.651+252.445</f>
        <v>263.096</v>
      </c>
      <c r="D19" s="11">
        <f>68.6+304.3+151.8</f>
        <v>524.70000000000005</v>
      </c>
      <c r="E19" s="11">
        <f>156.2</f>
        <v>156.19999999999999</v>
      </c>
      <c r="F19" s="11">
        <v>134.30000000000001</v>
      </c>
      <c r="G19" s="11">
        <v>138.30000000000001</v>
      </c>
      <c r="H19" s="11">
        <v>0</v>
      </c>
      <c r="I19" s="11">
        <v>189.4</v>
      </c>
      <c r="J19" s="136">
        <f>67.3+101.5</f>
        <v>168.8</v>
      </c>
      <c r="K19" s="136">
        <v>126</v>
      </c>
      <c r="L19" s="7">
        <f t="shared" si="6"/>
        <v>-1.2677790388130567E-2</v>
      </c>
      <c r="M19" s="1"/>
      <c r="N19" s="1" t="str">
        <f>A19</f>
        <v xml:space="preserve">  Electric Construction Work in Progress</v>
      </c>
      <c r="O19" s="7">
        <f t="shared" si="7"/>
        <v>1.7805440110293082E-2</v>
      </c>
      <c r="P19" s="7">
        <f t="shared" si="7"/>
        <v>3.366946144935222E-2</v>
      </c>
      <c r="Q19" s="7">
        <f t="shared" si="7"/>
        <v>6.7290798332798982E-2</v>
      </c>
      <c r="R19" s="7"/>
      <c r="S19" s="7">
        <f t="shared" si="7"/>
        <v>1.7366903311737854E-2</v>
      </c>
      <c r="T19" s="7">
        <f t="shared" si="7"/>
        <v>1.9522592848774015E-2</v>
      </c>
      <c r="U19" s="7">
        <f t="shared" si="7"/>
        <v>0</v>
      </c>
      <c r="V19" s="7">
        <f t="shared" si="7"/>
        <v>2.3093336584771078E-2</v>
      </c>
      <c r="W19" s="7">
        <f t="shared" si="7"/>
        <v>1.8680832226648961E-2</v>
      </c>
      <c r="X19" s="7">
        <f t="shared" si="7"/>
        <v>1.3573344536728822E-2</v>
      </c>
      <c r="Y19" s="7">
        <f t="shared" si="8"/>
        <v>1.5595345300480346E-2</v>
      </c>
      <c r="Z19" s="189"/>
    </row>
    <row r="20" spans="1:26">
      <c r="A20" s="9" t="s">
        <v>20</v>
      </c>
      <c r="B20" s="1">
        <f>(62194+597494+517938)/1000</f>
        <v>1177.626</v>
      </c>
      <c r="C20" s="1">
        <f>68.34+613.122  +530.456</f>
        <v>1211.9180000000001</v>
      </c>
      <c r="D20" s="11">
        <f>646.4+530.8</f>
        <v>1177.1999999999998</v>
      </c>
      <c r="E20" s="11">
        <f>649.2+526.5+4.5</f>
        <v>1180.2</v>
      </c>
      <c r="F20" s="11">
        <f>679.9+508.5+3.2</f>
        <v>1191.6000000000001</v>
      </c>
      <c r="G20" s="11">
        <f>696.7+459.1+4.3</f>
        <v>1160.1000000000001</v>
      </c>
      <c r="H20" s="11">
        <f>726.3+466.8+4.6+195.4</f>
        <v>1393.1</v>
      </c>
      <c r="I20" s="11">
        <f>761.6+481+294.2+22.4</f>
        <v>1559.2</v>
      </c>
      <c r="J20" s="136">
        <f>798.1+522</f>
        <v>1320.1</v>
      </c>
      <c r="K20" s="136">
        <f>830.1+499.2</f>
        <v>1329.3</v>
      </c>
      <c r="L20" s="7">
        <f t="shared" si="6"/>
        <v>2.2112035154061814E-2</v>
      </c>
      <c r="M20" s="1"/>
      <c r="N20" s="1" t="str">
        <f>A20</f>
        <v>Other Regulated PP &amp; E</v>
      </c>
      <c r="O20" s="7">
        <f t="shared" si="7"/>
        <v>0.18878489241214022</v>
      </c>
      <c r="P20" s="7">
        <f t="shared" si="7"/>
        <v>0.15509405836947748</v>
      </c>
      <c r="Q20" s="7">
        <f t="shared" si="7"/>
        <v>0.15097146521320934</v>
      </c>
      <c r="R20" s="7">
        <f>E20/E$38</f>
        <v>0.14261890951276104</v>
      </c>
      <c r="S20" s="7">
        <f t="shared" si="7"/>
        <v>0.15409085618962642</v>
      </c>
      <c r="T20" s="7">
        <f t="shared" si="7"/>
        <v>0.16376109879871828</v>
      </c>
      <c r="U20" s="7">
        <f t="shared" si="7"/>
        <v>0.19376330027678484</v>
      </c>
      <c r="V20" s="7">
        <f t="shared" si="7"/>
        <v>0.19011156495762971</v>
      </c>
      <c r="W20" s="7">
        <f t="shared" si="7"/>
        <v>0.14609340416113323</v>
      </c>
      <c r="X20" s="7">
        <f t="shared" si="7"/>
        <v>0.14319878486248908</v>
      </c>
      <c r="Y20" s="7">
        <f t="shared" si="8"/>
        <v>0.16389537435629017</v>
      </c>
      <c r="Z20" s="189"/>
    </row>
    <row r="21" spans="1:26">
      <c r="A21" s="1" t="s">
        <v>21</v>
      </c>
      <c r="B21" s="1">
        <f>404.569</f>
        <v>404.56900000000002</v>
      </c>
      <c r="C21" s="1">
        <f xml:space="preserve"> 531.446</f>
        <v>531.44600000000003</v>
      </c>
      <c r="D21" s="11">
        <f>577.1</f>
        <v>577.1</v>
      </c>
      <c r="E21" s="11">
        <f>393.2</f>
        <v>393.2</v>
      </c>
      <c r="F21" s="11">
        <v>394.7</v>
      </c>
      <c r="G21" s="11">
        <v>363.4</v>
      </c>
      <c r="H21" s="11">
        <f>345.6</f>
        <v>345.6</v>
      </c>
      <c r="I21" s="11">
        <v>352.3</v>
      </c>
      <c r="J21" s="136">
        <v>302.5</v>
      </c>
      <c r="K21" s="136">
        <f>154.5+155.5</f>
        <v>310</v>
      </c>
      <c r="L21" s="7">
        <f t="shared" si="6"/>
        <v>-4.71623408805186E-2</v>
      </c>
      <c r="M21" s="1"/>
      <c r="N21" s="1" t="str">
        <f>A21</f>
        <v>Other PP&amp;E</v>
      </c>
      <c r="O21" s="7">
        <f t="shared" si="7"/>
        <v>6.4856342453620389E-2</v>
      </c>
      <c r="P21" s="7">
        <f t="shared" si="7"/>
        <v>6.8011298573191686E-2</v>
      </c>
      <c r="Q21" s="7">
        <f t="shared" si="7"/>
        <v>7.4010900929785184E-2</v>
      </c>
      <c r="R21" s="7">
        <f>E21/E$38</f>
        <v>4.7515467904099003E-2</v>
      </c>
      <c r="S21" s="7">
        <f t="shared" si="7"/>
        <v>5.1040333113499113E-2</v>
      </c>
      <c r="T21" s="7">
        <f t="shared" si="7"/>
        <v>5.1297977160119135E-2</v>
      </c>
      <c r="U21" s="7">
        <f t="shared" si="7"/>
        <v>4.8068765038875062E-2</v>
      </c>
      <c r="V21" s="7">
        <f t="shared" si="7"/>
        <v>4.2955556910321283E-2</v>
      </c>
      <c r="W21" s="7">
        <f t="shared" si="7"/>
        <v>3.34772023019035E-2</v>
      </c>
      <c r="X21" s="7">
        <f t="shared" si="7"/>
        <v>3.3394736558618528E-2</v>
      </c>
      <c r="Y21" s="7">
        <f t="shared" si="8"/>
        <v>4.2625491218345135E-2</v>
      </c>
      <c r="Z21" s="189"/>
    </row>
    <row r="22" spans="1:26">
      <c r="A22" s="1" t="s">
        <v>22</v>
      </c>
      <c r="B22" s="1">
        <f t="shared" ref="B22:K22" si="9">SUM(B18:B21)</f>
        <v>6817.045000000001</v>
      </c>
      <c r="C22" s="1">
        <f>SUM(C18:C21)</f>
        <v>7301.8410000000003</v>
      </c>
      <c r="D22" s="11">
        <f>SUM(D18:D21)</f>
        <v>7986.5</v>
      </c>
      <c r="E22" s="11">
        <f>SUM(E18:E21)</f>
        <v>7284.4</v>
      </c>
      <c r="F22" s="11">
        <f t="shared" si="9"/>
        <v>7607.9000000000005</v>
      </c>
      <c r="G22" s="11">
        <f t="shared" si="9"/>
        <v>7068.8</v>
      </c>
      <c r="H22" s="11">
        <f t="shared" ref="H22" si="10">SUM(H18:H21)</f>
        <v>7372.4</v>
      </c>
      <c r="I22" s="11">
        <f t="shared" si="9"/>
        <v>8119.7</v>
      </c>
      <c r="J22" s="11">
        <f t="shared" si="9"/>
        <v>8829.1</v>
      </c>
      <c r="K22" s="11">
        <f t="shared" si="9"/>
        <v>9442.1</v>
      </c>
      <c r="L22" s="7">
        <f t="shared" si="6"/>
        <v>4.4144872284615569E-2</v>
      </c>
      <c r="M22" s="1"/>
      <c r="N22" s="1" t="s">
        <v>23</v>
      </c>
      <c r="O22" s="7">
        <f t="shared" si="7"/>
        <v>1.0928385641058525</v>
      </c>
      <c r="P22" s="7">
        <f t="shared" si="7"/>
        <v>0.9344461871666595</v>
      </c>
      <c r="Q22" s="7">
        <f t="shared" si="7"/>
        <v>1.0242385379929464</v>
      </c>
      <c r="R22" s="7">
        <f>E22/E$38</f>
        <v>0.88026875483372014</v>
      </c>
      <c r="S22" s="7">
        <f t="shared" si="7"/>
        <v>0.98380985633187212</v>
      </c>
      <c r="T22" s="7">
        <f t="shared" si="7"/>
        <v>0.99784023376293385</v>
      </c>
      <c r="U22" s="7">
        <f t="shared" si="7"/>
        <v>1.0254113523512802</v>
      </c>
      <c r="V22" s="7">
        <f t="shared" si="7"/>
        <v>0.99002621471682006</v>
      </c>
      <c r="W22" s="7">
        <f t="shared" si="7"/>
        <v>0.97710270030987167</v>
      </c>
      <c r="X22" s="7">
        <f t="shared" si="7"/>
        <v>1.0171498130972001</v>
      </c>
      <c r="Y22" s="7">
        <f t="shared" si="8"/>
        <v>0.99820101262588268</v>
      </c>
      <c r="Z22" s="189"/>
    </row>
    <row r="23" spans="1:26">
      <c r="A23" s="1"/>
      <c r="B23" s="1"/>
      <c r="C23" s="1"/>
      <c r="D23" s="11"/>
      <c r="E23" s="11"/>
      <c r="F23" s="11"/>
      <c r="G23" s="11"/>
      <c r="H23" s="11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">
        <f>3374.867</f>
        <v>3374.8670000000002</v>
      </c>
      <c r="C24" s="1">
        <f>2791.891</f>
        <v>2791.8910000000001</v>
      </c>
      <c r="D24" s="11">
        <f>2982.9</f>
        <v>2982.9</v>
      </c>
      <c r="E24" s="11">
        <f>2619.1</f>
        <v>2619.1</v>
      </c>
      <c r="F24" s="11">
        <v>2741.7</v>
      </c>
      <c r="G24" s="11">
        <v>2580</v>
      </c>
      <c r="H24" s="11">
        <f>2692.5</f>
        <v>2692.5</v>
      </c>
      <c r="I24" s="11">
        <v>2766.2</v>
      </c>
      <c r="J24" s="11">
        <v>2909.5</v>
      </c>
      <c r="K24" s="11">
        <v>2982.2</v>
      </c>
      <c r="L24" s="7">
        <f>RATE(5,,-F24,K24)</f>
        <v>1.6958818817865411E-2</v>
      </c>
      <c r="M24" s="2"/>
      <c r="N24" s="1" t="str">
        <f>A24</f>
        <v>Accumulated Depreciation &amp; Amort.</v>
      </c>
      <c r="O24" s="7">
        <f t="shared" ref="O24:X24" si="11">B24/B$38</f>
        <v>0.54102397832612603</v>
      </c>
      <c r="P24" s="7">
        <f t="shared" si="11"/>
        <v>0.35728960681763849</v>
      </c>
      <c r="Q24" s="7">
        <f t="shared" si="11"/>
        <v>0.38254568772042324</v>
      </c>
      <c r="R24" s="7">
        <f t="shared" si="11"/>
        <v>0.31649990332559941</v>
      </c>
      <c r="S24" s="7">
        <f t="shared" si="11"/>
        <v>0.35454086976762228</v>
      </c>
      <c r="T24" s="7">
        <f t="shared" si="11"/>
        <v>0.36419587526997077</v>
      </c>
      <c r="U24" s="7">
        <f t="shared" si="11"/>
        <v>0.37449406790269413</v>
      </c>
      <c r="V24" s="7">
        <f t="shared" si="11"/>
        <v>0.33727976589648234</v>
      </c>
      <c r="W24" s="7">
        <f t="shared" si="11"/>
        <v>0.32198981850376274</v>
      </c>
      <c r="X24" s="7">
        <f t="shared" si="11"/>
        <v>0.32125736569391022</v>
      </c>
      <c r="Y24" s="7">
        <f t="shared" ref="Y24" si="12">SUM(F24:K24)/SUM(F$38:K$38)</f>
        <v>0.34356125315028857</v>
      </c>
      <c r="Z24" s="189"/>
    </row>
    <row r="25" spans="1:26">
      <c r="A25" s="1"/>
      <c r="B25" s="1"/>
      <c r="C25" s="1"/>
      <c r="D25" s="11"/>
      <c r="E25" s="11"/>
      <c r="F25" s="11"/>
      <c r="G25" s="11"/>
      <c r="H25" s="11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">
        <f t="shared" ref="B26:I26" si="13">B22-B24</f>
        <v>3442.1780000000008</v>
      </c>
      <c r="C26" s="1">
        <f t="shared" si="13"/>
        <v>4509.9500000000007</v>
      </c>
      <c r="D26" s="11">
        <f t="shared" si="13"/>
        <v>5003.6000000000004</v>
      </c>
      <c r="E26" s="11">
        <f t="shared" si="13"/>
        <v>4665.2999999999993</v>
      </c>
      <c r="F26" s="11">
        <f t="shared" si="13"/>
        <v>4866.2000000000007</v>
      </c>
      <c r="G26" s="137">
        <f t="shared" si="13"/>
        <v>4488.8</v>
      </c>
      <c r="H26" s="137">
        <f t="shared" si="13"/>
        <v>4679.8999999999996</v>
      </c>
      <c r="I26" s="137">
        <f t="shared" si="13"/>
        <v>5353.5</v>
      </c>
      <c r="J26" s="137">
        <f>+J22-J24</f>
        <v>5919.6</v>
      </c>
      <c r="K26" s="137">
        <f>+K22-K24</f>
        <v>6459.9000000000005</v>
      </c>
      <c r="L26" s="7">
        <f>RATE(5,,-F26,K26)</f>
        <v>5.8296032900755544E-2</v>
      </c>
      <c r="M26" s="1"/>
      <c r="N26" s="1" t="s">
        <v>23</v>
      </c>
      <c r="O26" s="7">
        <f t="shared" ref="O26:X26" si="14">B26/B$38</f>
        <v>0.55181458577972642</v>
      </c>
      <c r="P26" s="7">
        <f t="shared" si="14"/>
        <v>0.57715658034902106</v>
      </c>
      <c r="Q26" s="7">
        <f t="shared" si="14"/>
        <v>0.64169285027252332</v>
      </c>
      <c r="R26" s="7">
        <f t="shared" si="14"/>
        <v>0.56376885150812062</v>
      </c>
      <c r="S26" s="7">
        <f t="shared" si="14"/>
        <v>0.6292689865642499</v>
      </c>
      <c r="T26" s="7">
        <f t="shared" si="14"/>
        <v>0.63364435849296308</v>
      </c>
      <c r="U26" s="7">
        <f t="shared" si="14"/>
        <v>0.6509172844485861</v>
      </c>
      <c r="V26" s="7">
        <f t="shared" si="14"/>
        <v>0.65274644882033772</v>
      </c>
      <c r="W26" s="7">
        <f t="shared" si="14"/>
        <v>0.65511288180610894</v>
      </c>
      <c r="X26" s="7">
        <f t="shared" si="14"/>
        <v>0.69589244740328982</v>
      </c>
      <c r="Y26" s="7">
        <f t="shared" ref="Y26" si="15">SUM(F26:K26)/SUM(F$38:K$38)</f>
        <v>0.65463975947559416</v>
      </c>
      <c r="Z26" s="189"/>
    </row>
    <row r="27" spans="1:26">
      <c r="A27" s="1"/>
      <c r="B27" s="1"/>
      <c r="C27" s="1"/>
      <c r="D27" s="11"/>
      <c r="E27" s="11"/>
      <c r="F27" s="11"/>
      <c r="G27" s="11"/>
      <c r="H27" s="11"/>
      <c r="I27" s="11"/>
      <c r="J27" s="11"/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"/>
      <c r="C28" s="1"/>
      <c r="D28" s="11"/>
      <c r="E28" s="11"/>
      <c r="F28" s="11"/>
      <c r="G28" s="11"/>
      <c r="H28" s="11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">
        <f xml:space="preserve"> 241.973</f>
        <v>241.97300000000001</v>
      </c>
      <c r="C29" s="1">
        <f>302.365</f>
        <v>302.36500000000001</v>
      </c>
      <c r="D29" s="11">
        <f>361.3</f>
        <v>361.3</v>
      </c>
      <c r="E29" s="11">
        <f>392.9</f>
        <v>392.9</v>
      </c>
      <c r="F29" s="11">
        <f>349.2</f>
        <v>349.2</v>
      </c>
      <c r="G29" s="11">
        <f>508.7</f>
        <v>508.7</v>
      </c>
      <c r="H29" s="11">
        <f>491.7</f>
        <v>491.7</v>
      </c>
      <c r="I29" s="11">
        <v>933.1</v>
      </c>
      <c r="J29" s="11">
        <v>999.3</v>
      </c>
      <c r="K29" s="11">
        <v>1032.7</v>
      </c>
      <c r="L29" s="7">
        <f>RATE(5,,-F29,K29)</f>
        <v>0.24216700288480864</v>
      </c>
      <c r="M29" s="1"/>
      <c r="N29" s="19" t="s">
        <v>27</v>
      </c>
      <c r="O29" s="7">
        <f t="shared" ref="O29:X36" si="16">B29/B$38</f>
        <v>3.8790623484572191E-2</v>
      </c>
      <c r="P29" s="7">
        <f t="shared" si="16"/>
        <v>3.8694874536797916E-2</v>
      </c>
      <c r="Q29" s="7">
        <f t="shared" si="16"/>
        <v>4.6335363898685478E-2</v>
      </c>
      <c r="R29" s="7">
        <f t="shared" si="16"/>
        <v>4.7479215003866981E-2</v>
      </c>
      <c r="S29" s="7">
        <f t="shared" si="16"/>
        <v>4.5156534895449428E-2</v>
      </c>
      <c r="T29" s="7">
        <f t="shared" si="16"/>
        <v>7.1808698352648886E-2</v>
      </c>
      <c r="U29" s="7">
        <f t="shared" si="16"/>
        <v>6.8389501648191159E-2</v>
      </c>
      <c r="V29" s="7">
        <f t="shared" si="16"/>
        <v>0.11377187099920746</v>
      </c>
      <c r="W29" s="7">
        <f t="shared" si="16"/>
        <v>0.11059096945551128</v>
      </c>
      <c r="X29" s="7">
        <f t="shared" si="16"/>
        <v>0.11124756272285599</v>
      </c>
      <c r="Y29" s="7">
        <f t="shared" ref="Y29:Y36" si="17">SUM(F29:K29)/SUM(F$38:K$38)</f>
        <v>8.8912838752619655E-2</v>
      </c>
      <c r="Z29" s="189"/>
    </row>
    <row r="30" spans="1:26">
      <c r="A30" s="1" t="s">
        <v>28</v>
      </c>
      <c r="B30" s="1"/>
      <c r="C30" s="1"/>
      <c r="D30" s="11"/>
      <c r="E30" s="11"/>
      <c r="F30" s="11"/>
      <c r="G30" s="11"/>
      <c r="H30" s="11"/>
      <c r="I30" s="11"/>
      <c r="J30" s="11"/>
      <c r="K30" s="11"/>
      <c r="L30" s="7"/>
      <c r="M30" s="1"/>
      <c r="N30" s="19" t="s">
        <v>28</v>
      </c>
      <c r="O30" s="7">
        <f t="shared" si="16"/>
        <v>0</v>
      </c>
      <c r="P30" s="7">
        <f t="shared" si="16"/>
        <v>0</v>
      </c>
      <c r="Q30" s="7">
        <f t="shared" si="16"/>
        <v>0</v>
      </c>
      <c r="R30" s="7">
        <f t="shared" si="16"/>
        <v>0</v>
      </c>
      <c r="S30" s="7">
        <f t="shared" si="16"/>
        <v>0</v>
      </c>
      <c r="T30" s="7">
        <f t="shared" si="16"/>
        <v>0</v>
      </c>
      <c r="U30" s="7">
        <f t="shared" si="16"/>
        <v>0</v>
      </c>
      <c r="V30" s="7">
        <f t="shared" si="16"/>
        <v>0</v>
      </c>
      <c r="W30" s="7">
        <f t="shared" si="16"/>
        <v>0</v>
      </c>
      <c r="X30" s="7">
        <f t="shared" si="16"/>
        <v>0</v>
      </c>
      <c r="Y30" s="7">
        <f t="shared" si="17"/>
        <v>0</v>
      </c>
      <c r="Z30" s="189"/>
    </row>
    <row r="31" spans="1:26">
      <c r="A31" s="1" t="s">
        <v>29</v>
      </c>
      <c r="B31" s="1"/>
      <c r="C31" s="1"/>
      <c r="D31" s="11"/>
      <c r="E31" s="11"/>
      <c r="F31" s="11"/>
      <c r="G31" s="11"/>
      <c r="H31" s="11"/>
      <c r="I31" s="11"/>
      <c r="J31" s="11"/>
      <c r="K31" s="11"/>
      <c r="L31" s="7"/>
      <c r="M31" s="1"/>
      <c r="N31" s="19" t="s">
        <v>29</v>
      </c>
      <c r="O31" s="7">
        <f t="shared" si="16"/>
        <v>0</v>
      </c>
      <c r="P31" s="7">
        <f t="shared" si="16"/>
        <v>0</v>
      </c>
      <c r="Q31" s="7">
        <f t="shared" si="16"/>
        <v>0</v>
      </c>
      <c r="R31" s="7">
        <f t="shared" si="16"/>
        <v>0</v>
      </c>
      <c r="S31" s="7">
        <f t="shared" si="16"/>
        <v>0</v>
      </c>
      <c r="T31" s="7">
        <f t="shared" si="16"/>
        <v>0</v>
      </c>
      <c r="U31" s="7">
        <f t="shared" si="16"/>
        <v>0</v>
      </c>
      <c r="V31" s="7">
        <f t="shared" si="16"/>
        <v>0</v>
      </c>
      <c r="W31" s="7">
        <f t="shared" si="16"/>
        <v>0</v>
      </c>
      <c r="X31" s="7">
        <f t="shared" si="16"/>
        <v>0</v>
      </c>
      <c r="Y31" s="7">
        <f t="shared" si="17"/>
        <v>0</v>
      </c>
      <c r="Z31" s="189"/>
    </row>
    <row r="32" spans="1:26">
      <c r="A32" s="1" t="s">
        <v>30</v>
      </c>
      <c r="B32" s="1">
        <f>1084.902</f>
        <v>1084.902</v>
      </c>
      <c r="C32" s="1">
        <f>936.7</f>
        <v>936.7</v>
      </c>
      <c r="D32" s="11">
        <f>1121.8</f>
        <v>1121.8</v>
      </c>
      <c r="E32" s="11">
        <f>765.9</f>
        <v>765.9</v>
      </c>
      <c r="F32" s="11">
        <f>430.1</f>
        <v>430.1</v>
      </c>
      <c r="G32" s="11">
        <f>227.9</f>
        <v>227.9</v>
      </c>
      <c r="H32" s="11">
        <f>237.9</f>
        <v>237.9</v>
      </c>
      <c r="I32" s="11">
        <v>256</v>
      </c>
      <c r="J32" s="11">
        <v>281.5</v>
      </c>
      <c r="K32" s="11">
        <v>289.2</v>
      </c>
      <c r="L32" s="7">
        <f t="shared" ref="L32:L35" si="18">RATE(5,,-F32,K32)</f>
        <v>-7.6311005374200561E-2</v>
      </c>
      <c r="M32" s="1"/>
      <c r="N32" s="19" t="s">
        <v>129</v>
      </c>
      <c r="O32" s="7">
        <f t="shared" si="16"/>
        <v>0.17392033408545307</v>
      </c>
      <c r="P32" s="7">
        <f t="shared" si="16"/>
        <v>0.119873295449601</v>
      </c>
      <c r="Q32" s="7">
        <f t="shared" si="16"/>
        <v>0.1438666239179224</v>
      </c>
      <c r="R32" s="7">
        <f t="shared" si="16"/>
        <v>9.2553654292343399E-2</v>
      </c>
      <c r="S32" s="7">
        <f t="shared" si="16"/>
        <v>5.561805744138832E-2</v>
      </c>
      <c r="T32" s="7">
        <f t="shared" si="16"/>
        <v>3.2170635648847416E-2</v>
      </c>
      <c r="U32" s="7">
        <f t="shared" si="16"/>
        <v>3.3089002322767291E-2</v>
      </c>
      <c r="V32" s="7">
        <f t="shared" si="16"/>
        <v>3.1213802353228067E-2</v>
      </c>
      <c r="W32" s="7">
        <f t="shared" si="16"/>
        <v>3.1153165117308545E-2</v>
      </c>
      <c r="X32" s="7">
        <f t="shared" si="16"/>
        <v>3.1154057460491866E-2</v>
      </c>
      <c r="Y32" s="7">
        <f t="shared" si="17"/>
        <v>3.5497544681035213E-2</v>
      </c>
      <c r="Z32" s="189"/>
    </row>
    <row r="33" spans="1:26">
      <c r="A33" s="1" t="s">
        <v>31</v>
      </c>
      <c r="B33" s="1">
        <f>360.016</f>
        <v>360.01600000000002</v>
      </c>
      <c r="C33" s="1">
        <f>409.607</f>
        <v>409.60700000000003</v>
      </c>
      <c r="D33" s="11">
        <f>322.3</f>
        <v>322.3</v>
      </c>
      <c r="E33" s="11">
        <f>308.3</f>
        <v>308.3</v>
      </c>
      <c r="F33" s="11">
        <f>304.2</f>
        <v>304.2</v>
      </c>
      <c r="G33" s="11">
        <f>228.8</f>
        <v>228.8</v>
      </c>
      <c r="H33" s="11">
        <f>307.9</f>
        <v>307.89999999999998</v>
      </c>
      <c r="I33" s="11">
        <v>213.3</v>
      </c>
      <c r="J33" s="11">
        <f>273.3+172.3</f>
        <v>445.6</v>
      </c>
      <c r="K33" s="11">
        <f>270.7+137.7</f>
        <v>408.4</v>
      </c>
      <c r="L33" s="7">
        <f t="shared" si="18"/>
        <v>6.0682258629611796E-2</v>
      </c>
      <c r="M33" s="1"/>
      <c r="N33" s="19" t="s">
        <v>31</v>
      </c>
      <c r="O33" s="7">
        <f t="shared" si="16"/>
        <v>5.7714063570818812E-2</v>
      </c>
      <c r="P33" s="7">
        <f t="shared" si="16"/>
        <v>5.2419067929139231E-2</v>
      </c>
      <c r="Q33" s="7">
        <f t="shared" si="16"/>
        <v>4.1333760820775889E-2</v>
      </c>
      <c r="R33" s="7">
        <f t="shared" si="16"/>
        <v>3.725589713843775E-2</v>
      </c>
      <c r="S33" s="7">
        <f t="shared" si="16"/>
        <v>3.9337393800675018E-2</v>
      </c>
      <c r="T33" s="7">
        <f t="shared" si="16"/>
        <v>3.2297680721616012E-2</v>
      </c>
      <c r="U33" s="7">
        <f t="shared" si="16"/>
        <v>4.2825152648928326E-2</v>
      </c>
      <c r="V33" s="7">
        <f t="shared" si="16"/>
        <v>2.6007437663841983E-2</v>
      </c>
      <c r="W33" s="7">
        <f t="shared" si="16"/>
        <v>4.931385568835768E-2</v>
      </c>
      <c r="X33" s="7">
        <f t="shared" si="16"/>
        <v>4.3994872292063891E-2</v>
      </c>
      <c r="Y33" s="7">
        <f t="shared" si="17"/>
        <v>3.9322195959799952E-2</v>
      </c>
      <c r="Z33" s="189"/>
    </row>
    <row r="34" spans="1:26">
      <c r="A34" s="1" t="s">
        <v>32</v>
      </c>
      <c r="B34" s="1">
        <f t="shared" ref="B34:I34" si="19">SUM(B29:B33)</f>
        <v>1686.8910000000001</v>
      </c>
      <c r="C34" s="1">
        <f t="shared" si="19"/>
        <v>1648.672</v>
      </c>
      <c r="D34" s="11">
        <f t="shared" si="19"/>
        <v>1805.3999999999999</v>
      </c>
      <c r="E34" s="11">
        <f t="shared" si="19"/>
        <v>1467.1</v>
      </c>
      <c r="F34" s="11">
        <f t="shared" si="19"/>
        <v>1083.5</v>
      </c>
      <c r="G34" s="11">
        <f t="shared" si="19"/>
        <v>965.40000000000009</v>
      </c>
      <c r="H34" s="11">
        <f t="shared" si="19"/>
        <v>1037.5</v>
      </c>
      <c r="I34" s="11">
        <f t="shared" si="19"/>
        <v>1402.3999999999999</v>
      </c>
      <c r="J34" s="11">
        <f t="shared" ref="J34:K34" si="20">SUM(J29:J33)</f>
        <v>1726.4</v>
      </c>
      <c r="K34" s="11">
        <f t="shared" si="20"/>
        <v>1730.3000000000002</v>
      </c>
      <c r="L34" s="7">
        <f t="shared" si="18"/>
        <v>9.814199078135151E-2</v>
      </c>
      <c r="M34" s="1"/>
      <c r="N34" s="19" t="s">
        <v>32</v>
      </c>
      <c r="O34" s="7">
        <f t="shared" si="16"/>
        <v>0.2704250211408441</v>
      </c>
      <c r="P34" s="7">
        <f t="shared" si="16"/>
        <v>0.21098723791553814</v>
      </c>
      <c r="Q34" s="7">
        <f t="shared" si="16"/>
        <v>0.23153574863738377</v>
      </c>
      <c r="R34" s="7">
        <f t="shared" si="16"/>
        <v>0.17728876643464811</v>
      </c>
      <c r="S34" s="7">
        <f t="shared" si="16"/>
        <v>0.14011198613751277</v>
      </c>
      <c r="T34" s="7">
        <f t="shared" si="16"/>
        <v>0.13627701472311232</v>
      </c>
      <c r="U34" s="7">
        <f t="shared" si="16"/>
        <v>0.14430365661988678</v>
      </c>
      <c r="V34" s="7">
        <f t="shared" si="16"/>
        <v>0.17099311101627748</v>
      </c>
      <c r="W34" s="7">
        <f t="shared" si="16"/>
        <v>0.19105799026117753</v>
      </c>
      <c r="X34" s="7">
        <f t="shared" si="16"/>
        <v>0.18639649247541176</v>
      </c>
      <c r="Y34" s="7">
        <f t="shared" si="17"/>
        <v>0.16373257939345481</v>
      </c>
      <c r="Z34" s="189"/>
    </row>
    <row r="35" spans="1:26">
      <c r="A35" s="1" t="s">
        <v>33</v>
      </c>
      <c r="B35" s="1">
        <f t="shared" ref="B35:I35" si="21">B26+B34</f>
        <v>5129.0690000000013</v>
      </c>
      <c r="C35" s="1">
        <f t="shared" si="21"/>
        <v>6158.6220000000012</v>
      </c>
      <c r="D35" s="11">
        <f t="shared" si="21"/>
        <v>6809</v>
      </c>
      <c r="E35" s="11">
        <f t="shared" si="21"/>
        <v>6132.4</v>
      </c>
      <c r="F35" s="11">
        <f t="shared" si="21"/>
        <v>5949.7000000000007</v>
      </c>
      <c r="G35" s="11">
        <f t="shared" si="21"/>
        <v>5454.2000000000007</v>
      </c>
      <c r="H35" s="11">
        <f t="shared" si="21"/>
        <v>5717.4</v>
      </c>
      <c r="I35" s="11">
        <f t="shared" si="21"/>
        <v>6755.9</v>
      </c>
      <c r="J35" s="11">
        <f t="shared" ref="J35:K35" si="22">J26+J34</f>
        <v>7646</v>
      </c>
      <c r="K35" s="11">
        <f t="shared" si="22"/>
        <v>8190.2000000000007</v>
      </c>
      <c r="L35" s="7">
        <f t="shared" si="18"/>
        <v>6.6006585929233474E-2</v>
      </c>
      <c r="M35" s="1"/>
      <c r="N35" s="19" t="s">
        <v>33</v>
      </c>
      <c r="O35" s="7">
        <f t="shared" si="16"/>
        <v>0.82223960692057063</v>
      </c>
      <c r="P35" s="7">
        <f t="shared" si="16"/>
        <v>0.78814381826455926</v>
      </c>
      <c r="Q35" s="7">
        <f t="shared" si="16"/>
        <v>0.87322859890990701</v>
      </c>
      <c r="R35" s="7">
        <f t="shared" si="16"/>
        <v>0.74105761794276881</v>
      </c>
      <c r="S35" s="7">
        <f t="shared" si="16"/>
        <v>0.76938097270176264</v>
      </c>
      <c r="T35" s="7">
        <f t="shared" si="16"/>
        <v>0.76992137321607546</v>
      </c>
      <c r="U35" s="7">
        <f t="shared" si="16"/>
        <v>0.79522094106847296</v>
      </c>
      <c r="V35" s="7">
        <f t="shared" si="16"/>
        <v>0.82373955983661518</v>
      </c>
      <c r="W35" s="7">
        <f t="shared" si="16"/>
        <v>0.84617087206728636</v>
      </c>
      <c r="X35" s="7">
        <f t="shared" si="16"/>
        <v>0.88228893987870161</v>
      </c>
      <c r="Y35" s="7">
        <f t="shared" si="17"/>
        <v>0.81837233886904914</v>
      </c>
      <c r="Z35" s="189"/>
    </row>
    <row r="36" spans="1:26">
      <c r="A36" s="1" t="s">
        <v>34</v>
      </c>
      <c r="B36" s="1"/>
      <c r="C36" s="1"/>
      <c r="D36" s="11"/>
      <c r="E36" s="11"/>
      <c r="F36" s="11"/>
      <c r="G36" s="11"/>
      <c r="H36" s="11"/>
      <c r="I36" s="11"/>
      <c r="J36" s="11"/>
      <c r="K36" s="11"/>
      <c r="L36" s="7"/>
      <c r="M36" s="1"/>
      <c r="N36" s="1" t="str">
        <f t="shared" ref="N36" si="23">A36</f>
        <v xml:space="preserve"> Electric Assets</v>
      </c>
      <c r="O36" s="7">
        <f>B36/B$38</f>
        <v>0</v>
      </c>
      <c r="P36" s="7">
        <f t="shared" si="16"/>
        <v>0</v>
      </c>
      <c r="Q36" s="7">
        <f t="shared" si="16"/>
        <v>0</v>
      </c>
      <c r="R36" s="7">
        <f t="shared" si="16"/>
        <v>0</v>
      </c>
      <c r="S36" s="7">
        <f t="shared" si="16"/>
        <v>0</v>
      </c>
      <c r="T36" s="7">
        <f t="shared" si="16"/>
        <v>0</v>
      </c>
      <c r="U36" s="7">
        <f t="shared" si="16"/>
        <v>0</v>
      </c>
      <c r="V36" s="7">
        <f t="shared" si="16"/>
        <v>0</v>
      </c>
      <c r="W36" s="7">
        <f t="shared" si="16"/>
        <v>0</v>
      </c>
      <c r="X36" s="7">
        <f t="shared" si="16"/>
        <v>0</v>
      </c>
      <c r="Y36" s="7">
        <f t="shared" si="17"/>
        <v>0</v>
      </c>
      <c r="Z36" s="189"/>
    </row>
    <row r="37" spans="1:26">
      <c r="A37" s="1" t="s">
        <v>35</v>
      </c>
      <c r="B37" s="1"/>
      <c r="C37" s="1"/>
      <c r="D37" s="11"/>
      <c r="E37" s="11"/>
      <c r="F37" s="11"/>
      <c r="G37" s="11"/>
      <c r="H37" s="11"/>
      <c r="I37" s="11"/>
      <c r="J37" s="11"/>
      <c r="K37" s="11"/>
      <c r="L37" s="7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89"/>
    </row>
    <row r="38" spans="1:26">
      <c r="A38" s="1" t="s">
        <v>36</v>
      </c>
      <c r="B38" s="1">
        <f t="shared" ref="B38:I38" si="24">B15+B26+B34</f>
        <v>6237.9250000000011</v>
      </c>
      <c r="C38" s="1">
        <f t="shared" si="24"/>
        <v>7814.0840000000007</v>
      </c>
      <c r="D38" s="11">
        <f>D15+D26+D34</f>
        <v>7797.5</v>
      </c>
      <c r="E38" s="11">
        <f t="shared" si="24"/>
        <v>8275.1999999999989</v>
      </c>
      <c r="F38" s="11">
        <f t="shared" si="24"/>
        <v>7733.1</v>
      </c>
      <c r="G38" s="11">
        <f t="shared" si="24"/>
        <v>7084.1</v>
      </c>
      <c r="H38" s="11">
        <f t="shared" si="24"/>
        <v>7189.7</v>
      </c>
      <c r="I38" s="11">
        <f t="shared" si="24"/>
        <v>8201.5</v>
      </c>
      <c r="J38" s="11">
        <f t="shared" ref="J38:K38" si="25">J15+J26+J34</f>
        <v>9036</v>
      </c>
      <c r="K38" s="11">
        <f t="shared" si="25"/>
        <v>9282.9000000000015</v>
      </c>
      <c r="L38" s="7">
        <f>RATE(5,,-F38,K38)</f>
        <v>3.7208361407947928E-2</v>
      </c>
      <c r="M38" s="1"/>
      <c r="N38" s="1" t="s">
        <v>36</v>
      </c>
      <c r="O38" s="7">
        <f t="shared" ref="O38:X38" si="26">B38/B$38</f>
        <v>1</v>
      </c>
      <c r="P38" s="7">
        <f t="shared" si="26"/>
        <v>1</v>
      </c>
      <c r="Q38" s="7">
        <f t="shared" si="26"/>
        <v>1</v>
      </c>
      <c r="R38" s="7">
        <f t="shared" si="26"/>
        <v>1</v>
      </c>
      <c r="S38" s="7">
        <f t="shared" si="26"/>
        <v>1</v>
      </c>
      <c r="T38" s="7">
        <f t="shared" si="26"/>
        <v>1</v>
      </c>
      <c r="U38" s="7">
        <f t="shared" si="26"/>
        <v>1</v>
      </c>
      <c r="V38" s="7">
        <f t="shared" si="26"/>
        <v>1</v>
      </c>
      <c r="W38" s="7">
        <f t="shared" si="26"/>
        <v>1</v>
      </c>
      <c r="X38" s="7">
        <f t="shared" si="26"/>
        <v>1</v>
      </c>
      <c r="Y38" s="7">
        <f t="shared" ref="Y38" si="27">SUM(F38:K38)/SUM(F$38:K$38)</f>
        <v>1</v>
      </c>
      <c r="Z38" s="189"/>
    </row>
    <row r="39" spans="1:26">
      <c r="A39" s="1"/>
      <c r="B39" s="1"/>
      <c r="C39" s="1"/>
      <c r="D39" s="11"/>
      <c r="E39" s="11"/>
      <c r="F39" s="11"/>
      <c r="G39" s="11"/>
      <c r="H39" s="11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</row>
    <row r="40" spans="1:26">
      <c r="A40" s="1"/>
      <c r="B40" s="1"/>
      <c r="C40" s="1"/>
      <c r="D40" s="11"/>
      <c r="E40" s="11"/>
      <c r="F40" s="11"/>
      <c r="G40" s="11"/>
      <c r="H40" s="11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</row>
    <row r="41" spans="1:26">
      <c r="A41" s="1" t="s">
        <v>37</v>
      </c>
      <c r="B41" s="1"/>
      <c r="C41" s="1"/>
      <c r="D41" s="11"/>
      <c r="E41" s="11"/>
      <c r="F41" s="11"/>
      <c r="G41" s="11"/>
      <c r="H41" s="11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6">
      <c r="A42" s="1" t="s">
        <v>38</v>
      </c>
      <c r="B42" s="1">
        <f>10.506</f>
        <v>10.506</v>
      </c>
      <c r="C42" s="1">
        <f>46.591</f>
        <v>46.591000000000001</v>
      </c>
      <c r="D42" s="11">
        <f>69.3</f>
        <v>69.3</v>
      </c>
      <c r="E42" s="11">
        <f>96.5</f>
        <v>96.5</v>
      </c>
      <c r="F42" s="11">
        <f>151.7</f>
        <v>151.69999999999999</v>
      </c>
      <c r="G42" s="11">
        <v>194.6</v>
      </c>
      <c r="H42" s="11">
        <f>140.1</f>
        <v>140.1</v>
      </c>
      <c r="I42" s="11">
        <v>136.4</v>
      </c>
      <c r="J42" s="11">
        <v>101.5</v>
      </c>
      <c r="K42" s="11">
        <v>1.3</v>
      </c>
      <c r="L42" s="7">
        <f t="shared" ref="L42:L44" si="28">RATE(5,,-F42,K42)</f>
        <v>-0.61399622290801115</v>
      </c>
      <c r="M42" s="1"/>
      <c r="N42" s="1" t="str">
        <f t="shared" ref="N42:N47" si="29">A42</f>
        <v>Current Maturities LTD</v>
      </c>
      <c r="O42" s="7">
        <f t="shared" ref="O42:X48" si="30">B42/B$38</f>
        <v>1.6842139012572287E-3</v>
      </c>
      <c r="P42" s="7">
        <f t="shared" si="30"/>
        <v>5.9624391035468776E-3</v>
      </c>
      <c r="Q42" s="7">
        <f t="shared" si="30"/>
        <v>8.8874639307470332E-3</v>
      </c>
      <c r="R42" s="7">
        <f t="shared" si="30"/>
        <v>1.1661349574632638E-2</v>
      </c>
      <c r="S42" s="7">
        <f t="shared" si="30"/>
        <v>1.9616971201717289E-2</v>
      </c>
      <c r="T42" s="7">
        <f t="shared" si="30"/>
        <v>2.7469967956409422E-2</v>
      </c>
      <c r="U42" s="7">
        <f t="shared" si="30"/>
        <v>1.9486209438502301E-2</v>
      </c>
      <c r="V42" s="7">
        <f t="shared" si="30"/>
        <v>1.6631104066329332E-2</v>
      </c>
      <c r="W42" s="7">
        <f t="shared" si="30"/>
        <v>1.1232846392208942E-2</v>
      </c>
      <c r="X42" s="7">
        <f t="shared" si="30"/>
        <v>1.4004244363291643E-4</v>
      </c>
      <c r="Y42" s="7">
        <f t="shared" ref="Y42:Y48" si="31">SUM(F42:K42)/SUM(F$38:K$38)</f>
        <v>1.4952408232067308E-2</v>
      </c>
      <c r="Z42" s="189"/>
    </row>
    <row r="43" spans="1:26">
      <c r="A43" s="1" t="s">
        <v>39</v>
      </c>
      <c r="B43" s="1">
        <f>(55100+68389+84318)/1000</f>
        <v>207.80699999999999</v>
      </c>
      <c r="C43" s="1">
        <f>55.1+195.5+113.721</f>
        <v>364.32100000000003</v>
      </c>
      <c r="D43" s="11">
        <f>55.1+107.5+21.5</f>
        <v>184.1</v>
      </c>
      <c r="E43" s="11">
        <f>39.1+83</f>
        <v>122.1</v>
      </c>
      <c r="F43" s="11">
        <f>39.1+263</f>
        <v>302.10000000000002</v>
      </c>
      <c r="G43" s="11">
        <v>178.8</v>
      </c>
      <c r="H43" s="11">
        <f>81.8+29.5</f>
        <v>111.3</v>
      </c>
      <c r="I43" s="11">
        <v>86.1</v>
      </c>
      <c r="J43" s="11">
        <v>190</v>
      </c>
      <c r="K43" s="11">
        <v>47.4</v>
      </c>
      <c r="L43" s="7">
        <f t="shared" si="28"/>
        <v>-0.30956066867332765</v>
      </c>
      <c r="M43" s="1"/>
      <c r="N43" s="1" t="str">
        <f t="shared" si="29"/>
        <v>Notes Payable and Commercial Paper</v>
      </c>
      <c r="O43" s="7">
        <f t="shared" si="30"/>
        <v>3.3313481646541111E-2</v>
      </c>
      <c r="P43" s="7">
        <f t="shared" si="30"/>
        <v>4.662363496476362E-2</v>
      </c>
      <c r="Q43" s="7">
        <f t="shared" si="30"/>
        <v>2.3610131452388584E-2</v>
      </c>
      <c r="R43" s="7">
        <f t="shared" si="30"/>
        <v>1.4754930394431556E-2</v>
      </c>
      <c r="S43" s="7">
        <f t="shared" si="30"/>
        <v>3.9065833882918885E-2</v>
      </c>
      <c r="T43" s="7">
        <f t="shared" si="30"/>
        <v>2.5239621123360766E-2</v>
      </c>
      <c r="U43" s="7">
        <f t="shared" si="30"/>
        <v>1.5480479018596047E-2</v>
      </c>
      <c r="V43" s="7">
        <f t="shared" si="30"/>
        <v>1.0498079619581784E-2</v>
      </c>
      <c r="W43" s="7">
        <f t="shared" si="30"/>
        <v>2.1027003098716246E-2</v>
      </c>
      <c r="X43" s="7">
        <f t="shared" si="30"/>
        <v>5.1061629447694138E-3</v>
      </c>
      <c r="Y43" s="7">
        <f t="shared" si="31"/>
        <v>1.8869790818776235E-2</v>
      </c>
      <c r="Z43" s="189"/>
    </row>
    <row r="44" spans="1:26">
      <c r="A44" s="1" t="s">
        <v>40</v>
      </c>
      <c r="B44" s="1">
        <f>221.823</f>
        <v>221.82300000000001</v>
      </c>
      <c r="C44" s="1">
        <f>282.855</f>
        <v>282.85500000000002</v>
      </c>
      <c r="D44" s="11">
        <f>296.2</f>
        <v>296.2</v>
      </c>
      <c r="E44" s="11">
        <f>264.2</f>
        <v>264.2</v>
      </c>
      <c r="F44" s="11">
        <f>355.3</f>
        <v>355.3</v>
      </c>
      <c r="G44" s="11">
        <v>294.10000000000002</v>
      </c>
      <c r="H44" s="11">
        <f>346.7</f>
        <v>346.7</v>
      </c>
      <c r="I44" s="11">
        <v>425.1</v>
      </c>
      <c r="J44" s="11">
        <v>331.9</v>
      </c>
      <c r="K44" s="11">
        <v>336.3</v>
      </c>
      <c r="L44" s="7">
        <f t="shared" si="28"/>
        <v>-1.0931588006242686E-2</v>
      </c>
      <c r="M44" s="1"/>
      <c r="N44" s="1" t="str">
        <f t="shared" si="29"/>
        <v>Accounts Payable</v>
      </c>
      <c r="O44" s="7">
        <f t="shared" si="30"/>
        <v>3.5560382659297757E-2</v>
      </c>
      <c r="P44" s="7">
        <f t="shared" si="30"/>
        <v>3.6198100762674164E-2</v>
      </c>
      <c r="Q44" s="7">
        <f t="shared" si="30"/>
        <v>3.798653414555947E-2</v>
      </c>
      <c r="R44" s="7">
        <f t="shared" si="30"/>
        <v>3.1926720804331017E-2</v>
      </c>
      <c r="S44" s="7">
        <f t="shared" si="30"/>
        <v>4.5945351799407737E-2</v>
      </c>
      <c r="T44" s="7">
        <f t="shared" si="30"/>
        <v>4.1515506556937365E-2</v>
      </c>
      <c r="U44" s="7">
        <f t="shared" si="30"/>
        <v>4.8221761686857587E-2</v>
      </c>
      <c r="V44" s="7">
        <f t="shared" si="30"/>
        <v>5.1831981954520517E-2</v>
      </c>
      <c r="W44" s="7">
        <f t="shared" si="30"/>
        <v>3.6730854360336428E-2</v>
      </c>
      <c r="X44" s="7">
        <f t="shared" si="30"/>
        <v>3.6227902918269071E-2</v>
      </c>
      <c r="Y44" s="7">
        <f t="shared" si="31"/>
        <v>4.3056176626352596E-2</v>
      </c>
      <c r="Z44" s="189"/>
    </row>
    <row r="45" spans="1:26">
      <c r="A45" s="1" t="s">
        <v>41</v>
      </c>
      <c r="B45" s="1"/>
      <c r="C45" s="1"/>
      <c r="D45" s="11"/>
      <c r="E45" s="11"/>
      <c r="F45" s="11"/>
      <c r="G45" s="11"/>
      <c r="H45" s="11"/>
      <c r="I45" s="11"/>
      <c r="J45" s="11"/>
      <c r="K45" s="11"/>
      <c r="L45" s="7"/>
      <c r="M45" s="1"/>
      <c r="N45" s="1" t="str">
        <f t="shared" si="29"/>
        <v>Payable to Affiliates</v>
      </c>
      <c r="O45" s="7">
        <f t="shared" si="30"/>
        <v>0</v>
      </c>
      <c r="P45" s="7">
        <f t="shared" si="30"/>
        <v>0</v>
      </c>
      <c r="Q45" s="7">
        <f t="shared" si="30"/>
        <v>0</v>
      </c>
      <c r="R45" s="7">
        <f t="shared" si="30"/>
        <v>0</v>
      </c>
      <c r="S45" s="7">
        <f t="shared" si="30"/>
        <v>0</v>
      </c>
      <c r="T45" s="7">
        <f t="shared" si="30"/>
        <v>0</v>
      </c>
      <c r="U45" s="7">
        <f t="shared" si="30"/>
        <v>0</v>
      </c>
      <c r="V45" s="7">
        <f t="shared" si="30"/>
        <v>0</v>
      </c>
      <c r="W45" s="7">
        <f t="shared" si="30"/>
        <v>0</v>
      </c>
      <c r="X45" s="7">
        <f t="shared" si="30"/>
        <v>0</v>
      </c>
      <c r="Y45" s="7">
        <f t="shared" si="31"/>
        <v>0</v>
      </c>
      <c r="Z45" s="189"/>
    </row>
    <row r="46" spans="1:26">
      <c r="A46" s="1" t="s">
        <v>42</v>
      </c>
      <c r="B46" s="1">
        <f>87.099</f>
        <v>87.099000000000004</v>
      </c>
      <c r="C46" s="1">
        <f>34.819+105.521</f>
        <v>140.34</v>
      </c>
      <c r="D46" s="11">
        <f>44+68.8</f>
        <v>112.8</v>
      </c>
      <c r="E46" s="11">
        <f>101.3+45.4</f>
        <v>146.69999999999999</v>
      </c>
      <c r="F46" s="11">
        <f>115.1+47.4</f>
        <v>162.5</v>
      </c>
      <c r="G46" s="11">
        <v>94.2</v>
      </c>
      <c r="H46" s="11">
        <v>74.7</v>
      </c>
      <c r="I46" s="11">
        <v>52.5</v>
      </c>
      <c r="J46" s="11">
        <v>77.7</v>
      </c>
      <c r="K46" s="11">
        <v>45.3</v>
      </c>
      <c r="L46" s="7">
        <f t="shared" ref="L46:L48" si="32">RATE(5,,-F46,K46)</f>
        <v>-0.2254508755712665</v>
      </c>
      <c r="M46" s="1"/>
      <c r="N46" s="1" t="str">
        <f t="shared" si="29"/>
        <v>Other Payables and Accrued Expenses</v>
      </c>
      <c r="O46" s="7">
        <f t="shared" si="30"/>
        <v>1.3962816160822707E-2</v>
      </c>
      <c r="P46" s="7">
        <f t="shared" si="30"/>
        <v>1.7959878598694357E-2</v>
      </c>
      <c r="Q46" s="7">
        <f t="shared" si="30"/>
        <v>1.4466175056107726E-2</v>
      </c>
      <c r="R46" s="7">
        <f t="shared" si="30"/>
        <v>1.7727668213457077E-2</v>
      </c>
      <c r="S46" s="7">
        <f t="shared" si="30"/>
        <v>2.1013565064463152E-2</v>
      </c>
      <c r="T46" s="7">
        <f t="shared" si="30"/>
        <v>1.3297384283112886E-2</v>
      </c>
      <c r="U46" s="7">
        <f t="shared" si="30"/>
        <v>1.0389863276631849E-2</v>
      </c>
      <c r="V46" s="7">
        <f t="shared" si="30"/>
        <v>6.4012680607206003E-3</v>
      </c>
      <c r="W46" s="7">
        <f t="shared" si="30"/>
        <v>8.5989375830013287E-3</v>
      </c>
      <c r="X46" s="7">
        <f t="shared" si="30"/>
        <v>4.8799405358239331E-3</v>
      </c>
      <c r="Y46" s="7">
        <f t="shared" si="31"/>
        <v>1.0445666665979767E-2</v>
      </c>
      <c r="Z46" s="189"/>
    </row>
    <row r="47" spans="1:26">
      <c r="A47" s="1" t="s">
        <v>43</v>
      </c>
      <c r="B47" s="1">
        <f>(60913+174224)/1000</f>
        <v>235.137</v>
      </c>
      <c r="C47" s="1">
        <f>138.251+149.952</f>
        <v>288.20299999999997</v>
      </c>
      <c r="D47" s="11">
        <f>48.3+147.7</f>
        <v>196</v>
      </c>
      <c r="E47" s="11">
        <f>551.3+138.2+27.6</f>
        <v>717.1</v>
      </c>
      <c r="F47" s="11">
        <f>96.2+24.2+328.2+160.1</f>
        <v>608.70000000000005</v>
      </c>
      <c r="G47" s="11">
        <f>67.8+88+59.2+170.7</f>
        <v>385.7</v>
      </c>
      <c r="H47" s="11">
        <f>153.4+24.3+86.5</f>
        <v>264.20000000000005</v>
      </c>
      <c r="I47" s="11">
        <f>157.6+78.6+101.9</f>
        <v>338.1</v>
      </c>
      <c r="J47" s="11">
        <v>375.5</v>
      </c>
      <c r="K47" s="11">
        <v>436.4</v>
      </c>
      <c r="L47" s="7">
        <f t="shared" si="32"/>
        <v>-6.4386912765974774E-2</v>
      </c>
      <c r="M47" s="1"/>
      <c r="N47" s="1" t="str">
        <f t="shared" si="29"/>
        <v xml:space="preserve">Other </v>
      </c>
      <c r="O47" s="7">
        <f t="shared" si="30"/>
        <v>3.7694746249754517E-2</v>
      </c>
      <c r="P47" s="7">
        <f t="shared" si="30"/>
        <v>3.6882505998143855E-2</v>
      </c>
      <c r="Q47" s="7">
        <f t="shared" si="30"/>
        <v>2.5136261622314846E-2</v>
      </c>
      <c r="R47" s="7">
        <f t="shared" si="30"/>
        <v>8.6656515854601712E-2</v>
      </c>
      <c r="S47" s="7">
        <f t="shared" si="30"/>
        <v>7.87135818753152E-2</v>
      </c>
      <c r="T47" s="7">
        <f t="shared" si="30"/>
        <v>5.4445871740940975E-2</v>
      </c>
      <c r="U47" s="7">
        <f t="shared" si="30"/>
        <v>3.6747013088167801E-2</v>
      </c>
      <c r="V47" s="7">
        <f t="shared" si="30"/>
        <v>4.1224166311040665E-2</v>
      </c>
      <c r="W47" s="7">
        <f t="shared" si="30"/>
        <v>4.1555998229305002E-2</v>
      </c>
      <c r="X47" s="7">
        <f t="shared" si="30"/>
        <v>4.7011171078003629E-2</v>
      </c>
      <c r="Y47" s="7">
        <f t="shared" si="31"/>
        <v>4.9633917403193673E-2</v>
      </c>
      <c r="Z47" s="189"/>
    </row>
    <row r="48" spans="1:26">
      <c r="A48" s="1" t="s">
        <v>44</v>
      </c>
      <c r="B48" s="1">
        <f t="shared" ref="B48:K48" si="33">SUM(B41:B47)</f>
        <v>762.37200000000007</v>
      </c>
      <c r="C48" s="1">
        <f t="shared" si="33"/>
        <v>1122.31</v>
      </c>
      <c r="D48" s="11">
        <f t="shared" si="33"/>
        <v>858.39999999999986</v>
      </c>
      <c r="E48" s="11">
        <f>SUM(E42:E47)</f>
        <v>1346.6</v>
      </c>
      <c r="F48" s="11">
        <f t="shared" si="33"/>
        <v>1580.3000000000002</v>
      </c>
      <c r="G48" s="11">
        <f t="shared" si="33"/>
        <v>1147.4000000000001</v>
      </c>
      <c r="H48" s="11">
        <f t="shared" si="33"/>
        <v>937</v>
      </c>
      <c r="I48" s="11">
        <f t="shared" si="33"/>
        <v>1038.2</v>
      </c>
      <c r="J48" s="11">
        <f t="shared" si="33"/>
        <v>1076.5999999999999</v>
      </c>
      <c r="K48" s="11">
        <f t="shared" si="33"/>
        <v>866.7</v>
      </c>
      <c r="L48" s="7">
        <f t="shared" si="32"/>
        <v>-0.11319965930464905</v>
      </c>
      <c r="M48" s="1"/>
      <c r="N48" s="1" t="s">
        <v>44</v>
      </c>
      <c r="O48" s="7">
        <f t="shared" si="30"/>
        <v>0.12221564061767333</v>
      </c>
      <c r="P48" s="7">
        <f t="shared" si="30"/>
        <v>0.14362655942782288</v>
      </c>
      <c r="Q48" s="7">
        <f t="shared" si="30"/>
        <v>0.11008656620711765</v>
      </c>
      <c r="R48" s="7">
        <f t="shared" si="30"/>
        <v>0.16272718484145399</v>
      </c>
      <c r="S48" s="7">
        <f t="shared" si="30"/>
        <v>0.20435530382382228</v>
      </c>
      <c r="T48" s="7">
        <f t="shared" si="30"/>
        <v>0.16196835166076143</v>
      </c>
      <c r="U48" s="7">
        <f t="shared" si="30"/>
        <v>0.13032532650875558</v>
      </c>
      <c r="V48" s="7">
        <f t="shared" si="30"/>
        <v>0.12658660001219291</v>
      </c>
      <c r="W48" s="7">
        <f t="shared" si="30"/>
        <v>0.11914563966356793</v>
      </c>
      <c r="X48" s="7">
        <f t="shared" si="30"/>
        <v>9.3365219920498968E-2</v>
      </c>
      <c r="Y48" s="7">
        <f t="shared" si="31"/>
        <v>0.13695795974636957</v>
      </c>
      <c r="Z48" s="189"/>
    </row>
    <row r="49" spans="1:26">
      <c r="A49" s="1"/>
      <c r="B49" s="1"/>
      <c r="C49" s="1"/>
      <c r="D49" s="11"/>
      <c r="E49" s="11"/>
      <c r="F49" s="11"/>
      <c r="G49" s="11"/>
      <c r="H49" s="11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">
        <f>2457.941</f>
        <v>2457.9409999999998</v>
      </c>
      <c r="C50" s="1">
        <f>2609.803</f>
        <v>2609.8029999999999</v>
      </c>
      <c r="D50" s="11">
        <f>2123.3</f>
        <v>2123.3000000000002</v>
      </c>
      <c r="E50" s="11">
        <f>2289.4</f>
        <v>2289.4</v>
      </c>
      <c r="F50" s="11">
        <f>1914.8</f>
        <v>1914.8</v>
      </c>
      <c r="G50" s="11">
        <f>1323.3</f>
        <v>1323.3</v>
      </c>
      <c r="H50" s="11">
        <f>1404.5</f>
        <v>1404.5</v>
      </c>
      <c r="I50" s="11">
        <v>1748.3</v>
      </c>
      <c r="J50" s="11">
        <v>2404.5</v>
      </c>
      <c r="K50" s="11">
        <v>2703.4</v>
      </c>
      <c r="L50" s="7">
        <f t="shared" ref="L50:L53" si="34">RATE(5,,-F50,K50)</f>
        <v>7.1414150974890386E-2</v>
      </c>
      <c r="M50" s="1"/>
      <c r="N50" s="1" t="str">
        <f>A50</f>
        <v>Long-Term Debt</v>
      </c>
      <c r="O50" s="7">
        <f t="shared" ref="O50:X53" si="35">B50/B$38</f>
        <v>0.39403182949458343</v>
      </c>
      <c r="P50" s="7">
        <f t="shared" si="35"/>
        <v>0.33398706745409951</v>
      </c>
      <c r="Q50" s="7">
        <f t="shared" si="35"/>
        <v>0.27230522603398527</v>
      </c>
      <c r="R50" s="7">
        <f t="shared" si="35"/>
        <v>0.27665796597061104</v>
      </c>
      <c r="S50" s="7">
        <f t="shared" si="35"/>
        <v>0.24761091929497872</v>
      </c>
      <c r="T50" s="7">
        <f t="shared" si="35"/>
        <v>0.18679860532742337</v>
      </c>
      <c r="U50" s="7">
        <f t="shared" si="35"/>
        <v>0.19534890190133108</v>
      </c>
      <c r="V50" s="7">
        <f t="shared" si="35"/>
        <v>0.21316832286776807</v>
      </c>
      <c r="W50" s="7">
        <f t="shared" si="35"/>
        <v>0.26610225763612216</v>
      </c>
      <c r="X50" s="7">
        <f t="shared" si="35"/>
        <v>0.29122364778248172</v>
      </c>
      <c r="Y50" s="7">
        <f t="shared" ref="Y50:Y53" si="36">SUM(F50:K50)/SUM(F$38:K$38)</f>
        <v>0.23695528084191786</v>
      </c>
      <c r="Z50" s="189"/>
    </row>
    <row r="51" spans="1:26">
      <c r="A51" s="1" t="s">
        <v>46</v>
      </c>
      <c r="B51" s="1">
        <f>607.552</f>
        <v>607.55200000000002</v>
      </c>
      <c r="C51" s="1">
        <f>661.798</f>
        <v>661.798</v>
      </c>
      <c r="D51" s="11">
        <f>702</f>
        <v>702</v>
      </c>
      <c r="E51" s="11">
        <f>775.5</f>
        <v>775.5</v>
      </c>
      <c r="F51" s="11">
        <f>529.3</f>
        <v>529.29999999999995</v>
      </c>
      <c r="G51" s="11">
        <f>758.3</f>
        <v>758.3</v>
      </c>
      <c r="H51" s="11">
        <f>822.9</f>
        <v>822.9</v>
      </c>
      <c r="I51" s="11">
        <v>971.2</v>
      </c>
      <c r="J51" s="11">
        <v>1184.3</v>
      </c>
      <c r="K51" s="11">
        <v>1434.3</v>
      </c>
      <c r="L51" s="7">
        <f t="shared" si="34"/>
        <v>0.2206400655818837</v>
      </c>
      <c r="M51" s="1"/>
      <c r="N51" s="1" t="str">
        <f>A51</f>
        <v>Deferred Income Taxes</v>
      </c>
      <c r="O51" s="7">
        <f t="shared" si="35"/>
        <v>9.7396490018716142E-2</v>
      </c>
      <c r="P51" s="7">
        <f t="shared" si="35"/>
        <v>8.4692972330474042E-2</v>
      </c>
      <c r="Q51" s="7">
        <f t="shared" si="35"/>
        <v>9.0028855402372557E-2</v>
      </c>
      <c r="R51" s="7">
        <f t="shared" si="35"/>
        <v>9.3713747099767999E-2</v>
      </c>
      <c r="S51" s="7">
        <f t="shared" si="35"/>
        <v>6.8446030699202118E-2</v>
      </c>
      <c r="T51" s="7">
        <f t="shared" si="35"/>
        <v>0.10704253186713908</v>
      </c>
      <c r="U51" s="7">
        <f t="shared" si="35"/>
        <v>0.1144554014771131</v>
      </c>
      <c r="V51" s="7">
        <f t="shared" si="35"/>
        <v>0.11841736267755899</v>
      </c>
      <c r="W51" s="7">
        <f t="shared" si="35"/>
        <v>0.13106463036741919</v>
      </c>
      <c r="X51" s="7">
        <f t="shared" si="35"/>
        <v>0.15450990530976308</v>
      </c>
      <c r="Y51" s="7">
        <f t="shared" si="36"/>
        <v>0.11746583881650123</v>
      </c>
      <c r="Z51" s="189"/>
    </row>
    <row r="52" spans="1:26">
      <c r="A52" s="1" t="s">
        <v>47</v>
      </c>
      <c r="B52" s="1">
        <f>(59398+96496+45144+133617+43111)/1000</f>
        <v>377.76600000000002</v>
      </c>
      <c r="C52" s="1">
        <f>54.375+94.3+181.01+781.516+224.294+43.425</f>
        <v>1378.92</v>
      </c>
      <c r="D52" s="11">
        <f>209.1+188.3+345.7+654.2+49.1+52.3</f>
        <v>1498.6999999999998</v>
      </c>
      <c r="E52" s="11">
        <f>44+610.3+185.8+213.6+4.8</f>
        <v>1058.4999999999998</v>
      </c>
      <c r="F52" s="11">
        <f>548.2+256.7+215+4.5</f>
        <v>1024.4000000000001</v>
      </c>
      <c r="G52" s="11">
        <f>563.9+198.6+192.6+4.9</f>
        <v>960</v>
      </c>
      <c r="H52" s="11">
        <f>1919.3-H51+3.9</f>
        <v>1100.3000000000002</v>
      </c>
      <c r="I52" s="11">
        <f>2345.6-I51+2.1</f>
        <v>1376.4999999999998</v>
      </c>
      <c r="J52" s="11">
        <f>2536.4-1184.3</f>
        <v>1352.1000000000001</v>
      </c>
      <c r="K52" s="11">
        <f>2573.4-1434.3</f>
        <v>1139.1000000000001</v>
      </c>
      <c r="L52" s="7">
        <f t="shared" si="34"/>
        <v>2.1453160238357728E-2</v>
      </c>
      <c r="M52" s="1"/>
      <c r="N52" s="1" t="str">
        <f>A52</f>
        <v>Other Deferred Credits</v>
      </c>
      <c r="O52" s="7">
        <f t="shared" si="35"/>
        <v>6.0559561071991078E-2</v>
      </c>
      <c r="P52" s="7">
        <f t="shared" si="35"/>
        <v>0.17646598116938594</v>
      </c>
      <c r="Q52" s="7">
        <f t="shared" si="35"/>
        <v>0.19220262904777169</v>
      </c>
      <c r="R52" s="7">
        <f t="shared" si="35"/>
        <v>0.12791231631863881</v>
      </c>
      <c r="S52" s="7">
        <f t="shared" si="35"/>
        <v>0.1324695141663757</v>
      </c>
      <c r="T52" s="7">
        <f t="shared" si="35"/>
        <v>0.13551474428650076</v>
      </c>
      <c r="U52" s="7">
        <f t="shared" si="35"/>
        <v>0.15303837434107129</v>
      </c>
      <c r="V52" s="7">
        <f t="shared" si="35"/>
        <v>0.16783515210632199</v>
      </c>
      <c r="W52" s="7">
        <f t="shared" si="35"/>
        <v>0.14963479415670652</v>
      </c>
      <c r="X52" s="7">
        <f t="shared" si="35"/>
        <v>0.12270949810942701</v>
      </c>
      <c r="Y52" s="7">
        <f t="shared" si="36"/>
        <v>0.14326781007803854</v>
      </c>
      <c r="Z52" s="189"/>
    </row>
    <row r="53" spans="1:26">
      <c r="A53" s="1" t="s">
        <v>48</v>
      </c>
      <c r="B53" s="1">
        <f t="shared" ref="B53:I53" si="37">SUM(B50:B52)</f>
        <v>3443.259</v>
      </c>
      <c r="C53" s="1">
        <f t="shared" si="37"/>
        <v>4650.5209999999997</v>
      </c>
      <c r="D53" s="11">
        <f t="shared" si="37"/>
        <v>4324</v>
      </c>
      <c r="E53" s="11">
        <f t="shared" si="37"/>
        <v>4123.3999999999996</v>
      </c>
      <c r="F53" s="11">
        <f t="shared" si="37"/>
        <v>3468.5</v>
      </c>
      <c r="G53" s="11">
        <f t="shared" si="37"/>
        <v>3041.6</v>
      </c>
      <c r="H53" s="11">
        <f t="shared" ref="H53" si="38">SUM(H50:H52)</f>
        <v>3327.7000000000003</v>
      </c>
      <c r="I53" s="11">
        <f t="shared" si="37"/>
        <v>4096</v>
      </c>
      <c r="J53" s="11">
        <f t="shared" ref="J53:K53" si="39">SUM(J50:J52)</f>
        <v>4940.9000000000005</v>
      </c>
      <c r="K53" s="11">
        <f t="shared" si="39"/>
        <v>5276.8</v>
      </c>
      <c r="L53" s="7">
        <f t="shared" si="34"/>
        <v>8.7541371382893626E-2</v>
      </c>
      <c r="M53" s="1"/>
      <c r="N53" s="1" t="str">
        <f>A53</f>
        <v>Total LTD &amp; Deferrals</v>
      </c>
      <c r="O53" s="7">
        <f t="shared" si="35"/>
        <v>0.55198788058529069</v>
      </c>
      <c r="P53" s="7">
        <f t="shared" si="35"/>
        <v>0.59514602095395941</v>
      </c>
      <c r="Q53" s="7">
        <f t="shared" si="35"/>
        <v>0.55453671048412956</v>
      </c>
      <c r="R53" s="7">
        <f t="shared" si="35"/>
        <v>0.49828402938901784</v>
      </c>
      <c r="S53" s="7">
        <f t="shared" si="35"/>
        <v>0.44852646416055653</v>
      </c>
      <c r="T53" s="7">
        <f t="shared" si="35"/>
        <v>0.42935588148106318</v>
      </c>
      <c r="U53" s="7">
        <f t="shared" si="35"/>
        <v>0.46284267771951548</v>
      </c>
      <c r="V53" s="7">
        <f t="shared" si="35"/>
        <v>0.49942083765164907</v>
      </c>
      <c r="W53" s="7">
        <f t="shared" si="35"/>
        <v>0.54680168216024794</v>
      </c>
      <c r="X53" s="7">
        <f t="shared" si="35"/>
        <v>0.56844305120167182</v>
      </c>
      <c r="Y53" s="7">
        <f t="shared" si="36"/>
        <v>0.49768892973645762</v>
      </c>
      <c r="Z53" s="189"/>
    </row>
    <row r="54" spans="1:26">
      <c r="A54" s="1"/>
      <c r="B54" s="1"/>
      <c r="C54" s="1"/>
      <c r="D54" s="11"/>
      <c r="E54" s="11"/>
      <c r="F54" s="11"/>
      <c r="G54" s="11"/>
      <c r="H54" s="11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">
        <f t="shared" ref="B55:I55" si="40">B53+B48</f>
        <v>4205.6310000000003</v>
      </c>
      <c r="C55" s="1">
        <f t="shared" si="40"/>
        <v>5772.8310000000001</v>
      </c>
      <c r="D55" s="11">
        <f t="shared" si="40"/>
        <v>5182.3999999999996</v>
      </c>
      <c r="E55" s="11">
        <f t="shared" si="40"/>
        <v>5470</v>
      </c>
      <c r="F55" s="11">
        <f t="shared" si="40"/>
        <v>5048.8</v>
      </c>
      <c r="G55" s="11">
        <f t="shared" si="40"/>
        <v>4189</v>
      </c>
      <c r="H55" s="11">
        <f t="shared" si="40"/>
        <v>4264.7000000000007</v>
      </c>
      <c r="I55" s="11">
        <f t="shared" si="40"/>
        <v>5134.2</v>
      </c>
      <c r="J55" s="11">
        <f t="shared" ref="J55:K55" si="41">J53+J48</f>
        <v>6017.5</v>
      </c>
      <c r="K55" s="11">
        <f t="shared" si="41"/>
        <v>6143.5</v>
      </c>
      <c r="L55" s="7">
        <f>RATE(5,,-F55,K55)</f>
        <v>4.0029215106923588E-2</v>
      </c>
      <c r="M55" s="1"/>
      <c r="N55" s="1" t="s">
        <v>49</v>
      </c>
      <c r="O55" s="7">
        <f t="shared" ref="O55:X55" si="42">B55/B$38</f>
        <v>0.67420352120296401</v>
      </c>
      <c r="P55" s="7">
        <f t="shared" si="42"/>
        <v>0.7387725803817824</v>
      </c>
      <c r="Q55" s="7">
        <f t="shared" si="42"/>
        <v>0.6646232766912471</v>
      </c>
      <c r="R55" s="7">
        <f t="shared" si="42"/>
        <v>0.66101121423047182</v>
      </c>
      <c r="S55" s="7">
        <f t="shared" si="42"/>
        <v>0.6528817679843788</v>
      </c>
      <c r="T55" s="7">
        <f t="shared" si="42"/>
        <v>0.59132423314182458</v>
      </c>
      <c r="U55" s="7">
        <f t="shared" si="42"/>
        <v>0.5931680042282711</v>
      </c>
      <c r="V55" s="7">
        <f t="shared" si="42"/>
        <v>0.62600743766384193</v>
      </c>
      <c r="W55" s="7">
        <f t="shared" si="42"/>
        <v>0.66594732182381589</v>
      </c>
      <c r="X55" s="7">
        <f t="shared" si="42"/>
        <v>0.66180827112217078</v>
      </c>
      <c r="Y55" s="7">
        <f t="shared" ref="Y55" si="43">SUM(F55:K55)/SUM(F$38:K$38)</f>
        <v>0.63464688948282721</v>
      </c>
      <c r="Z55" s="189"/>
    </row>
    <row r="56" spans="1:26">
      <c r="A56" s="1"/>
      <c r="B56" s="1"/>
      <c r="C56" s="1"/>
      <c r="D56" s="11"/>
      <c r="E56" s="11"/>
      <c r="F56" s="11"/>
      <c r="G56" s="11"/>
      <c r="H56" s="11"/>
      <c r="I56" s="11"/>
      <c r="J56" s="11"/>
      <c r="K56" s="1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">
        <f>113.953</f>
        <v>113.953</v>
      </c>
      <c r="C57" s="1">
        <f>205.063</f>
        <v>205.06299999999999</v>
      </c>
      <c r="D57" s="11">
        <f t="shared" ref="D57:I57" si="44">243.8</f>
        <v>243.8</v>
      </c>
      <c r="E57" s="11">
        <f t="shared" si="44"/>
        <v>243.8</v>
      </c>
      <c r="F57" s="11">
        <f t="shared" si="44"/>
        <v>243.8</v>
      </c>
      <c r="G57" s="11">
        <f t="shared" si="44"/>
        <v>243.8</v>
      </c>
      <c r="H57" s="11">
        <f t="shared" si="44"/>
        <v>243.8</v>
      </c>
      <c r="I57" s="11">
        <f t="shared" si="44"/>
        <v>243.8</v>
      </c>
      <c r="J57" s="11">
        <f>183.8+60</f>
        <v>243.8</v>
      </c>
      <c r="K57" s="11">
        <f>183.8+60</f>
        <v>243.8</v>
      </c>
      <c r="L57" s="7">
        <f>RATE(5,,-F57,K57)</f>
        <v>2.331142236893703E-16</v>
      </c>
      <c r="M57" s="1"/>
      <c r="N57" s="1" t="s">
        <v>50</v>
      </c>
      <c r="O57" s="7">
        <f t="shared" ref="O57:X57" si="45">B57/B$38</f>
        <v>1.8267773338089186E-2</v>
      </c>
      <c r="P57" s="7">
        <f t="shared" si="45"/>
        <v>2.6242743231324358E-2</v>
      </c>
      <c r="Q57" s="7">
        <f t="shared" si="45"/>
        <v>3.1266431548573261E-2</v>
      </c>
      <c r="R57" s="7">
        <f t="shared" si="45"/>
        <v>2.9461523588553758E-2</v>
      </c>
      <c r="S57" s="7">
        <f t="shared" si="45"/>
        <v>3.1526813309022253E-2</v>
      </c>
      <c r="T57" s="7">
        <f t="shared" si="45"/>
        <v>3.4415098601092591E-2</v>
      </c>
      <c r="U57" s="7">
        <f t="shared" si="45"/>
        <v>3.3909620707400868E-2</v>
      </c>
      <c r="V57" s="7">
        <f t="shared" si="45"/>
        <v>2.9726269584832044E-2</v>
      </c>
      <c r="W57" s="7">
        <f t="shared" si="45"/>
        <v>2.6980965028773795E-2</v>
      </c>
      <c r="X57" s="7">
        <f t="shared" si="45"/>
        <v>2.6263344429003865E-2</v>
      </c>
      <c r="Y57" s="7">
        <f t="shared" ref="Y57" si="46">SUM(F57:K57)/SUM(F$38:K$38)</f>
        <v>3.0143857169057413E-2</v>
      </c>
      <c r="Z57" s="189"/>
    </row>
    <row r="58" spans="1:26">
      <c r="A58" s="1"/>
      <c r="B58" s="1"/>
      <c r="C58" s="1"/>
      <c r="D58" s="11"/>
      <c r="E58" s="11"/>
      <c r="F58" s="11"/>
      <c r="G58" s="11"/>
      <c r="H58" s="11"/>
      <c r="I58" s="11"/>
      <c r="J58" s="11"/>
      <c r="K58" s="1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"/>
      <c r="C59" s="1"/>
      <c r="D59" s="11"/>
      <c r="E59" s="11"/>
      <c r="F59" s="11"/>
      <c r="G59" s="11"/>
      <c r="H59" s="11"/>
      <c r="I59" s="11"/>
      <c r="J59" s="11"/>
      <c r="K59" s="1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">
        <f>1918.341-B61</f>
        <v>1086.0479999999998</v>
      </c>
      <c r="C60" s="1">
        <f>1836.19-C61</f>
        <v>1078.0030000000002</v>
      </c>
      <c r="D60" s="11">
        <f>2371.3-D61</f>
        <v>1530.9</v>
      </c>
      <c r="E60" s="11">
        <f>2561.4-E61</f>
        <v>1689.5</v>
      </c>
      <c r="F60" s="11">
        <f>2440.5-F61</f>
        <v>1698.2</v>
      </c>
      <c r="G60" s="11">
        <f>2651.3-G61</f>
        <v>1727.7000000000003</v>
      </c>
      <c r="H60" s="11">
        <f>2681.2-H61</f>
        <v>1475.9999999999998</v>
      </c>
      <c r="I60" s="11">
        <f>2823.5-I61</f>
        <v>1487.3</v>
      </c>
      <c r="J60" s="11">
        <f>2772.6-J61+2.1</f>
        <v>1492.9999999999998</v>
      </c>
      <c r="K60" s="11">
        <f>2893.6-K61+2</f>
        <v>1500.8999999999999</v>
      </c>
      <c r="L60" s="7">
        <f t="shared" ref="L60:L63" si="47">RATE(5,,-F60,K60)</f>
        <v>-2.4398219567608612E-2</v>
      </c>
      <c r="M60" s="1"/>
      <c r="N60" s="1" t="str">
        <f>A60</f>
        <v>Common Stock</v>
      </c>
      <c r="O60" s="7">
        <f t="shared" ref="O60:X63" si="48">B60/B$38</f>
        <v>0.17410404902271182</v>
      </c>
      <c r="P60" s="7">
        <f t="shared" si="48"/>
        <v>0.13795641306133899</v>
      </c>
      <c r="Q60" s="7">
        <f t="shared" si="48"/>
        <v>0.1963321577428663</v>
      </c>
      <c r="R60" s="7">
        <f t="shared" si="48"/>
        <v>0.20416424980665124</v>
      </c>
      <c r="S60" s="7">
        <f t="shared" si="48"/>
        <v>0.21960145349213123</v>
      </c>
      <c r="T60" s="7">
        <f t="shared" si="48"/>
        <v>0.24388419135811185</v>
      </c>
      <c r="U60" s="7">
        <f t="shared" si="48"/>
        <v>0.20529368402019554</v>
      </c>
      <c r="V60" s="7">
        <f t="shared" si="48"/>
        <v>0.18134487593732854</v>
      </c>
      <c r="W60" s="7">
        <f t="shared" si="48"/>
        <v>0.165227976980965</v>
      </c>
      <c r="X60" s="7">
        <f t="shared" si="48"/>
        <v>0.16168438742203403</v>
      </c>
      <c r="Y60" s="7">
        <f t="shared" ref="Y60:Y63" si="49">SUM(F60:K60)/SUM(F$38:K$38)</f>
        <v>0.19335714123802478</v>
      </c>
      <c r="Z60" s="189"/>
    </row>
    <row r="61" spans="1:26">
      <c r="A61" s="1" t="s">
        <v>53</v>
      </c>
      <c r="B61" s="1">
        <f>832.293</f>
        <v>832.29300000000001</v>
      </c>
      <c r="C61" s="1">
        <f>758.187</f>
        <v>758.18700000000001</v>
      </c>
      <c r="D61" s="11">
        <f>840.4</f>
        <v>840.4</v>
      </c>
      <c r="E61" s="11">
        <f>871.9</f>
        <v>871.9</v>
      </c>
      <c r="F61" s="11">
        <f>742.3</f>
        <v>742.3</v>
      </c>
      <c r="G61" s="11">
        <v>923.6</v>
      </c>
      <c r="H61" s="11">
        <f>1205.2</f>
        <v>1205.2</v>
      </c>
      <c r="I61" s="11">
        <v>1336.2</v>
      </c>
      <c r="J61" s="11">
        <v>1281.7</v>
      </c>
      <c r="K61" s="11">
        <v>1394.7</v>
      </c>
      <c r="L61" s="7">
        <f t="shared" si="47"/>
        <v>0.13443670053514184</v>
      </c>
      <c r="M61" s="1"/>
      <c r="N61" s="1" t="str">
        <f>A61</f>
        <v>Retained Earnings</v>
      </c>
      <c r="O61" s="7">
        <f t="shared" si="48"/>
        <v>0.13342465643623477</v>
      </c>
      <c r="P61" s="7">
        <f t="shared" si="48"/>
        <v>9.7028263325554212E-2</v>
      </c>
      <c r="Q61" s="7">
        <f t="shared" si="48"/>
        <v>0.10777813401731323</v>
      </c>
      <c r="R61" s="7">
        <f t="shared" si="48"/>
        <v>0.10536301237432329</v>
      </c>
      <c r="S61" s="7">
        <f t="shared" si="48"/>
        <v>9.5989965214467662E-2</v>
      </c>
      <c r="T61" s="7">
        <f t="shared" si="48"/>
        <v>0.13037647689897094</v>
      </c>
      <c r="U61" s="7">
        <f t="shared" si="48"/>
        <v>0.16762869104413258</v>
      </c>
      <c r="V61" s="7">
        <f t="shared" si="48"/>
        <v>0.16292141681399744</v>
      </c>
      <c r="W61" s="7">
        <f t="shared" si="48"/>
        <v>0.14184373616644533</v>
      </c>
      <c r="X61" s="7">
        <f t="shared" si="48"/>
        <v>0.15024399702679117</v>
      </c>
      <c r="Y61" s="7">
        <f t="shared" si="49"/>
        <v>0.14185211211009061</v>
      </c>
      <c r="Z61" s="189"/>
    </row>
    <row r="62" spans="1:26">
      <c r="A62" s="1" t="s">
        <v>54</v>
      </c>
      <c r="B62" s="1">
        <f t="shared" ref="B62:I62" si="50">SUM(B59:B61)</f>
        <v>1918.3409999999999</v>
      </c>
      <c r="C62" s="1">
        <f t="shared" si="50"/>
        <v>1836.19</v>
      </c>
      <c r="D62" s="11">
        <f t="shared" si="50"/>
        <v>2371.3000000000002</v>
      </c>
      <c r="E62" s="11">
        <f t="shared" si="50"/>
        <v>2561.4</v>
      </c>
      <c r="F62" s="11">
        <f t="shared" si="50"/>
        <v>2440.5</v>
      </c>
      <c r="G62" s="11">
        <f t="shared" si="50"/>
        <v>2651.3</v>
      </c>
      <c r="H62" s="11">
        <f t="shared" ref="H62" si="51">SUM(H59:H61)</f>
        <v>2681.2</v>
      </c>
      <c r="I62" s="11">
        <f t="shared" si="50"/>
        <v>2823.5</v>
      </c>
      <c r="J62" s="11">
        <f t="shared" ref="J62:K62" si="52">SUM(J59:J61)</f>
        <v>2774.7</v>
      </c>
      <c r="K62" s="11">
        <f t="shared" si="52"/>
        <v>2895.6</v>
      </c>
      <c r="L62" s="7">
        <f t="shared" si="47"/>
        <v>3.4789352055000916E-2</v>
      </c>
      <c r="M62" s="1"/>
      <c r="N62" s="1" t="str">
        <f>A62</f>
        <v>Total Common Equity</v>
      </c>
      <c r="O62" s="7">
        <f t="shared" si="48"/>
        <v>0.30752870545894662</v>
      </c>
      <c r="P62" s="7">
        <f t="shared" si="48"/>
        <v>0.23498467638689319</v>
      </c>
      <c r="Q62" s="7">
        <f t="shared" si="48"/>
        <v>0.30411029176017956</v>
      </c>
      <c r="R62" s="7">
        <f t="shared" si="48"/>
        <v>0.30952726218097454</v>
      </c>
      <c r="S62" s="7">
        <f t="shared" si="48"/>
        <v>0.3155914187065989</v>
      </c>
      <c r="T62" s="7">
        <f t="shared" si="48"/>
        <v>0.37426066825708276</v>
      </c>
      <c r="U62" s="7">
        <f t="shared" si="48"/>
        <v>0.37292237506432813</v>
      </c>
      <c r="V62" s="7">
        <f t="shared" si="48"/>
        <v>0.34426629275132598</v>
      </c>
      <c r="W62" s="7">
        <f t="shared" si="48"/>
        <v>0.30707171314741033</v>
      </c>
      <c r="X62" s="7">
        <f t="shared" si="48"/>
        <v>0.3119283844488252</v>
      </c>
      <c r="Y62" s="7">
        <f t="shared" si="49"/>
        <v>0.33520925334811541</v>
      </c>
      <c r="Z62" s="189"/>
    </row>
    <row r="63" spans="1:26">
      <c r="A63" s="1" t="s">
        <v>55</v>
      </c>
      <c r="B63" s="1">
        <f t="shared" ref="B63:I63" si="53">B62+B55+B57</f>
        <v>6237.9250000000002</v>
      </c>
      <c r="C63" s="1">
        <f t="shared" si="53"/>
        <v>7814.0840000000007</v>
      </c>
      <c r="D63" s="11">
        <f t="shared" si="53"/>
        <v>7797.5</v>
      </c>
      <c r="E63" s="11">
        <f t="shared" si="53"/>
        <v>8275.1999999999989</v>
      </c>
      <c r="F63" s="11">
        <f t="shared" si="53"/>
        <v>7733.1</v>
      </c>
      <c r="G63" s="11">
        <f t="shared" si="53"/>
        <v>7084.1</v>
      </c>
      <c r="H63" s="11">
        <f t="shared" si="53"/>
        <v>7189.7000000000007</v>
      </c>
      <c r="I63" s="11">
        <f t="shared" si="53"/>
        <v>8201.5</v>
      </c>
      <c r="J63" s="11">
        <f t="shared" ref="J63:K63" si="54">J62+J55+J57</f>
        <v>9036</v>
      </c>
      <c r="K63" s="11">
        <f t="shared" si="54"/>
        <v>9282.9</v>
      </c>
      <c r="L63" s="7">
        <f t="shared" si="47"/>
        <v>3.7208361407947949E-2</v>
      </c>
      <c r="M63" s="1"/>
      <c r="N63" s="1" t="s">
        <v>55</v>
      </c>
      <c r="O63" s="7">
        <f t="shared" si="48"/>
        <v>0.99999999999999989</v>
      </c>
      <c r="P63" s="7">
        <f t="shared" si="48"/>
        <v>1</v>
      </c>
      <c r="Q63" s="7">
        <f t="shared" si="48"/>
        <v>1</v>
      </c>
      <c r="R63" s="7">
        <f t="shared" si="48"/>
        <v>1</v>
      </c>
      <c r="S63" s="7">
        <f t="shared" si="48"/>
        <v>1</v>
      </c>
      <c r="T63" s="7">
        <f t="shared" si="48"/>
        <v>1</v>
      </c>
      <c r="U63" s="7">
        <f t="shared" si="48"/>
        <v>1.0000000000000002</v>
      </c>
      <c r="V63" s="7">
        <f t="shared" si="48"/>
        <v>1</v>
      </c>
      <c r="W63" s="7">
        <f t="shared" si="48"/>
        <v>1</v>
      </c>
      <c r="X63" s="7">
        <f t="shared" si="48"/>
        <v>0.99999999999999978</v>
      </c>
      <c r="Y63" s="7">
        <f t="shared" si="49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Alliant Energy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Alliant Energy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10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10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10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10"/>
    </row>
    <row r="72" spans="1:25">
      <c r="A72" s="2" t="s">
        <v>59</v>
      </c>
      <c r="B72" s="2"/>
      <c r="C72" s="2"/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55">B73+1</f>
        <v>2002</v>
      </c>
      <c r="D73" s="5">
        <f t="shared" si="55"/>
        <v>2003</v>
      </c>
      <c r="E73" s="5">
        <f t="shared" si="55"/>
        <v>2004</v>
      </c>
      <c r="F73" s="5">
        <f t="shared" si="55"/>
        <v>2005</v>
      </c>
      <c r="G73" s="5">
        <f t="shared" si="55"/>
        <v>2006</v>
      </c>
      <c r="H73" s="5">
        <f t="shared" si="55"/>
        <v>2007</v>
      </c>
      <c r="I73" s="5">
        <f>H73+1</f>
        <v>2008</v>
      </c>
      <c r="J73" s="162">
        <f>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56">B73</f>
        <v>2001</v>
      </c>
      <c r="P73" s="5">
        <f t="shared" si="56"/>
        <v>2002</v>
      </c>
      <c r="Q73" s="5">
        <f t="shared" si="56"/>
        <v>2003</v>
      </c>
      <c r="R73" s="5">
        <f t="shared" si="56"/>
        <v>2004</v>
      </c>
      <c r="S73" s="5">
        <f t="shared" si="56"/>
        <v>2005</v>
      </c>
      <c r="T73" s="5">
        <f t="shared" si="56"/>
        <v>2006</v>
      </c>
      <c r="U73" s="5">
        <f t="shared" si="56"/>
        <v>2007</v>
      </c>
      <c r="V73" s="5">
        <f t="shared" si="56"/>
        <v>2008</v>
      </c>
      <c r="W73" s="162">
        <f>J8</f>
        <v>2009</v>
      </c>
      <c r="X73" s="162">
        <f>K8</f>
        <v>2010</v>
      </c>
      <c r="Y73" s="10" t="s">
        <v>10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">
        <v>63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>
        <f>1756.556</f>
        <v>1756.556</v>
      </c>
      <c r="C75" s="1">
        <f>1752.5</f>
        <v>1752.5</v>
      </c>
      <c r="D75" s="11">
        <f>1917.1</f>
        <v>1917.1</v>
      </c>
      <c r="E75" s="136">
        <v>2009</v>
      </c>
      <c r="F75" s="136">
        <v>2320.6</v>
      </c>
      <c r="G75" s="136">
        <v>2443</v>
      </c>
      <c r="H75" s="136">
        <f>2410.8</f>
        <v>2410.8000000000002</v>
      </c>
      <c r="I75" s="136">
        <v>2411.3000000000002</v>
      </c>
      <c r="J75" s="136">
        <v>2475.9</v>
      </c>
      <c r="K75" s="136">
        <v>2674.2</v>
      </c>
      <c r="L75" s="7">
        <f t="shared" ref="L75:L78" si="57">RATE(5,,-F75,K75)</f>
        <v>2.877101392075667E-2</v>
      </c>
      <c r="M75" s="1"/>
      <c r="N75" s="1" t="str">
        <f>A75</f>
        <v>Electric</v>
      </c>
      <c r="O75" s="1"/>
      <c r="P75" s="1"/>
      <c r="Q75" s="1"/>
      <c r="R75" s="1"/>
      <c r="S75" s="7">
        <f>F75/F$78</f>
        <v>0.70758629101109882</v>
      </c>
      <c r="T75" s="7">
        <f t="shared" ref="T75" si="58">G75/G$78</f>
        <v>0.72721319283205332</v>
      </c>
      <c r="U75" s="7">
        <f t="shared" ref="U75" si="59">H75/H$78</f>
        <v>0.70130323481498713</v>
      </c>
      <c r="V75" s="7">
        <f t="shared" ref="V75" si="60">I75/I$78</f>
        <v>0.65719113679103869</v>
      </c>
      <c r="W75" s="7">
        <f t="shared" ref="W75" si="61">J75/J$78</f>
        <v>0.72240539199953324</v>
      </c>
      <c r="X75" s="7">
        <f t="shared" ref="X75" si="62">K75/K$78</f>
        <v>0.78282251690524285</v>
      </c>
      <c r="Y75" s="7">
        <f t="shared" ref="Y75:Y76" si="63">SUM(F75:K75)/SUM(F$78:K$78)</f>
        <v>0.71570879737336746</v>
      </c>
    </row>
    <row r="76" spans="1:25">
      <c r="A76" s="1" t="s">
        <v>64</v>
      </c>
      <c r="B76" s="1">
        <f>487.877+101.894</f>
        <v>589.77099999999996</v>
      </c>
      <c r="C76" s="1">
        <f>85.4+394</f>
        <v>479.4</v>
      </c>
      <c r="D76" s="11">
        <f>104.2+566.9</f>
        <v>671.1</v>
      </c>
      <c r="E76" s="136">
        <f>569.8+90.6</f>
        <v>660.4</v>
      </c>
      <c r="F76" s="136">
        <f>685.1+85.6</f>
        <v>770.7</v>
      </c>
      <c r="G76" s="136">
        <f>633.3+79.8</f>
        <v>713.09999999999991</v>
      </c>
      <c r="H76" s="136">
        <f>630.2+71.7</f>
        <v>701.90000000000009</v>
      </c>
      <c r="I76" s="136">
        <f>710.4+102.1</f>
        <v>812.5</v>
      </c>
      <c r="J76" s="136">
        <f>525.3+92.9</f>
        <v>618.19999999999993</v>
      </c>
      <c r="K76" s="136">
        <f>480.6+64.6</f>
        <v>545.20000000000005</v>
      </c>
      <c r="L76" s="7">
        <f t="shared" si="57"/>
        <v>-6.6887305876763101E-2</v>
      </c>
      <c r="M76" s="1"/>
      <c r="N76" s="1" t="str">
        <f>A76</f>
        <v>Other Regulated Operations</v>
      </c>
      <c r="O76" s="7">
        <f t="shared" ref="O76:R76" si="64">B77/B$78</f>
        <v>0.10929303819332403</v>
      </c>
      <c r="P76" s="7">
        <f t="shared" si="64"/>
        <v>9.1652761385372997E-2</v>
      </c>
      <c r="Q76" s="7">
        <f t="shared" si="64"/>
        <v>5.0550256786500374E-2</v>
      </c>
      <c r="R76" s="7">
        <f t="shared" si="64"/>
        <v>4.8274386765544776E-2</v>
      </c>
      <c r="S76" s="7">
        <f>F76/F$78</f>
        <v>0.23499817050859859</v>
      </c>
      <c r="T76" s="7">
        <f t="shared" ref="T76:X76" si="65">G76/G$78</f>
        <v>0.21227004822289691</v>
      </c>
      <c r="U76" s="7">
        <f t="shared" si="65"/>
        <v>0.20418315103560625</v>
      </c>
      <c r="V76" s="7">
        <f t="shared" si="65"/>
        <v>0.22144395083262924</v>
      </c>
      <c r="W76" s="7">
        <f t="shared" si="65"/>
        <v>0.18037522247833571</v>
      </c>
      <c r="X76" s="7">
        <f t="shared" si="65"/>
        <v>0.15959720148707596</v>
      </c>
      <c r="Y76" s="7">
        <f t="shared" si="63"/>
        <v>0.20212636783540805</v>
      </c>
    </row>
    <row r="77" spans="1:25">
      <c r="A77" s="1" t="s">
        <v>65</v>
      </c>
      <c r="B77" s="1">
        <f>287.903</f>
        <v>287.90300000000002</v>
      </c>
      <c r="C77" s="1">
        <f>225.2</f>
        <v>225.2</v>
      </c>
      <c r="D77" s="11">
        <f>137.8</f>
        <v>137.80000000000001</v>
      </c>
      <c r="E77" s="136">
        <v>135.4</v>
      </c>
      <c r="F77" s="136">
        <v>188.3</v>
      </c>
      <c r="G77" s="136">
        <v>203.3</v>
      </c>
      <c r="H77" s="136">
        <f>324.9</f>
        <v>324.89999999999998</v>
      </c>
      <c r="I77" s="136">
        <v>445.3</v>
      </c>
      <c r="J77" s="136">
        <v>333.2</v>
      </c>
      <c r="K77" s="136">
        <v>196.7</v>
      </c>
      <c r="L77" s="7">
        <f t="shared" si="57"/>
        <v>8.7668637620813492E-3</v>
      </c>
      <c r="M77" s="1"/>
      <c r="N77" s="1" t="str">
        <f>A77</f>
        <v>Non-Regulated Operations</v>
      </c>
      <c r="S77" s="7">
        <f>F77/F$78</f>
        <v>5.7415538480302473E-2</v>
      </c>
      <c r="T77" s="7">
        <f t="shared" ref="T77" si="66">G77/G$78</f>
        <v>6.0516758945049716E-2</v>
      </c>
      <c r="U77" s="7">
        <f t="shared" ref="U77" si="67">H77/H$78</f>
        <v>9.4513614149406552E-2</v>
      </c>
      <c r="V77" s="7">
        <f t="shared" ref="V77" si="68">I77/I$78</f>
        <v>0.12136491237633207</v>
      </c>
      <c r="W77" s="7">
        <f t="shared" ref="W77" si="69">J77/J$78</f>
        <v>9.7219385522131122E-2</v>
      </c>
      <c r="X77" s="7">
        <f t="shared" ref="X77" si="70">K77/K$78</f>
        <v>5.7580281607681277E-2</v>
      </c>
      <c r="Y77" s="7">
        <f>SUM(F77:K77)/SUM(F$78:K$78)</f>
        <v>8.2164834791224495E-2</v>
      </c>
    </row>
    <row r="78" spans="1:25">
      <c r="A78" s="1" t="s">
        <v>67</v>
      </c>
      <c r="B78" s="1">
        <f t="shared" ref="B78:K78" si="71">SUM(B74:B77)</f>
        <v>2634.2300000000005</v>
      </c>
      <c r="C78" s="1">
        <f t="shared" si="71"/>
        <v>2457.1</v>
      </c>
      <c r="D78" s="11">
        <f t="shared" si="71"/>
        <v>2726</v>
      </c>
      <c r="E78" s="11">
        <f t="shared" si="71"/>
        <v>2804.8</v>
      </c>
      <c r="F78" s="11">
        <f t="shared" si="71"/>
        <v>3279.6000000000004</v>
      </c>
      <c r="G78" s="11">
        <f t="shared" si="71"/>
        <v>3359.4</v>
      </c>
      <c r="H78" s="11">
        <f t="shared" ref="H78" si="72">SUM(H74:H77)</f>
        <v>3437.6000000000004</v>
      </c>
      <c r="I78" s="11">
        <f t="shared" si="71"/>
        <v>3669.1000000000004</v>
      </c>
      <c r="J78" s="11">
        <f t="shared" si="71"/>
        <v>3427.2999999999997</v>
      </c>
      <c r="K78" s="11">
        <f t="shared" si="71"/>
        <v>3416.0999999999995</v>
      </c>
      <c r="L78" s="7">
        <f t="shared" si="57"/>
        <v>8.1889647933151687E-3</v>
      </c>
      <c r="M78" s="1"/>
      <c r="N78" s="1" t="s">
        <v>66</v>
      </c>
      <c r="O78" s="7">
        <f>B78/B$78</f>
        <v>1</v>
      </c>
      <c r="P78" s="7">
        <f>C78/C$78</f>
        <v>1</v>
      </c>
      <c r="Q78" s="7">
        <f>D78/D$78</f>
        <v>1</v>
      </c>
      <c r="R78" s="7">
        <f>E78/E$78</f>
        <v>1</v>
      </c>
      <c r="S78" s="7">
        <f>F78/F$78</f>
        <v>1</v>
      </c>
      <c r="T78" s="7">
        <f>G78/G$78</f>
        <v>1</v>
      </c>
      <c r="U78" s="7">
        <f>H78/H$78</f>
        <v>1</v>
      </c>
      <c r="V78" s="7">
        <f>I78/I$78</f>
        <v>1</v>
      </c>
      <c r="W78" s="7">
        <f>J78/J$78</f>
        <v>1</v>
      </c>
      <c r="X78" s="7">
        <f>K78/K$78</f>
        <v>1</v>
      </c>
      <c r="Y78" s="7">
        <f>SUM(F78:K78)/SUM(F$78:K$78)</f>
        <v>1</v>
      </c>
    </row>
    <row r="79" spans="1:25">
      <c r="A79" s="1"/>
      <c r="B79" s="1"/>
      <c r="C79" s="1"/>
      <c r="D79" s="11"/>
      <c r="E79" s="11"/>
      <c r="F79" s="11"/>
      <c r="G79" s="11"/>
      <c r="H79" s="11"/>
      <c r="I79" s="11"/>
      <c r="J79" s="11"/>
      <c r="K79" s="1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1"/>
      <c r="D80" s="11"/>
      <c r="E80" s="11"/>
      <c r="F80" s="11"/>
      <c r="G80" s="11"/>
      <c r="H80" s="11"/>
      <c r="I80" s="11"/>
      <c r="J80" s="11"/>
      <c r="K80" s="1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">
        <f>695.168</f>
        <v>695.16800000000001</v>
      </c>
      <c r="C81" s="1">
        <f>651.8</f>
        <v>651.79999999999995</v>
      </c>
      <c r="D81" s="11">
        <f>730.6</f>
        <v>730.6</v>
      </c>
      <c r="E81" s="11">
        <v>747.4</v>
      </c>
      <c r="F81" s="11">
        <v>1009.3</v>
      </c>
      <c r="G81" s="11">
        <v>1257.4000000000001</v>
      </c>
      <c r="H81" s="11">
        <f>1121.7+92.8</f>
        <v>1214.5</v>
      </c>
      <c r="I81" s="11">
        <f>843.1+285.7+182.2</f>
        <v>1311</v>
      </c>
      <c r="J81" s="11">
        <f>891.4+281.1+225.4</f>
        <v>1397.9</v>
      </c>
      <c r="K81" s="11">
        <f>819.2+279.7+279.5</f>
        <v>1378.4</v>
      </c>
      <c r="L81" s="7">
        <f t="shared" ref="L81" si="73">RATE(5,,-F81,K81)</f>
        <v>6.4316997995385983E-2</v>
      </c>
      <c r="M81" s="1"/>
      <c r="N81" s="1" t="str">
        <f>A81</f>
        <v xml:space="preserve">   Purchased power</v>
      </c>
      <c r="O81" s="7">
        <f t="shared" ref="O81:X87" si="74">B81/B$78</f>
        <v>0.26389798916571444</v>
      </c>
      <c r="P81" s="7">
        <f t="shared" si="74"/>
        <v>0.26527206869887265</v>
      </c>
      <c r="Q81" s="7">
        <f t="shared" si="74"/>
        <v>0.26801173881144535</v>
      </c>
      <c r="R81" s="7">
        <f t="shared" si="74"/>
        <v>0.26647176269252709</v>
      </c>
      <c r="S81" s="7">
        <f t="shared" si="74"/>
        <v>0.30775094523722402</v>
      </c>
      <c r="T81" s="7">
        <f t="shared" si="74"/>
        <v>0.37429302851699708</v>
      </c>
      <c r="U81" s="7">
        <f t="shared" si="74"/>
        <v>0.35329881312543632</v>
      </c>
      <c r="V81" s="7">
        <f t="shared" si="74"/>
        <v>0.35730833174347931</v>
      </c>
      <c r="W81" s="7">
        <f t="shared" si="74"/>
        <v>0.40787208589852075</v>
      </c>
      <c r="X81" s="7">
        <f t="shared" si="74"/>
        <v>0.40350106846989264</v>
      </c>
      <c r="Y81" s="7">
        <f t="shared" ref="Y81:Y87" si="75">SUM(F81:K81)/SUM(F$78:K$78)</f>
        <v>0.36759741805129903</v>
      </c>
    </row>
    <row r="82" spans="1:25">
      <c r="A82" s="1" t="s">
        <v>70</v>
      </c>
      <c r="B82" s="1"/>
      <c r="C82" s="1"/>
      <c r="D82" s="11"/>
      <c r="E82" s="11"/>
      <c r="F82" s="11"/>
      <c r="G82" s="11"/>
      <c r="H82" s="11"/>
      <c r="I82" s="11"/>
      <c r="J82" s="11"/>
      <c r="K82" s="11"/>
      <c r="L82" s="7"/>
      <c r="M82" s="1"/>
      <c r="N82" s="1" t="str">
        <f t="shared" ref="N82:N87" si="76">A82</f>
        <v xml:space="preserve">   Fuel</v>
      </c>
      <c r="O82" s="7">
        <f t="shared" si="74"/>
        <v>0</v>
      </c>
      <c r="P82" s="7">
        <f t="shared" si="74"/>
        <v>0</v>
      </c>
      <c r="Q82" s="7">
        <f t="shared" si="74"/>
        <v>0</v>
      </c>
      <c r="R82" s="7">
        <f t="shared" si="74"/>
        <v>0</v>
      </c>
      <c r="S82" s="7">
        <f t="shared" si="74"/>
        <v>0</v>
      </c>
      <c r="T82" s="7">
        <f t="shared" si="74"/>
        <v>0</v>
      </c>
      <c r="U82" s="7">
        <f t="shared" si="74"/>
        <v>0</v>
      </c>
      <c r="V82" s="7">
        <f t="shared" si="74"/>
        <v>0</v>
      </c>
      <c r="W82" s="7">
        <f t="shared" si="74"/>
        <v>0</v>
      </c>
      <c r="X82" s="7">
        <f t="shared" si="74"/>
        <v>0</v>
      </c>
      <c r="Y82" s="7">
        <f t="shared" si="75"/>
        <v>0</v>
      </c>
    </row>
    <row r="83" spans="1:25">
      <c r="A83" s="1" t="s">
        <v>71</v>
      </c>
      <c r="B83" s="1">
        <f>586.55   +259.021</f>
        <v>845.57099999999991</v>
      </c>
      <c r="C83" s="1">
        <f>623.2+200.1</f>
        <v>823.30000000000007</v>
      </c>
      <c r="D83" s="11">
        <f>701.8+128.6</f>
        <v>830.4</v>
      </c>
      <c r="E83" s="11">
        <f>707.2+127.9</f>
        <v>835.1</v>
      </c>
      <c r="F83" s="11">
        <f>698.5+170</f>
        <v>868.5</v>
      </c>
      <c r="G83" s="11">
        <f>622.3+184.9</f>
        <v>807.19999999999993</v>
      </c>
      <c r="H83" s="11">
        <f>595.4+270.9</f>
        <v>866.3</v>
      </c>
      <c r="I83" s="11">
        <f>620.4+388.7</f>
        <v>1009.0999999999999</v>
      </c>
      <c r="J83" s="11">
        <f>599.7+311.9</f>
        <v>911.6</v>
      </c>
      <c r="K83" s="11">
        <f>617.2+169.5</f>
        <v>786.7</v>
      </c>
      <c r="L83" s="7">
        <f t="shared" ref="L83:L87" si="77">RATE(5,,-F83,K83)</f>
        <v>-1.9589699413492489E-2</v>
      </c>
      <c r="M83" s="1"/>
      <c r="N83" s="1" t="str">
        <f t="shared" si="76"/>
        <v xml:space="preserve">   Other operations and maintenance</v>
      </c>
      <c r="O83" s="7">
        <f t="shared" si="74"/>
        <v>0.32099361103624202</v>
      </c>
      <c r="P83" s="7">
        <f t="shared" si="74"/>
        <v>0.33506979772903017</v>
      </c>
      <c r="Q83" s="7">
        <f t="shared" si="74"/>
        <v>0.30462215700660306</v>
      </c>
      <c r="R83" s="7">
        <f t="shared" si="74"/>
        <v>0.29773958927552768</v>
      </c>
      <c r="S83" s="7">
        <f t="shared" si="74"/>
        <v>0.26481888035126233</v>
      </c>
      <c r="T83" s="7">
        <f t="shared" si="74"/>
        <v>0.24028100255998092</v>
      </c>
      <c r="U83" s="7">
        <f t="shared" si="74"/>
        <v>0.25200721433558293</v>
      </c>
      <c r="V83" s="7">
        <f t="shared" si="74"/>
        <v>0.27502657327409985</v>
      </c>
      <c r="W83" s="7">
        <f t="shared" si="74"/>
        <v>0.26598196831324955</v>
      </c>
      <c r="X83" s="7">
        <f t="shared" si="74"/>
        <v>0.23029185328298357</v>
      </c>
      <c r="Y83" s="7">
        <f t="shared" si="75"/>
        <v>0.25496014881660684</v>
      </c>
    </row>
    <row r="84" spans="1:25">
      <c r="A84" s="1" t="s">
        <v>72</v>
      </c>
      <c r="B84" s="1">
        <f>294.339</f>
        <v>294.339</v>
      </c>
      <c r="C84" s="1">
        <f>278</f>
        <v>278</v>
      </c>
      <c r="D84" s="11">
        <f>286.8</f>
        <v>286.8</v>
      </c>
      <c r="E84" s="11">
        <v>316.89999999999998</v>
      </c>
      <c r="F84" s="11">
        <v>320.3</v>
      </c>
      <c r="G84" s="11">
        <v>261.39999999999998</v>
      </c>
      <c r="H84" s="11">
        <f>262.7</f>
        <v>262.7</v>
      </c>
      <c r="I84" s="11">
        <v>239.7</v>
      </c>
      <c r="J84" s="11">
        <v>273.60000000000002</v>
      </c>
      <c r="K84" s="11">
        <v>291.3</v>
      </c>
      <c r="L84" s="7">
        <f t="shared" si="77"/>
        <v>-1.8801875986019425E-2</v>
      </c>
      <c r="M84" s="1"/>
      <c r="N84" s="1" t="str">
        <f t="shared" si="76"/>
        <v xml:space="preserve">   Depreciation and amortization</v>
      </c>
      <c r="O84" s="7">
        <f t="shared" si="74"/>
        <v>0.11173625689480415</v>
      </c>
      <c r="P84" s="7">
        <f t="shared" si="74"/>
        <v>0.1131415082821212</v>
      </c>
      <c r="Q84" s="7">
        <f t="shared" si="74"/>
        <v>0.10520909757887015</v>
      </c>
      <c r="R84" s="7">
        <f t="shared" si="74"/>
        <v>0.1129848830576155</v>
      </c>
      <c r="S84" s="7">
        <f t="shared" si="74"/>
        <v>9.766434931089156E-2</v>
      </c>
      <c r="T84" s="7">
        <f t="shared" si="74"/>
        <v>7.7811513960826334E-2</v>
      </c>
      <c r="U84" s="7">
        <f t="shared" si="74"/>
        <v>7.6419595066325327E-2</v>
      </c>
      <c r="V84" s="7">
        <f t="shared" si="74"/>
        <v>6.532937232563843E-2</v>
      </c>
      <c r="W84" s="7">
        <f t="shared" si="74"/>
        <v>7.9829603477956423E-2</v>
      </c>
      <c r="X84" s="7">
        <f t="shared" si="74"/>
        <v>8.5272679371212801E-2</v>
      </c>
      <c r="Y84" s="7">
        <f t="shared" si="75"/>
        <v>8.0090921895566117E-2</v>
      </c>
    </row>
    <row r="85" spans="1:25">
      <c r="A85" s="1" t="s">
        <v>73</v>
      </c>
      <c r="B85" s="1">
        <f>102.136</f>
        <v>102.136</v>
      </c>
      <c r="C85" s="1">
        <f>103.5</f>
        <v>103.5</v>
      </c>
      <c r="D85" s="11">
        <f>88.9</f>
        <v>88.9</v>
      </c>
      <c r="E85" s="11">
        <v>100.2</v>
      </c>
      <c r="F85" s="11">
        <v>101</v>
      </c>
      <c r="G85" s="11">
        <v>108.2</v>
      </c>
      <c r="H85" s="11">
        <f>108.7</f>
        <v>108.7</v>
      </c>
      <c r="I85" s="11">
        <v>102.7</v>
      </c>
      <c r="J85" s="11">
        <v>100.1</v>
      </c>
      <c r="K85" s="11">
        <v>99.6</v>
      </c>
      <c r="L85" s="7">
        <f t="shared" si="77"/>
        <v>-2.787777361772575E-3</v>
      </c>
      <c r="M85" s="1"/>
      <c r="N85" s="1" t="str">
        <f t="shared" si="76"/>
        <v xml:space="preserve">   Taxes, other than income taxes</v>
      </c>
      <c r="O85" s="7">
        <f t="shared" si="74"/>
        <v>3.8772620462146426E-2</v>
      </c>
      <c r="P85" s="7">
        <f t="shared" si="74"/>
        <v>4.2122827723739369E-2</v>
      </c>
      <c r="Q85" s="7">
        <f t="shared" si="74"/>
        <v>3.2611885546588407E-2</v>
      </c>
      <c r="R85" s="7">
        <f t="shared" si="74"/>
        <v>3.572447233314318E-2</v>
      </c>
      <c r="S85" s="7">
        <f t="shared" si="74"/>
        <v>3.0796438590071955E-2</v>
      </c>
      <c r="T85" s="7">
        <f t="shared" si="74"/>
        <v>3.2208132404596058E-2</v>
      </c>
      <c r="U85" s="7">
        <f t="shared" si="74"/>
        <v>3.1620898301140329E-2</v>
      </c>
      <c r="V85" s="7">
        <f t="shared" si="74"/>
        <v>2.7990515385244337E-2</v>
      </c>
      <c r="W85" s="7">
        <f t="shared" si="74"/>
        <v>2.9206664137951158E-2</v>
      </c>
      <c r="X85" s="7">
        <f t="shared" si="74"/>
        <v>2.9156055150610347E-2</v>
      </c>
      <c r="Y85" s="7">
        <f t="shared" si="75"/>
        <v>3.0127591784002216E-2</v>
      </c>
    </row>
    <row r="86" spans="1:25">
      <c r="A86" s="1" t="s">
        <v>74</v>
      </c>
      <c r="B86" s="1">
        <f>360.911</f>
        <v>360.911</v>
      </c>
      <c r="C86" s="1">
        <f>249</f>
        <v>249</v>
      </c>
      <c r="D86" s="11">
        <f>396.1</f>
        <v>396.1</v>
      </c>
      <c r="E86" s="11">
        <v>396.9</v>
      </c>
      <c r="F86" s="11">
        <v>504.6</v>
      </c>
      <c r="G86" s="11">
        <f>431.7+0</f>
        <v>431.7</v>
      </c>
      <c r="H86" s="11">
        <v>441.1</v>
      </c>
      <c r="I86" s="11">
        <v>519.6</v>
      </c>
      <c r="J86" s="11">
        <v>347.9</v>
      </c>
      <c r="K86" s="11">
        <v>304</v>
      </c>
      <c r="L86" s="7">
        <f t="shared" si="77"/>
        <v>-9.6381180139947037E-2</v>
      </c>
      <c r="M86" s="1"/>
      <c r="N86" s="1" t="str">
        <f t="shared" si="76"/>
        <v xml:space="preserve">   Other Operating Expenses</v>
      </c>
      <c r="O86" s="7">
        <f t="shared" si="74"/>
        <v>0.13700815798164925</v>
      </c>
      <c r="P86" s="7">
        <f t="shared" si="74"/>
        <v>0.10133897684261935</v>
      </c>
      <c r="Q86" s="7">
        <f t="shared" si="74"/>
        <v>0.14530447542186353</v>
      </c>
      <c r="R86" s="7">
        <f t="shared" si="74"/>
        <v>0.14150741585852822</v>
      </c>
      <c r="S86" s="7">
        <f t="shared" si="74"/>
        <v>0.15386022685693376</v>
      </c>
      <c r="T86" s="7">
        <f t="shared" si="74"/>
        <v>0.12850509019467762</v>
      </c>
      <c r="U86" s="7">
        <f t="shared" si="74"/>
        <v>0.12831626716313707</v>
      </c>
      <c r="V86" s="7">
        <f t="shared" si="74"/>
        <v>0.14161510997247281</v>
      </c>
      <c r="W86" s="7">
        <f t="shared" si="74"/>
        <v>0.1015084760598722</v>
      </c>
      <c r="X86" s="7">
        <f t="shared" si="74"/>
        <v>8.8990369134393038E-2</v>
      </c>
      <c r="Y86" s="7">
        <f t="shared" si="75"/>
        <v>0.12379851474809488</v>
      </c>
    </row>
    <row r="87" spans="1:25">
      <c r="A87" s="1" t="s">
        <v>75</v>
      </c>
      <c r="B87" s="1">
        <f t="shared" ref="B87:G87" si="78">SUM(B80:B86)</f>
        <v>2298.125</v>
      </c>
      <c r="C87" s="1">
        <f t="shared" si="78"/>
        <v>2105.6</v>
      </c>
      <c r="D87" s="11">
        <f t="shared" si="78"/>
        <v>2332.8000000000002</v>
      </c>
      <c r="E87" s="11">
        <f t="shared" si="78"/>
        <v>2396.5</v>
      </c>
      <c r="F87" s="11">
        <f t="shared" si="78"/>
        <v>2803.7</v>
      </c>
      <c r="G87" s="11">
        <f t="shared" si="78"/>
        <v>2865.8999999999996</v>
      </c>
      <c r="H87" s="11">
        <f>SUM(H81:H86)</f>
        <v>2893.2999999999997</v>
      </c>
      <c r="I87" s="11">
        <f>SUM(I81:I86)</f>
        <v>3182.0999999999995</v>
      </c>
      <c r="J87" s="11">
        <f t="shared" ref="J87:K87" si="79">SUM(J81:J86)</f>
        <v>3031.1</v>
      </c>
      <c r="K87" s="11">
        <f t="shared" si="79"/>
        <v>2860.0000000000005</v>
      </c>
      <c r="L87" s="7">
        <f t="shared" si="77"/>
        <v>3.9842463696024557E-3</v>
      </c>
      <c r="M87" s="1"/>
      <c r="N87" s="1" t="str">
        <f t="shared" si="76"/>
        <v>Total Operating Expenses</v>
      </c>
      <c r="O87" s="7">
        <f t="shared" si="74"/>
        <v>0.87240863554055625</v>
      </c>
      <c r="P87" s="7">
        <f t="shared" si="74"/>
        <v>0.8569451792763827</v>
      </c>
      <c r="Q87" s="7">
        <f t="shared" si="74"/>
        <v>0.85575935436537054</v>
      </c>
      <c r="R87" s="7">
        <f t="shared" si="74"/>
        <v>0.85442812321734163</v>
      </c>
      <c r="S87" s="7">
        <f t="shared" si="74"/>
        <v>0.85489084034638352</v>
      </c>
      <c r="T87" s="7">
        <f t="shared" si="74"/>
        <v>0.85309876763707793</v>
      </c>
      <c r="U87" s="7">
        <f t="shared" si="74"/>
        <v>0.84166278799162186</v>
      </c>
      <c r="V87" s="7">
        <f t="shared" si="74"/>
        <v>0.86726990270093463</v>
      </c>
      <c r="W87" s="7">
        <f t="shared" si="74"/>
        <v>0.88439879788755005</v>
      </c>
      <c r="X87" s="7">
        <f t="shared" si="74"/>
        <v>0.83721202540909245</v>
      </c>
      <c r="Y87" s="7">
        <f t="shared" si="75"/>
        <v>0.85657459529556923</v>
      </c>
    </row>
    <row r="88" spans="1:25">
      <c r="A88" s="1" t="s">
        <v>76</v>
      </c>
      <c r="B88" s="1"/>
      <c r="C88" s="1"/>
      <c r="D88" s="11"/>
      <c r="E88" s="11"/>
      <c r="F88" s="11"/>
      <c r="G88" s="11"/>
      <c r="H88" s="11"/>
      <c r="I88" s="11"/>
      <c r="J88" s="11"/>
      <c r="K88" s="11"/>
      <c r="L88" s="7"/>
      <c r="M88" s="1"/>
    </row>
    <row r="89" spans="1:25">
      <c r="A89" s="1" t="s">
        <v>77</v>
      </c>
      <c r="B89" s="1"/>
      <c r="C89" s="1"/>
      <c r="D89" s="11"/>
      <c r="E89" s="11"/>
      <c r="F89" s="11"/>
      <c r="G89" s="11"/>
      <c r="H89" s="11"/>
      <c r="I89" s="11"/>
      <c r="J89" s="11"/>
      <c r="K89" s="11"/>
      <c r="L89" s="7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7"/>
    </row>
    <row r="90" spans="1:25">
      <c r="A90" s="1" t="s">
        <v>78</v>
      </c>
      <c r="B90" s="1">
        <f t="shared" ref="B90:G90" si="80">B78-B87</f>
        <v>336.10500000000047</v>
      </c>
      <c r="C90" s="1">
        <f t="shared" si="80"/>
        <v>351.5</v>
      </c>
      <c r="D90" s="11">
        <f t="shared" si="80"/>
        <v>393.19999999999982</v>
      </c>
      <c r="E90" s="11">
        <f t="shared" si="80"/>
        <v>408.30000000000018</v>
      </c>
      <c r="F90" s="11">
        <f t="shared" si="80"/>
        <v>475.90000000000055</v>
      </c>
      <c r="G90" s="11">
        <f t="shared" si="80"/>
        <v>493.50000000000045</v>
      </c>
      <c r="H90" s="11">
        <f>H78-H87+H88</f>
        <v>544.30000000000064</v>
      </c>
      <c r="I90" s="11">
        <f>I78-I87+I88</f>
        <v>487.00000000000091</v>
      </c>
      <c r="J90" s="11">
        <f t="shared" ref="J90:K90" si="81">J78-J87+J88</f>
        <v>396.19999999999982</v>
      </c>
      <c r="K90" s="11">
        <f t="shared" si="81"/>
        <v>556.099999999999</v>
      </c>
      <c r="L90" s="7">
        <f t="shared" ref="L90" si="82">RATE(5,,-F90,K90)</f>
        <v>3.1638254695603107E-2</v>
      </c>
      <c r="M90" s="1"/>
      <c r="N90" s="1" t="str">
        <f>A88</f>
        <v xml:space="preserve">  Electric Earnings from Operations</v>
      </c>
      <c r="O90" s="7">
        <f t="shared" ref="O90:X90" si="83">B90/B$78</f>
        <v>0.12759136445944372</v>
      </c>
      <c r="P90" s="7">
        <f t="shared" si="83"/>
        <v>0.14305482072361728</v>
      </c>
      <c r="Q90" s="7">
        <f t="shared" si="83"/>
        <v>0.14424064563462943</v>
      </c>
      <c r="R90" s="7">
        <f t="shared" si="83"/>
        <v>0.14557187678265834</v>
      </c>
      <c r="S90" s="7">
        <f t="shared" si="83"/>
        <v>0.14510915965361645</v>
      </c>
      <c r="T90" s="7">
        <f t="shared" si="83"/>
        <v>0.14690123236292207</v>
      </c>
      <c r="U90" s="7">
        <f t="shared" si="83"/>
        <v>0.15833721200837811</v>
      </c>
      <c r="V90" s="7">
        <f t="shared" si="83"/>
        <v>0.1327300972990654</v>
      </c>
      <c r="W90" s="7">
        <f t="shared" si="83"/>
        <v>0.11560120211244999</v>
      </c>
      <c r="X90" s="7">
        <f t="shared" si="83"/>
        <v>0.16278797459090749</v>
      </c>
      <c r="Y90" s="7">
        <f t="shared" ref="Y90" si="84">SUM(F90:K90)/SUM(F$78:K$78)</f>
        <v>0.14342540470443108</v>
      </c>
    </row>
    <row r="91" spans="1:25">
      <c r="A91" s="1"/>
      <c r="B91" s="1"/>
      <c r="C91" s="1"/>
      <c r="D91" s="11"/>
      <c r="E91" s="11"/>
      <c r="F91" s="11"/>
      <c r="G91" s="11"/>
      <c r="H91" s="11"/>
      <c r="I91" s="11"/>
      <c r="J91" s="11"/>
      <c r="K91" s="1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</row>
    <row r="92" spans="1:25">
      <c r="A92" s="1" t="s">
        <v>79</v>
      </c>
      <c r="B92" s="1">
        <f>182.008</f>
        <v>182.00800000000001</v>
      </c>
      <c r="C92" s="1">
        <f>182.8</f>
        <v>182.8</v>
      </c>
      <c r="D92" s="11">
        <f>205.1</f>
        <v>205.1</v>
      </c>
      <c r="E92" s="11">
        <v>176.9</v>
      </c>
      <c r="F92" s="11">
        <v>175.8</v>
      </c>
      <c r="G92" s="11">
        <v>145.69999999999999</v>
      </c>
      <c r="H92" s="11">
        <f>116.7</f>
        <v>116.7</v>
      </c>
      <c r="I92" s="11">
        <v>125.8</v>
      </c>
      <c r="J92" s="11">
        <v>154.9</v>
      </c>
      <c r="K92" s="11">
        <v>163</v>
      </c>
      <c r="L92" s="7">
        <f t="shared" ref="L92:L93" si="85">RATE(5,,-F92,K92)</f>
        <v>-1.5005633276521426E-2</v>
      </c>
      <c r="M92" s="1"/>
      <c r="N92" s="1" t="str">
        <f>A92</f>
        <v xml:space="preserve">   Interest expense (net)</v>
      </c>
      <c r="O92" s="7">
        <f t="shared" ref="O92:X96" si="86">B92/B$78</f>
        <v>6.9093435273305664E-2</v>
      </c>
      <c r="P92" s="7">
        <f t="shared" si="86"/>
        <v>7.4396646453135817E-2</v>
      </c>
      <c r="Q92" s="7">
        <f t="shared" si="86"/>
        <v>7.5238444607483496E-2</v>
      </c>
      <c r="R92" s="7">
        <f t="shared" si="86"/>
        <v>6.3070450656018254E-2</v>
      </c>
      <c r="S92" s="7">
        <f t="shared" si="86"/>
        <v>5.3604098060739111E-2</v>
      </c>
      <c r="T92" s="7">
        <f t="shared" si="86"/>
        <v>4.3370840030957904E-2</v>
      </c>
      <c r="U92" s="7">
        <f t="shared" si="86"/>
        <v>3.3948103327903184E-2</v>
      </c>
      <c r="V92" s="7">
        <f t="shared" si="86"/>
        <v>3.4286337248916623E-2</v>
      </c>
      <c r="W92" s="7">
        <f t="shared" si="86"/>
        <v>4.5195926822863483E-2</v>
      </c>
      <c r="X92" s="7">
        <f t="shared" si="86"/>
        <v>4.7715230818769952E-2</v>
      </c>
      <c r="Y92" s="7">
        <f t="shared" ref="Y92:Y101" si="87">SUM(F92:K92)/SUM(F$78:K$78)</f>
        <v>4.283334385670088E-2</v>
      </c>
    </row>
    <row r="93" spans="1:25">
      <c r="A93" s="1" t="s">
        <v>80</v>
      </c>
      <c r="B93" s="1">
        <f>-18.799</f>
        <v>-18.798999999999999</v>
      </c>
      <c r="C93" s="1">
        <f>-10.8</f>
        <v>-10.8</v>
      </c>
      <c r="D93" s="11">
        <f>-(34.7)</f>
        <v>-34.700000000000003</v>
      </c>
      <c r="E93" s="11">
        <v>-53</v>
      </c>
      <c r="F93" s="11">
        <v>-41.2</v>
      </c>
      <c r="G93" s="11">
        <v>4.5</v>
      </c>
      <c r="H93" s="11">
        <f>-15.7</f>
        <v>-15.7</v>
      </c>
      <c r="I93" s="11">
        <v>-18.600000000000001</v>
      </c>
      <c r="J93" s="11">
        <v>-4.9000000000000004</v>
      </c>
      <c r="K93" s="11">
        <v>-4</v>
      </c>
      <c r="L93" s="7">
        <f t="shared" si="85"/>
        <v>-0.37276172025056059</v>
      </c>
      <c r="M93" s="1"/>
      <c r="N93" s="1" t="str">
        <f>A93</f>
        <v xml:space="preserve">   Interest income</v>
      </c>
      <c r="O93" s="7">
        <f t="shared" si="86"/>
        <v>-7.1364307596527244E-3</v>
      </c>
      <c r="P93" s="7">
        <f t="shared" si="86"/>
        <v>-4.3954255016075867E-3</v>
      </c>
      <c r="Q93" s="7">
        <f t="shared" si="86"/>
        <v>-1.2729273661041821E-2</v>
      </c>
      <c r="R93" s="7">
        <f t="shared" si="86"/>
        <v>-1.8896177980604677E-2</v>
      </c>
      <c r="S93" s="7">
        <f t="shared" si="86"/>
        <v>-1.2562507622880839E-2</v>
      </c>
      <c r="T93" s="7">
        <f t="shared" si="86"/>
        <v>1.339524915163422E-3</v>
      </c>
      <c r="U93" s="7">
        <f t="shared" si="86"/>
        <v>-4.5671398650221073E-3</v>
      </c>
      <c r="V93" s="7">
        <f t="shared" si="86"/>
        <v>-5.0693630590608052E-3</v>
      </c>
      <c r="W93" s="7">
        <f t="shared" si="86"/>
        <v>-1.4296968459136933E-3</v>
      </c>
      <c r="X93" s="7">
        <f t="shared" si="86"/>
        <v>-1.1709259096630662E-3</v>
      </c>
      <c r="Y93" s="7">
        <f t="shared" si="87"/>
        <v>-3.8806941537026878E-3</v>
      </c>
    </row>
    <row r="94" spans="1:25">
      <c r="A94" s="1" t="s">
        <v>81</v>
      </c>
      <c r="B94" s="1"/>
      <c r="C94" s="1"/>
      <c r="D94" s="11"/>
      <c r="E94" s="11"/>
      <c r="F94" s="11"/>
      <c r="G94" s="11">
        <v>-253.9</v>
      </c>
      <c r="H94" s="11"/>
      <c r="I94" s="11"/>
      <c r="J94" s="11"/>
      <c r="K94" s="11"/>
      <c r="L94" s="7"/>
      <c r="M94" s="1"/>
      <c r="N94" s="1" t="str">
        <f>A94</f>
        <v xml:space="preserve">   Loss (Gain) on Sale of Assets</v>
      </c>
      <c r="O94" s="7">
        <f t="shared" si="86"/>
        <v>0</v>
      </c>
      <c r="P94" s="7">
        <f t="shared" si="86"/>
        <v>0</v>
      </c>
      <c r="Q94" s="7">
        <f t="shared" si="86"/>
        <v>0</v>
      </c>
      <c r="R94" s="7">
        <f t="shared" si="86"/>
        <v>0</v>
      </c>
      <c r="S94" s="7">
        <f t="shared" si="86"/>
        <v>0</v>
      </c>
      <c r="T94" s="7">
        <f t="shared" si="86"/>
        <v>-7.5578972435553962E-2</v>
      </c>
      <c r="U94" s="7">
        <f t="shared" si="86"/>
        <v>0</v>
      </c>
      <c r="V94" s="7">
        <f t="shared" si="86"/>
        <v>0</v>
      </c>
      <c r="W94" s="7">
        <f t="shared" si="86"/>
        <v>0</v>
      </c>
      <c r="X94" s="7">
        <f t="shared" si="86"/>
        <v>0</v>
      </c>
      <c r="Y94" s="7">
        <f t="shared" si="87"/>
        <v>-1.2331767780038954E-2</v>
      </c>
    </row>
    <row r="95" spans="1:25">
      <c r="A95" s="1" t="s">
        <v>157</v>
      </c>
      <c r="B95" s="1">
        <f>-11.144+6.72-2.662</f>
        <v>-7.0860000000000003</v>
      </c>
      <c r="C95" s="1">
        <f>12.9-7.7+6.2+27.2</f>
        <v>38.6</v>
      </c>
      <c r="D95" s="11">
        <f>16.9-(17.6)-(20.7)+16.9</f>
        <v>-4.5000000000000036</v>
      </c>
      <c r="E95" s="11">
        <f>8.9-34.3-18.5+18.7</f>
        <v>-25.2</v>
      </c>
      <c r="F95" s="11">
        <f>54.4-59.6+334.3-10+18.7</f>
        <v>337.8</v>
      </c>
      <c r="G95" s="11">
        <f>90.8-45.5-8.1+18.7</f>
        <v>55.899999999999991</v>
      </c>
      <c r="H95" s="11">
        <f>-29.3-7.8+18.7</f>
        <v>-18.400000000000002</v>
      </c>
      <c r="I95" s="11">
        <f>-33.2-24.7+18.7</f>
        <v>-39.200000000000003</v>
      </c>
      <c r="J95" s="11">
        <f>-36.6-39.7+18.7</f>
        <v>-57.600000000000009</v>
      </c>
      <c r="K95" s="11">
        <f>-38.1-18+18.7</f>
        <v>-37.400000000000006</v>
      </c>
      <c r="L95" s="7"/>
      <c r="M95" s="1"/>
      <c r="N95" s="1" t="str">
        <f>A95</f>
        <v xml:space="preserve">   Other (Income) Expense</v>
      </c>
      <c r="O95" s="7">
        <f t="shared" si="86"/>
        <v>-2.6899701240969843E-3</v>
      </c>
      <c r="P95" s="7">
        <f t="shared" si="86"/>
        <v>1.5709576329819706E-2</v>
      </c>
      <c r="Q95" s="7">
        <f t="shared" si="86"/>
        <v>-1.6507703595011018E-3</v>
      </c>
      <c r="R95" s="7">
        <f t="shared" si="86"/>
        <v>-8.9845978322875067E-3</v>
      </c>
      <c r="S95" s="7">
        <f t="shared" si="86"/>
        <v>0.10300036589828027</v>
      </c>
      <c r="T95" s="7">
        <f t="shared" si="86"/>
        <v>1.6639876168363394E-2</v>
      </c>
      <c r="U95" s="7">
        <f t="shared" si="86"/>
        <v>-5.3525715615545732E-3</v>
      </c>
      <c r="V95" s="7">
        <f t="shared" si="86"/>
        <v>-1.0683818920171159E-2</v>
      </c>
      <c r="W95" s="7">
        <f t="shared" si="86"/>
        <v>-1.6806232311148722E-2</v>
      </c>
      <c r="X95" s="7">
        <f t="shared" si="86"/>
        <v>-1.0948157255349672E-2</v>
      </c>
      <c r="Y95" s="7">
        <f t="shared" si="87"/>
        <v>1.171007960522801E-2</v>
      </c>
    </row>
    <row r="96" spans="1:25">
      <c r="A96" s="1" t="s">
        <v>83</v>
      </c>
      <c r="B96" s="1">
        <f t="shared" ref="B96:K96" si="88">SUM(B92:B95)</f>
        <v>156.12299999999999</v>
      </c>
      <c r="C96" s="1">
        <f t="shared" si="88"/>
        <v>210.6</v>
      </c>
      <c r="D96" s="11">
        <f t="shared" si="88"/>
        <v>165.89999999999998</v>
      </c>
      <c r="E96" s="11">
        <f t="shared" si="88"/>
        <v>98.7</v>
      </c>
      <c r="F96" s="11">
        <f t="shared" si="88"/>
        <v>472.40000000000003</v>
      </c>
      <c r="G96" s="11">
        <f t="shared" si="88"/>
        <v>-47.800000000000026</v>
      </c>
      <c r="H96" s="11">
        <f t="shared" ref="H96" si="89">SUM(H92:H95)</f>
        <v>82.6</v>
      </c>
      <c r="I96" s="11">
        <f t="shared" si="88"/>
        <v>67.999999999999986</v>
      </c>
      <c r="J96" s="11">
        <f t="shared" si="88"/>
        <v>92.399999999999991</v>
      </c>
      <c r="K96" s="11">
        <f t="shared" si="88"/>
        <v>121.6</v>
      </c>
      <c r="L96" s="7">
        <f t="shared" ref="L96" si="90">RATE(5,,-F96,K96)</f>
        <v>-0.23770207571742907</v>
      </c>
      <c r="M96" s="1"/>
      <c r="N96" s="1" t="str">
        <f>A96</f>
        <v>Total Other Income/Expense</v>
      </c>
      <c r="O96" s="7">
        <f t="shared" si="86"/>
        <v>5.9267034389555946E-2</v>
      </c>
      <c r="P96" s="7">
        <f t="shared" si="86"/>
        <v>8.5710797281347936E-2</v>
      </c>
      <c r="Q96" s="7">
        <f t="shared" si="86"/>
        <v>6.0858400586940566E-2</v>
      </c>
      <c r="R96" s="7">
        <f t="shared" si="86"/>
        <v>3.5189674843126066E-2</v>
      </c>
      <c r="S96" s="7">
        <f t="shared" si="86"/>
        <v>0.14404195633613856</v>
      </c>
      <c r="T96" s="7">
        <f t="shared" si="86"/>
        <v>-1.4228731321069246E-2</v>
      </c>
      <c r="U96" s="7">
        <f t="shared" si="86"/>
        <v>2.4028391901326503E-2</v>
      </c>
      <c r="V96" s="7">
        <f t="shared" si="86"/>
        <v>1.8533155269684659E-2</v>
      </c>
      <c r="W96" s="7">
        <f t="shared" si="86"/>
        <v>2.6959997665801066E-2</v>
      </c>
      <c r="X96" s="7">
        <f t="shared" si="86"/>
        <v>3.559614765375721E-2</v>
      </c>
      <c r="Y96" s="7">
        <f t="shared" si="87"/>
        <v>3.8330961528187248E-2</v>
      </c>
    </row>
    <row r="97" spans="1:25">
      <c r="A97" s="1"/>
      <c r="B97" s="1"/>
      <c r="C97" s="1"/>
      <c r="D97" s="11"/>
      <c r="E97" s="11"/>
      <c r="F97" s="11"/>
      <c r="G97" s="11"/>
      <c r="H97" s="11"/>
      <c r="I97" s="11"/>
      <c r="J97" s="11"/>
      <c r="K97" s="1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</row>
    <row r="98" spans="1:25">
      <c r="A98" s="1" t="s">
        <v>84</v>
      </c>
      <c r="B98" s="1">
        <f t="shared" ref="B98:G98" si="91">B90-B96</f>
        <v>179.98200000000048</v>
      </c>
      <c r="C98" s="1">
        <f t="shared" si="91"/>
        <v>140.9</v>
      </c>
      <c r="D98" s="11">
        <f t="shared" si="91"/>
        <v>227.29999999999984</v>
      </c>
      <c r="E98" s="11">
        <f t="shared" si="91"/>
        <v>309.60000000000019</v>
      </c>
      <c r="F98" s="11">
        <f t="shared" si="91"/>
        <v>3.5000000000005116</v>
      </c>
      <c r="G98" s="11">
        <f t="shared" si="91"/>
        <v>541.30000000000052</v>
      </c>
      <c r="H98" s="11">
        <f>H90-H96</f>
        <v>461.70000000000061</v>
      </c>
      <c r="I98" s="11">
        <f>I90-I96</f>
        <v>419.00000000000091</v>
      </c>
      <c r="J98" s="11">
        <f t="shared" ref="J98:K98" si="92">J90-J96</f>
        <v>303.79999999999984</v>
      </c>
      <c r="K98" s="11">
        <f t="shared" si="92"/>
        <v>434.49999999999898</v>
      </c>
      <c r="L98" s="7">
        <f t="shared" ref="L98:L99" si="93">RATE(5,,-F98,K98)</f>
        <v>1.6229157882509075</v>
      </c>
      <c r="M98" s="1"/>
      <c r="N98" s="1" t="s">
        <v>84</v>
      </c>
      <c r="O98" s="7">
        <f t="shared" ref="O98:X101" si="94">B98/B$78</f>
        <v>6.8324330069887765E-2</v>
      </c>
      <c r="P98" s="7">
        <f t="shared" si="94"/>
        <v>5.7344023442269347E-2</v>
      </c>
      <c r="Q98" s="7">
        <f t="shared" si="94"/>
        <v>8.338224504768886E-2</v>
      </c>
      <c r="R98" s="7">
        <f t="shared" si="94"/>
        <v>0.1103822019395323</v>
      </c>
      <c r="S98" s="7">
        <f t="shared" si="94"/>
        <v>1.0672033174778971E-3</v>
      </c>
      <c r="T98" s="7">
        <f t="shared" si="94"/>
        <v>0.16112996368399135</v>
      </c>
      <c r="U98" s="7">
        <f t="shared" si="94"/>
        <v>0.13430882010705159</v>
      </c>
      <c r="V98" s="7">
        <f t="shared" si="94"/>
        <v>0.11419694202938074</v>
      </c>
      <c r="W98" s="7">
        <f t="shared" si="94"/>
        <v>8.8641204446648927E-2</v>
      </c>
      <c r="X98" s="7">
        <f t="shared" si="94"/>
        <v>0.12719182693715028</v>
      </c>
      <c r="Y98" s="7">
        <f t="shared" si="87"/>
        <v>0.10509444317624382</v>
      </c>
    </row>
    <row r="99" spans="1:25">
      <c r="A99" s="1" t="s">
        <v>85</v>
      </c>
      <c r="B99" s="1">
        <f>-12.868+57.071</f>
        <v>44.202999999999996</v>
      </c>
      <c r="C99" s="1">
        <f>12.8</f>
        <v>12.8</v>
      </c>
      <c r="D99" s="11">
        <f>37.8</f>
        <v>37.799999999999997</v>
      </c>
      <c r="E99" s="11">
        <v>-72.900000000000006</v>
      </c>
      <c r="F99" s="11">
        <v>-64.099999999999994</v>
      </c>
      <c r="G99" s="11">
        <v>-22.6</v>
      </c>
      <c r="H99" s="11">
        <f>0.6</f>
        <v>0.6</v>
      </c>
      <c r="I99" s="11">
        <v>8.6</v>
      </c>
      <c r="J99" s="11">
        <f>-203+0.9</f>
        <v>-202.1</v>
      </c>
      <c r="K99" s="11">
        <v>-1.7</v>
      </c>
      <c r="L99" s="7">
        <f t="shared" si="93"/>
        <v>-0.51614171879653892</v>
      </c>
      <c r="M99" s="1"/>
      <c r="N99" s="1" t="str">
        <f>A99</f>
        <v>Extraordinary Items</v>
      </c>
      <c r="O99" s="7">
        <f t="shared" si="94"/>
        <v>1.6780235590665958E-2</v>
      </c>
      <c r="P99" s="7">
        <f t="shared" si="94"/>
        <v>5.209393187090473E-3</v>
      </c>
      <c r="Q99" s="7">
        <f t="shared" si="94"/>
        <v>1.3866471019809243E-2</v>
      </c>
      <c r="R99" s="7">
        <f t="shared" si="94"/>
        <v>-2.5991158014831716E-2</v>
      </c>
      <c r="S99" s="7">
        <f t="shared" si="94"/>
        <v>-1.9545066471520912E-2</v>
      </c>
      <c r="T99" s="7">
        <f t="shared" si="94"/>
        <v>-6.7273917961540751E-3</v>
      </c>
      <c r="U99" s="7">
        <f t="shared" si="94"/>
        <v>1.7454037700721431E-4</v>
      </c>
      <c r="V99" s="7">
        <f t="shared" si="94"/>
        <v>2.3438990488130599E-3</v>
      </c>
      <c r="W99" s="7">
        <f t="shared" si="94"/>
        <v>-5.8967700522277011E-2</v>
      </c>
      <c r="X99" s="7">
        <f t="shared" si="94"/>
        <v>-4.9764351160680312E-4</v>
      </c>
      <c r="Y99" s="7">
        <f t="shared" si="87"/>
        <v>-1.3662569029243631E-2</v>
      </c>
    </row>
    <row r="100" spans="1:25">
      <c r="A100" s="1" t="s">
        <v>86</v>
      </c>
      <c r="B100" s="1">
        <f>51.823</f>
        <v>51.823</v>
      </c>
      <c r="C100" s="1">
        <f>46.8</f>
        <v>46.8</v>
      </c>
      <c r="D100" s="11">
        <f>75.6+(6)</f>
        <v>81.599999999999994</v>
      </c>
      <c r="E100" s="11">
        <v>91.2</v>
      </c>
      <c r="F100" s="11">
        <v>-52.9</v>
      </c>
      <c r="G100" s="11">
        <v>203</v>
      </c>
      <c r="H100" s="11">
        <f>255.8</f>
        <v>255.8</v>
      </c>
      <c r="I100" s="11">
        <v>139.6</v>
      </c>
      <c r="J100" s="11">
        <v>-9.3000000000000007</v>
      </c>
      <c r="K100" s="11">
        <v>145.19999999999999</v>
      </c>
      <c r="L100" s="7"/>
      <c r="M100" s="1"/>
      <c r="N100" s="1" t="str">
        <f>A100</f>
        <v>Income Taxes</v>
      </c>
      <c r="O100" s="7">
        <f t="shared" si="94"/>
        <v>1.9672921498882022E-2</v>
      </c>
      <c r="P100" s="7">
        <f t="shared" si="94"/>
        <v>1.9046843840299539E-2</v>
      </c>
      <c r="Q100" s="7">
        <f t="shared" si="94"/>
        <v>2.9933969185619955E-2</v>
      </c>
      <c r="R100" s="7">
        <f t="shared" si="94"/>
        <v>3.2515687393040504E-2</v>
      </c>
      <c r="S100" s="7">
        <f t="shared" si="94"/>
        <v>-1.6130015855592143E-2</v>
      </c>
      <c r="T100" s="7">
        <f t="shared" si="94"/>
        <v>6.0427457284038817E-2</v>
      </c>
      <c r="U100" s="7">
        <f t="shared" si="94"/>
        <v>7.441238073074237E-2</v>
      </c>
      <c r="V100" s="7">
        <f t="shared" si="94"/>
        <v>3.8047477583058507E-2</v>
      </c>
      <c r="W100" s="7">
        <f t="shared" si="94"/>
        <v>-2.713506258570887E-3</v>
      </c>
      <c r="X100" s="7">
        <f t="shared" si="94"/>
        <v>4.2504610520769301E-2</v>
      </c>
      <c r="Y100" s="7">
        <f t="shared" si="87"/>
        <v>3.3095181430951338E-2</v>
      </c>
    </row>
    <row r="101" spans="1:25">
      <c r="A101" s="1" t="s">
        <v>87</v>
      </c>
      <c r="B101" s="1">
        <f t="shared" ref="B101:G101" si="95">B98+B99-B100</f>
        <v>172.36200000000048</v>
      </c>
      <c r="C101" s="1">
        <f t="shared" si="95"/>
        <v>106.90000000000002</v>
      </c>
      <c r="D101" s="11">
        <f t="shared" si="95"/>
        <v>183.49999999999986</v>
      </c>
      <c r="E101" s="11">
        <f t="shared" si="95"/>
        <v>145.50000000000017</v>
      </c>
      <c r="F101" s="11">
        <f>F98+F99-F100</f>
        <v>-7.6999999999994841</v>
      </c>
      <c r="G101" s="11">
        <f t="shared" si="95"/>
        <v>315.7000000000005</v>
      </c>
      <c r="H101" s="11">
        <f>H98+H99-H100</f>
        <v>206.50000000000063</v>
      </c>
      <c r="I101" s="11">
        <f>I98+I99-I100</f>
        <v>288.00000000000091</v>
      </c>
      <c r="J101" s="11">
        <f t="shared" ref="J101:K101" si="96">J98+J99-J100</f>
        <v>110.99999999999984</v>
      </c>
      <c r="K101" s="11">
        <f t="shared" si="96"/>
        <v>287.599999999999</v>
      </c>
      <c r="L101" s="7"/>
      <c r="M101" s="1"/>
      <c r="N101" s="1" t="s">
        <v>87</v>
      </c>
      <c r="O101" s="7">
        <f t="shared" si="94"/>
        <v>6.5431644161671701E-2</v>
      </c>
      <c r="P101" s="7">
        <f t="shared" si="94"/>
        <v>4.3506572789060283E-2</v>
      </c>
      <c r="Q101" s="7">
        <f t="shared" si="94"/>
        <v>6.7314746881878162E-2</v>
      </c>
      <c r="R101" s="7">
        <f t="shared" si="94"/>
        <v>5.1875356531660068E-2</v>
      </c>
      <c r="S101" s="7">
        <f t="shared" si="94"/>
        <v>-2.3478472984508731E-3</v>
      </c>
      <c r="T101" s="7">
        <f t="shared" si="94"/>
        <v>9.397511460379844E-2</v>
      </c>
      <c r="U101" s="7">
        <f t="shared" si="94"/>
        <v>6.0070979753316441E-2</v>
      </c>
      <c r="V101" s="7">
        <f t="shared" si="94"/>
        <v>7.849336349513529E-2</v>
      </c>
      <c r="W101" s="7">
        <f t="shared" si="94"/>
        <v>3.2387010182942801E-2</v>
      </c>
      <c r="X101" s="7">
        <f t="shared" si="94"/>
        <v>8.4189572904774176E-2</v>
      </c>
      <c r="Y101" s="7">
        <f t="shared" si="87"/>
        <v>5.8336692716048848E-2</v>
      </c>
    </row>
    <row r="102" spans="1: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7"/>
      <c r="M103" s="1"/>
      <c r="N103" s="1" t="s">
        <v>89</v>
      </c>
      <c r="O103" s="7">
        <f t="shared" ref="O103:X104" si="97">B103/B$101</f>
        <v>0</v>
      </c>
      <c r="P103" s="7">
        <f t="shared" si="97"/>
        <v>0</v>
      </c>
      <c r="Q103" s="7">
        <f t="shared" si="97"/>
        <v>0</v>
      </c>
      <c r="R103" s="7">
        <f t="shared" si="97"/>
        <v>0</v>
      </c>
      <c r="S103" s="7">
        <f t="shared" si="97"/>
        <v>0</v>
      </c>
      <c r="T103" s="7">
        <f t="shared" si="97"/>
        <v>0</v>
      </c>
      <c r="U103" s="7">
        <f t="shared" si="97"/>
        <v>0</v>
      </c>
      <c r="V103" s="7">
        <f t="shared" si="97"/>
        <v>0</v>
      </c>
      <c r="W103" s="7">
        <f t="shared" si="97"/>
        <v>0</v>
      </c>
      <c r="X103" s="7">
        <f t="shared" si="97"/>
        <v>0</v>
      </c>
      <c r="Y103" s="7">
        <f>SUM(F103:K103)/SUM(F$101:K$101)</f>
        <v>0</v>
      </c>
    </row>
    <row r="104" spans="1:25">
      <c r="A104" s="1" t="s">
        <v>90</v>
      </c>
      <c r="B104" s="1">
        <f>2</f>
        <v>2</v>
      </c>
      <c r="C104" s="1">
        <f>2</f>
        <v>2</v>
      </c>
      <c r="D104" s="11">
        <v>101.3</v>
      </c>
      <c r="E104" s="11">
        <v>114</v>
      </c>
      <c r="F104" s="11">
        <v>121.9</v>
      </c>
      <c r="G104" s="11">
        <v>134.4</v>
      </c>
      <c r="H104" s="11">
        <v>143.19999999999999</v>
      </c>
      <c r="I104" s="11">
        <v>154.30000000000001</v>
      </c>
      <c r="J104" s="11">
        <v>165.5</v>
      </c>
      <c r="K104" s="11">
        <v>174.6</v>
      </c>
      <c r="L104" s="7">
        <f t="shared" ref="L104" si="98">RATE(5,,-F104,K104)</f>
        <v>7.4504173670433285E-2</v>
      </c>
      <c r="M104" s="1"/>
      <c r="N104" s="1" t="s">
        <v>91</v>
      </c>
      <c r="O104" s="7">
        <f t="shared" si="97"/>
        <v>1.1603485687100373E-2</v>
      </c>
      <c r="P104" s="7">
        <f t="shared" si="97"/>
        <v>1.8709073900841904E-2</v>
      </c>
      <c r="Q104" s="7">
        <f t="shared" si="97"/>
        <v>0.55204359673024561</v>
      </c>
      <c r="R104" s="7">
        <f t="shared" si="97"/>
        <v>0.78350515463917436</v>
      </c>
      <c r="S104" s="7">
        <f t="shared" si="97"/>
        <v>-15.831168831169892</v>
      </c>
      <c r="T104" s="7">
        <f t="shared" si="97"/>
        <v>0.4257206208425714</v>
      </c>
      <c r="U104" s="7">
        <f t="shared" si="97"/>
        <v>0.693462469733654</v>
      </c>
      <c r="V104" s="7">
        <f t="shared" si="97"/>
        <v>0.53576388888888726</v>
      </c>
      <c r="W104" s="7">
        <f>J104/J$101</f>
        <v>1.4909909909909931</v>
      </c>
      <c r="X104" s="7">
        <f>K104/K$101</f>
        <v>0.60709318497913978</v>
      </c>
      <c r="Y104" s="7">
        <f>SUM(F104:K104)/SUM(F$101:K$101)</f>
        <v>0.74423445175255931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Alliant Energy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99">O8</f>
        <v>2001</v>
      </c>
      <c r="C114" s="5">
        <f t="shared" si="99"/>
        <v>2002</v>
      </c>
      <c r="D114" s="5">
        <f t="shared" si="99"/>
        <v>2003</v>
      </c>
      <c r="E114" s="5">
        <f t="shared" si="99"/>
        <v>2004</v>
      </c>
      <c r="F114" s="5">
        <f t="shared" si="99"/>
        <v>2005</v>
      </c>
      <c r="G114" s="5">
        <f t="shared" si="99"/>
        <v>2006</v>
      </c>
      <c r="H114" s="5">
        <f>U8</f>
        <v>2007</v>
      </c>
      <c r="I114" s="5">
        <f>V8</f>
        <v>2008</v>
      </c>
      <c r="J114" s="5">
        <f t="shared" ref="J114:K114" si="100">W8</f>
        <v>2009</v>
      </c>
      <c r="K114" s="5">
        <f t="shared" si="100"/>
        <v>2010</v>
      </c>
      <c r="L114" s="10" t="str">
        <f>+L72</f>
        <v>Avg. Annual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>
        <f t="shared" ref="B117:G117" si="101">B15/B48</f>
        <v>1.4544815391960881</v>
      </c>
      <c r="C117" s="1">
        <f t="shared" si="101"/>
        <v>1.4750487833129884</v>
      </c>
      <c r="D117" s="1">
        <f t="shared" si="101"/>
        <v>1.1515610438024233</v>
      </c>
      <c r="E117" s="1">
        <f t="shared" si="101"/>
        <v>1.5912668944007131</v>
      </c>
      <c r="F117" s="1">
        <f t="shared" si="101"/>
        <v>1.1285199012845661</v>
      </c>
      <c r="G117" s="1">
        <f t="shared" si="101"/>
        <v>1.4205159491023183</v>
      </c>
      <c r="H117" s="1">
        <f>H15/H48</f>
        <v>1.5712913553895411</v>
      </c>
      <c r="I117" s="1">
        <f>I15/I48</f>
        <v>1.3924099402812562</v>
      </c>
      <c r="J117" s="1">
        <f>J15/J48</f>
        <v>1.2911016161991455</v>
      </c>
      <c r="K117" s="1">
        <f>K15/K48</f>
        <v>1.2607592015691704</v>
      </c>
      <c r="L117" s="12">
        <f>AVERAGE(F117:K117)</f>
        <v>1.3440996606376663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>
        <f t="shared" ref="B118:G118" si="102">(B11+B12)/B48</f>
        <v>0.38108954683540319</v>
      </c>
      <c r="C118" s="1">
        <f t="shared" si="102"/>
        <v>0.22508308756047796</v>
      </c>
      <c r="D118" s="1">
        <f t="shared" si="102"/>
        <v>0.56698508853681284</v>
      </c>
      <c r="E118" s="1">
        <f t="shared" si="102"/>
        <v>0.40182682311005502</v>
      </c>
      <c r="F118" s="1">
        <f t="shared" si="102"/>
        <v>0.38644561159273555</v>
      </c>
      <c r="G118" s="1">
        <f t="shared" si="102"/>
        <v>0.53599442217186677</v>
      </c>
      <c r="H118" s="1">
        <f>(H11+H12)/H48</f>
        <v>1.1659551760939169</v>
      </c>
      <c r="I118" s="1">
        <f>(I11+I12)/I48</f>
        <v>0.93748795993064926</v>
      </c>
      <c r="J118" s="1">
        <f>(J11+J12)/J48</f>
        <v>0.78664313579788214</v>
      </c>
      <c r="K118" s="1">
        <f>(K11+K12)/K48</f>
        <v>0.70901119187723549</v>
      </c>
      <c r="L118" s="12">
        <f t="shared" ref="L118:L119" si="103">AVERAGE(F118:K118)</f>
        <v>0.75358958291071432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>
        <f>365*(B12/B78)</f>
        <v>26.009313917159851</v>
      </c>
      <c r="C119" s="1">
        <f t="shared" ref="C119:I119" si="104">365*(((B12+C12)/2)/((B78+C78)/2))</f>
        <v>26.371709356887102</v>
      </c>
      <c r="D119" s="1">
        <f t="shared" si="104"/>
        <v>29.312392197719511</v>
      </c>
      <c r="E119" s="1">
        <f t="shared" si="104"/>
        <v>37.062269472770666</v>
      </c>
      <c r="F119" s="1">
        <f t="shared" si="104"/>
        <v>42.682515942410092</v>
      </c>
      <c r="G119" s="1">
        <f t="shared" si="104"/>
        <v>40.452929658081032</v>
      </c>
      <c r="H119" s="1">
        <f t="shared" si="104"/>
        <v>37.412902751213771</v>
      </c>
      <c r="I119" s="1">
        <f t="shared" si="104"/>
        <v>49.988672661010028</v>
      </c>
      <c r="J119" s="1">
        <f>365*((I12+J12)/2)/((I78+J78*(2))/2)</f>
        <v>45.01933730532037</v>
      </c>
      <c r="K119" s="1">
        <f>365*((J12+K12)/2)/((J78+K78*(2))/2)</f>
        <v>40.087918514547496</v>
      </c>
      <c r="L119" s="12">
        <f t="shared" si="103"/>
        <v>42.607379472097136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>
        <f t="shared" ref="B122:G122" si="105">B62/B55</f>
        <v>0.45613630867758009</v>
      </c>
      <c r="C122" s="1">
        <f t="shared" si="105"/>
        <v>0.31807444215844877</v>
      </c>
      <c r="D122" s="1">
        <f t="shared" si="105"/>
        <v>0.45756792219820941</v>
      </c>
      <c r="E122" s="1">
        <f t="shared" si="105"/>
        <v>0.46826325411334552</v>
      </c>
      <c r="F122" s="1">
        <f t="shared" si="105"/>
        <v>0.48338218982728565</v>
      </c>
      <c r="G122" s="1">
        <f t="shared" si="105"/>
        <v>0.63291955120553833</v>
      </c>
      <c r="H122" s="1">
        <f>H62/H55</f>
        <v>0.62869603958074405</v>
      </c>
      <c r="I122" s="1">
        <f>I62/I55</f>
        <v>0.54993962058353785</v>
      </c>
      <c r="J122" s="1">
        <f>J62/J55</f>
        <v>0.4611051100955546</v>
      </c>
      <c r="K122" s="1">
        <f>K62/K55</f>
        <v>0.47132741922356963</v>
      </c>
      <c r="L122" s="12">
        <f t="shared" ref="L122:L125" si="106">AVERAGE(F122:K122)</f>
        <v>0.53789498841937167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>
        <f t="shared" ref="B123:G123" si="107">B62/B53</f>
        <v>0.55712945206851994</v>
      </c>
      <c r="C123" s="1">
        <f t="shared" si="107"/>
        <v>0.39483533135319682</v>
      </c>
      <c r="D123" s="1">
        <f t="shared" si="107"/>
        <v>0.54840425531914894</v>
      </c>
      <c r="E123" s="1">
        <f t="shared" si="107"/>
        <v>0.6211863995731679</v>
      </c>
      <c r="F123" s="1">
        <f t="shared" si="107"/>
        <v>0.70361827879486805</v>
      </c>
      <c r="G123" s="1">
        <f t="shared" si="107"/>
        <v>0.87167937927406636</v>
      </c>
      <c r="H123" s="1">
        <f>H62/H53</f>
        <v>0.80572166962166047</v>
      </c>
      <c r="I123" s="1">
        <f>I62/I53</f>
        <v>0.6893310546875</v>
      </c>
      <c r="J123" s="1">
        <f>J62/J53</f>
        <v>0.56157785018923667</v>
      </c>
      <c r="K123" s="1">
        <f>K62/K53</f>
        <v>0.54874166161309879</v>
      </c>
      <c r="L123" s="12">
        <f t="shared" si="106"/>
        <v>0.69677831569673832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>
        <f t="shared" ref="B124:G124" si="108">B62/B26</f>
        <v>0.55730441598313607</v>
      </c>
      <c r="C124" s="1">
        <f t="shared" si="108"/>
        <v>0.4071419860530604</v>
      </c>
      <c r="D124" s="1">
        <f t="shared" si="108"/>
        <v>0.47391877847949476</v>
      </c>
      <c r="E124" s="1">
        <f t="shared" si="108"/>
        <v>0.54903221657771217</v>
      </c>
      <c r="F124" s="1">
        <f t="shared" si="108"/>
        <v>0.50152069376515551</v>
      </c>
      <c r="G124" s="1">
        <f t="shared" si="108"/>
        <v>0.59064783461058634</v>
      </c>
      <c r="H124" s="1">
        <f>H62/H26</f>
        <v>0.57291822474839205</v>
      </c>
      <c r="I124" s="1">
        <f>I62/I26</f>
        <v>0.52741197347529656</v>
      </c>
      <c r="J124" s="1">
        <f>J62/J26</f>
        <v>0.46873099533752277</v>
      </c>
      <c r="K124" s="1">
        <f>K62/K26</f>
        <v>0.44824223285190168</v>
      </c>
      <c r="L124" s="12">
        <f t="shared" si="106"/>
        <v>0.51824532579814253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>
        <f t="shared" ref="B125:G125" si="109">(B98+B92)/B92</f>
        <v>1.9888686211595119</v>
      </c>
      <c r="C125" s="1">
        <f t="shared" si="109"/>
        <v>1.7707877461706785</v>
      </c>
      <c r="D125" s="1">
        <f t="shared" si="109"/>
        <v>2.1082398829839097</v>
      </c>
      <c r="E125" s="1">
        <f t="shared" si="109"/>
        <v>2.7501413227812335</v>
      </c>
      <c r="F125" s="1">
        <f t="shared" si="109"/>
        <v>1.0199089874857823</v>
      </c>
      <c r="G125" s="1">
        <f t="shared" si="109"/>
        <v>4.7151681537405663</v>
      </c>
      <c r="H125" s="1">
        <f>(H98+H92)/H92</f>
        <v>4.9562982005141443</v>
      </c>
      <c r="I125" s="1">
        <f>(I98+I92)/I92</f>
        <v>4.3306836248012788</v>
      </c>
      <c r="J125" s="1">
        <f>(J98+J92)/J92</f>
        <v>2.9612653324725615</v>
      </c>
      <c r="K125" s="1">
        <f>(K98+K92)/K92</f>
        <v>3.6656441717791348</v>
      </c>
      <c r="L125" s="12">
        <f t="shared" si="106"/>
        <v>3.6081614117989109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>
        <f>(B101+(B92*(1-(B100/B98))))/((B38)/1)</f>
        <v>4.8407706891145035E-2</v>
      </c>
      <c r="C128" s="7">
        <f t="shared" ref="C128:I128" si="110">(C101+(C92*(1-(C100/C98))))/((B38+C38)/2)</f>
        <v>3.2590769856564769E-2</v>
      </c>
      <c r="D128" s="7">
        <f t="shared" si="110"/>
        <v>4.0350771789999518E-2</v>
      </c>
      <c r="E128" s="7">
        <f t="shared" si="110"/>
        <v>3.3633418464927532E-2</v>
      </c>
      <c r="F128" s="7">
        <f>(F101+(F92*(1-(F100/F98))))/((E38+F38)/2)</f>
        <v>0.35296582754833944</v>
      </c>
      <c r="G128" s="7">
        <f t="shared" si="110"/>
        <v>5.4903643794339395E-2</v>
      </c>
      <c r="H128" s="7">
        <f t="shared" si="110"/>
        <v>3.6226316711750438E-2</v>
      </c>
      <c r="I128" s="7">
        <f t="shared" si="110"/>
        <v>4.8324585812355977E-2</v>
      </c>
      <c r="J128" s="7">
        <f>(2*(J101+(J92*(1-(J100/J98)))))/((I38+J38)/2)</f>
        <v>6.2803036805730225E-2</v>
      </c>
      <c r="K128" s="7">
        <f>(2*(K101+(K92*(1-(K100/K98)))))/((J38+K38)/2)</f>
        <v>8.6496266462298396E-2</v>
      </c>
      <c r="L128" s="15">
        <f>AVERAGE(G128:K128)</f>
        <v>5.7750769917294886E-2</v>
      </c>
      <c r="M128" s="1"/>
      <c r="N128" s="1" t="s">
        <v>106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>
        <f>(B101+(B92*(1-(B100/B98))))/((B50+B57+B62)/1)</f>
        <v>6.7248962472776133E-2</v>
      </c>
      <c r="C129" s="7">
        <f t="shared" ref="C129:E129" si="111">(C101+(C92*(1-(C100/C98))))/((B50+C50+B57+C57+B62+C62)/2)</f>
        <v>5.0098590159899384E-2</v>
      </c>
      <c r="D129" s="7">
        <f t="shared" si="111"/>
        <v>6.7090091616000727E-2</v>
      </c>
      <c r="E129" s="7">
        <f t="shared" si="111"/>
        <v>5.4976085117587781E-2</v>
      </c>
      <c r="F129" s="7">
        <f t="shared" ref="F129:J129" si="112">(F101+(F92*(1-(F100/F98))))/((E42+F42+E50+F50+E57+F57+E62+F62)/2)</f>
        <v>0.56834034310766368</v>
      </c>
      <c r="G129" s="7">
        <f t="shared" si="112"/>
        <v>8.877521015621094E-2</v>
      </c>
      <c r="H129" s="7">
        <f t="shared" si="112"/>
        <v>5.82134959899335E-2</v>
      </c>
      <c r="I129" s="7">
        <f t="shared" si="112"/>
        <v>7.8943424169475807E-2</v>
      </c>
      <c r="J129" s="7">
        <f t="shared" si="112"/>
        <v>5.1666460503926634E-2</v>
      </c>
      <c r="K129" s="7">
        <f>(K101+(K92*(1-(K100/K98))))/((J42+K42+J50+K50+J57+K57+J62+K62)/2)</f>
        <v>6.9688284208090617E-2</v>
      </c>
      <c r="L129" s="15">
        <f t="shared" ref="L129:L130" si="113">AVERAGE(G129:K129)</f>
        <v>6.9457375005527511E-2</v>
      </c>
      <c r="M129" s="1"/>
      <c r="N129" s="1" t="s">
        <v>106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>
        <f>(B101-B103)/((B62)/1)</f>
        <v>8.9849510592746804E-2</v>
      </c>
      <c r="C130" s="7">
        <f t="shared" ref="C130:I130" si="114">(C101-C103)/((C62+B62)/2)</f>
        <v>5.6944529156904032E-2</v>
      </c>
      <c r="D130" s="7">
        <f t="shared" si="114"/>
        <v>8.7225400416875556E-2</v>
      </c>
      <c r="E130" s="7">
        <f t="shared" si="114"/>
        <v>5.8994060048249496E-2</v>
      </c>
      <c r="F130" s="7">
        <f>(F101-F103)/((F62+E62)/2)</f>
        <v>-3.0788300445828524E-3</v>
      </c>
      <c r="G130" s="7">
        <f t="shared" si="114"/>
        <v>0.12400329942260124</v>
      </c>
      <c r="H130" s="7">
        <f>(H101-H103)/((H62+G62)/2)</f>
        <v>7.7449601500234652E-2</v>
      </c>
      <c r="I130" s="7">
        <f t="shared" si="114"/>
        <v>0.1046378549239744</v>
      </c>
      <c r="J130" s="7">
        <f>(J101-J103)/((J62+I62)/2)*2</f>
        <v>7.9311207173734299E-2</v>
      </c>
      <c r="K130" s="7">
        <f>(K101-K103)/((K62+J62)/2)</f>
        <v>0.10144084087261664</v>
      </c>
      <c r="L130" s="15">
        <f t="shared" si="113"/>
        <v>9.7368560778632249E-2</v>
      </c>
      <c r="M130" s="1"/>
      <c r="N130" s="1" t="s">
        <v>106</v>
      </c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>
        <f>B78/B11</f>
        <v>25.619571877340238</v>
      </c>
      <c r="C133" s="1">
        <f t="shared" ref="C133:G133" si="115">C78/((B11+C11)/2)</f>
        <v>28.034685378515604</v>
      </c>
      <c r="D133" s="1">
        <f t="shared" si="115"/>
        <v>16.875651950512118</v>
      </c>
      <c r="E133" s="1">
        <f t="shared" si="115"/>
        <v>12.032604032604032</v>
      </c>
      <c r="F133" s="1">
        <f t="shared" si="115"/>
        <v>14.897115602997957</v>
      </c>
      <c r="G133" s="1">
        <f t="shared" si="115"/>
        <v>13.714635639926517</v>
      </c>
      <c r="H133" s="1">
        <f t="shared" ref="H133" si="116">H78/((G11+H11)/2)</f>
        <v>6.8017411950929967</v>
      </c>
      <c r="I133" s="1">
        <f t="shared" ref="I133" si="117">I78/((H11+I11)/2)</f>
        <v>6.7168878718535474</v>
      </c>
      <c r="J133" s="1">
        <f t="shared" ref="J133" si="118">J78/((I11+J11)/2)</f>
        <v>13.126388356951358</v>
      </c>
      <c r="K133" s="1">
        <f t="shared" ref="K133" si="119">K78/((J11+K11)/2)</f>
        <v>20.419007770472202</v>
      </c>
      <c r="L133" s="12">
        <f t="shared" ref="L133:L137" si="120">AVERAGE(F133:K133)</f>
        <v>12.612629406215762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>
        <f>B78/B12</f>
        <v>14.033434375183129</v>
      </c>
      <c r="C134" s="1">
        <f t="shared" ref="C134:G134" si="121">C78/((B12+C12)/2)</f>
        <v>13.359068111076374</v>
      </c>
      <c r="D134" s="1">
        <f t="shared" si="121"/>
        <v>13.098086699147615</v>
      </c>
      <c r="E134" s="1">
        <f t="shared" si="121"/>
        <v>9.9886039886039892</v>
      </c>
      <c r="F134" s="1">
        <f t="shared" si="121"/>
        <v>9.218833450456783</v>
      </c>
      <c r="G134" s="1">
        <f t="shared" si="121"/>
        <v>9.1312856754552882</v>
      </c>
      <c r="H134" s="1">
        <f t="shared" ref="H134" si="122">H78/((G12+H12)/2)</f>
        <v>9.8682359695708346</v>
      </c>
      <c r="I134" s="1">
        <f t="shared" ref="I134" si="123">I78/((H12+I12)/2)</f>
        <v>7.5395047775608752</v>
      </c>
      <c r="J134" s="1">
        <f t="shared" ref="J134" si="124">J78/((I12+J12)/2)</f>
        <v>5.280893682588597</v>
      </c>
      <c r="K134" s="1">
        <f t="shared" ref="K134" si="125">K78/((J12+K12)/2)</f>
        <v>6.0633652822151216</v>
      </c>
      <c r="L134" s="12">
        <f t="shared" si="120"/>
        <v>7.8503531396412507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>
        <f>B78/(B15-B48)</f>
        <v>7.6027464471663899</v>
      </c>
      <c r="C135" s="1">
        <f t="shared" ref="C135:G135" si="126">C78/((B15+C15-B48-C48)/2)</f>
        <v>5.5866290147288185</v>
      </c>
      <c r="D135" s="1">
        <f t="shared" si="126"/>
        <v>8.2201033694583643</v>
      </c>
      <c r="E135" s="1">
        <f t="shared" si="126"/>
        <v>6.0559214077512644</v>
      </c>
      <c r="F135" s="1">
        <f t="shared" si="126"/>
        <v>6.5637946562593807</v>
      </c>
      <c r="G135" s="1">
        <f t="shared" si="126"/>
        <v>9.7998833138856494</v>
      </c>
      <c r="H135" s="1">
        <f t="shared" ref="H135" si="127">H78/((G15+H15-G48-H48)/2)</f>
        <v>6.7549616820593466</v>
      </c>
      <c r="I135" s="1">
        <f t="shared" ref="I135" si="128">I78/((H15+I15-H48-I48)/2)</f>
        <v>7.7842367667338497</v>
      </c>
      <c r="J135" s="1">
        <f t="shared" ref="J135" si="129">J78/((I15+J15-I48-J48)/2)</f>
        <v>9.5097114317425024</v>
      </c>
      <c r="K135" s="1">
        <f t="shared" ref="K135" si="130">K78/((J15+K15-J48-K48)/2)</f>
        <v>12.666295884315907</v>
      </c>
      <c r="L135" s="12">
        <f t="shared" si="120"/>
        <v>8.8464806224994401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>
        <f>B78/(B26)</f>
        <v>0.76528000585675693</v>
      </c>
      <c r="C136" s="1">
        <f t="shared" ref="C136:G136" si="131">C78/((B26+C26)/2)</f>
        <v>0.61797295013359932</v>
      </c>
      <c r="D136" s="1">
        <f t="shared" si="131"/>
        <v>0.57307734757267259</v>
      </c>
      <c r="E136" s="1">
        <f t="shared" si="131"/>
        <v>0.58016940913650994</v>
      </c>
      <c r="F136" s="1">
        <f t="shared" si="131"/>
        <v>0.68816031054923155</v>
      </c>
      <c r="G136" s="1">
        <f t="shared" si="131"/>
        <v>0.7182041688936398</v>
      </c>
      <c r="H136" s="1">
        <f t="shared" ref="H136" si="132">H78/((G26+H26)/2)</f>
        <v>0.74985548660115398</v>
      </c>
      <c r="I136" s="1">
        <f t="shared" ref="I136" si="133">I78/((H26+I26)/2)</f>
        <v>0.7313772001514941</v>
      </c>
      <c r="J136" s="1">
        <f t="shared" ref="J136" si="134">J78/((I26+J26)/2)</f>
        <v>0.60804924998447629</v>
      </c>
      <c r="K136" s="1">
        <f t="shared" ref="K136" si="135">K78/((J26+K26)/2)</f>
        <v>0.55189628014055481</v>
      </c>
      <c r="L136" s="12">
        <f t="shared" si="120"/>
        <v>0.67459044938675838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>
        <f>B78/B38</f>
        <v>0.42229266943735294</v>
      </c>
      <c r="C137" s="1">
        <f t="shared" ref="C137:G137" si="136">C78/((B38+C38)/2)</f>
        <v>0.34971511902675262</v>
      </c>
      <c r="D137" s="1">
        <f t="shared" si="136"/>
        <v>0.34922785541813051</v>
      </c>
      <c r="E137" s="1">
        <f t="shared" si="136"/>
        <v>0.34901416687924247</v>
      </c>
      <c r="F137" s="1">
        <f t="shared" si="136"/>
        <v>0.40973744869848772</v>
      </c>
      <c r="G137" s="1">
        <f t="shared" si="136"/>
        <v>0.45344599519477363</v>
      </c>
      <c r="H137" s="1">
        <f t="shared" ref="H137" si="137">H78/((G38+H38)/2)</f>
        <v>0.48166570920147411</v>
      </c>
      <c r="I137" s="1">
        <f t="shared" ref="I137" si="138">I78/((H38+I38)/2)</f>
        <v>0.47677893861427312</v>
      </c>
      <c r="J137" s="1">
        <f t="shared" ref="J137" si="139">J78/((I38+J38)/2)</f>
        <v>0.39765627266134879</v>
      </c>
      <c r="K137" s="1">
        <f t="shared" ref="K137" si="140">K78/((J38+K38)/2)</f>
        <v>0.37295907505363307</v>
      </c>
      <c r="L137" s="12">
        <f t="shared" si="120"/>
        <v>0.43204057323733175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>
        <f t="shared" ref="B145:K145" si="141">(B$42+B$50)/(B$42+B$50+B$57+B$62)</f>
        <v>0.54845346577374698</v>
      </c>
      <c r="C145" s="7">
        <f t="shared" si="141"/>
        <v>0.56547331036154902</v>
      </c>
      <c r="D145" s="7">
        <f t="shared" si="141"/>
        <v>0.45606007030388751</v>
      </c>
      <c r="E145" s="7">
        <f>(E$42+E$50)/(E$42+E$50+E$57+E$62)</f>
        <v>0.45961356937835912</v>
      </c>
      <c r="F145" s="7">
        <f t="shared" si="141"/>
        <v>0.4349793718952597</v>
      </c>
      <c r="G145" s="7">
        <f>(G$42+G$50)/(G$42+G$50+G$57+G$62)</f>
        <v>0.34396102424654429</v>
      </c>
      <c r="H145" s="7">
        <f t="shared" si="141"/>
        <v>0.34557902273134061</v>
      </c>
      <c r="I145" s="7">
        <f t="shared" si="141"/>
        <v>0.38059369951534733</v>
      </c>
      <c r="J145" s="7">
        <f t="shared" si="141"/>
        <v>0.4536157118291248</v>
      </c>
      <c r="K145" s="7">
        <f t="shared" si="141"/>
        <v>0.46280864461593746</v>
      </c>
      <c r="L145" s="15">
        <f>AVERAGE(F145:K145)</f>
        <v>0.40358957913892574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>
        <f t="shared" ref="B146:K146" si="142">B$57/(B$42+B$50+B$57+B$62)</f>
        <v>2.5318719739705085E-2</v>
      </c>
      <c r="C146" s="7">
        <f t="shared" si="142"/>
        <v>4.365227953483946E-2</v>
      </c>
      <c r="D146" s="7">
        <f t="shared" si="142"/>
        <v>5.0710318863489812E-2</v>
      </c>
      <c r="E146" s="7">
        <f t="shared" si="142"/>
        <v>4.6964997784669914E-2</v>
      </c>
      <c r="F146" s="7">
        <f t="shared" si="142"/>
        <v>5.1317672812999919E-2</v>
      </c>
      <c r="G146" s="7">
        <f>G$57/(G$42+G$50+G$57+G$62)</f>
        <v>5.5245864491275776E-2</v>
      </c>
      <c r="H146" s="7">
        <f t="shared" si="142"/>
        <v>5.454626812242707E-2</v>
      </c>
      <c r="I146" s="7">
        <f t="shared" si="142"/>
        <v>4.9232633279483039E-2</v>
      </c>
      <c r="J146" s="7">
        <f t="shared" si="142"/>
        <v>4.4130690560231695E-2</v>
      </c>
      <c r="K146" s="7">
        <f t="shared" si="142"/>
        <v>4.1717287520747423E-2</v>
      </c>
      <c r="L146" s="15">
        <f t="shared" ref="L146:L148" si="143">AVERAGE(F146:K146)</f>
        <v>4.936506946452749E-2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>
        <f t="shared" ref="B147:K147" si="144">B$62/(B$42+B$50+B$57+B$62)</f>
        <v>0.42622781448654784</v>
      </c>
      <c r="C147" s="16">
        <f t="shared" si="144"/>
        <v>0.39087441010361146</v>
      </c>
      <c r="D147" s="164">
        <f t="shared" si="144"/>
        <v>0.49322961083262262</v>
      </c>
      <c r="E147" s="164">
        <f t="shared" si="144"/>
        <v>0.49342143283697093</v>
      </c>
      <c r="F147" s="164">
        <f t="shared" si="144"/>
        <v>0.51370295529174037</v>
      </c>
      <c r="G147" s="164">
        <f>G$62/(G$42+G$50+G$57+G$62)</f>
        <v>0.60079311126217994</v>
      </c>
      <c r="H147" s="164">
        <f t="shared" si="144"/>
        <v>0.59987470914623231</v>
      </c>
      <c r="I147" s="164">
        <f t="shared" si="144"/>
        <v>0.5701736672051696</v>
      </c>
      <c r="J147" s="164">
        <f t="shared" si="144"/>
        <v>0.50225359761064348</v>
      </c>
      <c r="K147" s="164">
        <f t="shared" si="144"/>
        <v>0.4954740678633151</v>
      </c>
      <c r="L147" s="163">
        <f t="shared" si="143"/>
        <v>0.54704535139654686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>
        <f>SUM(B145:B147)</f>
        <v>1</v>
      </c>
      <c r="C148" s="7">
        <f t="shared" ref="C148:J148" si="145">SUM(C145:C147)</f>
        <v>0.99999999999999989</v>
      </c>
      <c r="D148" s="7">
        <f t="shared" si="145"/>
        <v>1</v>
      </c>
      <c r="E148" s="7">
        <f t="shared" si="145"/>
        <v>1</v>
      </c>
      <c r="F148" s="7">
        <f t="shared" si="145"/>
        <v>1</v>
      </c>
      <c r="G148" s="7">
        <f t="shared" si="145"/>
        <v>1</v>
      </c>
      <c r="H148" s="7">
        <f t="shared" si="145"/>
        <v>1</v>
      </c>
      <c r="I148" s="7">
        <f t="shared" si="145"/>
        <v>1</v>
      </c>
      <c r="J148" s="7">
        <f t="shared" si="145"/>
        <v>1</v>
      </c>
      <c r="K148" s="7">
        <f t="shared" ref="K148" si="146">SUM(K145:K147)</f>
        <v>1</v>
      </c>
      <c r="L148" s="15">
        <f t="shared" si="143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>
        <f t="shared" ref="B151:K151" si="147">B$43/(B$43+B$42+B$50+B$57+B$62)</f>
        <v>4.4133987802609215E-2</v>
      </c>
      <c r="C151" s="7">
        <f t="shared" si="147"/>
        <v>7.1972205276682896E-2</v>
      </c>
      <c r="D151" s="7">
        <f t="shared" si="147"/>
        <v>3.6880483993749741E-2</v>
      </c>
      <c r="E151" s="7">
        <f t="shared" si="147"/>
        <v>2.2980501392757657E-2</v>
      </c>
      <c r="F151" s="7">
        <f t="shared" si="147"/>
        <v>5.9787448791782945E-2</v>
      </c>
      <c r="G151" s="7">
        <f>G$43/(G$43+G$42+G$50+G$57+G$62)</f>
        <v>3.8938978178492095E-2</v>
      </c>
      <c r="H151" s="7">
        <f t="shared" si="147"/>
        <v>2.4296535615272109E-2</v>
      </c>
      <c r="I151" s="7">
        <f t="shared" si="147"/>
        <v>1.7089775907584207E-2</v>
      </c>
      <c r="J151" s="7">
        <f t="shared" si="147"/>
        <v>3.324875317175606E-2</v>
      </c>
      <c r="K151" s="7">
        <f t="shared" si="147"/>
        <v>8.0454892641941781E-3</v>
      </c>
      <c r="L151" s="15">
        <f t="shared" ref="L151:L155" si="148">AVERAGE(F151:K151)</f>
        <v>3.0234496821513596E-2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>
        <f t="shared" ref="B152:K152" si="149">(B$42+B$50)/(B$43+B$42+B$50+B$57+B$62)</f>
        <v>0.52424802720498964</v>
      </c>
      <c r="C152" s="7">
        <f t="shared" si="149"/>
        <v>0.52477494918972212</v>
      </c>
      <c r="D152" s="7">
        <f t="shared" si="149"/>
        <v>0.43924035418085661</v>
      </c>
      <c r="E152" s="7">
        <f t="shared" si="149"/>
        <v>0.44905141910712937</v>
      </c>
      <c r="F152" s="7">
        <f t="shared" si="149"/>
        <v>0.40897306497259001</v>
      </c>
      <c r="G152" s="7">
        <f>(G$42+G$50)/(G$43+G$42+G$50+G$57+G$62)</f>
        <v>0.33056753342915629</v>
      </c>
      <c r="H152" s="7">
        <f t="shared" si="149"/>
        <v>0.33718264969765765</v>
      </c>
      <c r="I152" s="7">
        <f t="shared" si="149"/>
        <v>0.37408943847879161</v>
      </c>
      <c r="J152" s="7">
        <f t="shared" si="149"/>
        <v>0.43853355499168784</v>
      </c>
      <c r="K152" s="7">
        <f t="shared" si="149"/>
        <v>0.45908512263430368</v>
      </c>
      <c r="L152" s="15">
        <f t="shared" si="148"/>
        <v>0.39140522736736449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>
        <f t="shared" ref="B153:K153" si="150">B$57/(B$43+B$42+B$50+B$57+B$62)</f>
        <v>2.4201303671535262E-2</v>
      </c>
      <c r="C153" s="7">
        <f t="shared" si="150"/>
        <v>4.0510528711362848E-2</v>
      </c>
      <c r="D153" s="7">
        <f t="shared" si="150"/>
        <v>4.8840097760326925E-2</v>
      </c>
      <c r="E153" s="7">
        <f t="shared" si="150"/>
        <v>4.5885718587668448E-2</v>
      </c>
      <c r="F153" s="7">
        <f t="shared" si="150"/>
        <v>4.8249520077579218E-2</v>
      </c>
      <c r="G153" s="7">
        <f>G$57/(G$43+G$42+G$50+G$57+G$62)</f>
        <v>5.3094646979398058E-2</v>
      </c>
      <c r="H153" s="7">
        <f t="shared" si="150"/>
        <v>5.3220982776310335E-2</v>
      </c>
      <c r="I153" s="7">
        <f t="shared" si="150"/>
        <v>4.8391258609396401E-2</v>
      </c>
      <c r="J153" s="7">
        <f t="shared" si="150"/>
        <v>4.2663400122495407E-2</v>
      </c>
      <c r="K153" s="7">
        <f t="shared" si="150"/>
        <v>4.1381651531867944E-2</v>
      </c>
      <c r="L153" s="15">
        <f t="shared" si="148"/>
        <v>4.7833576682841238E-2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>
        <f t="shared" ref="B154:K154" si="151">B$62/(B$43+B$42+B$50+B$57+B$62)</f>
        <v>0.40741668132086578</v>
      </c>
      <c r="C154" s="16">
        <f t="shared" si="151"/>
        <v>0.36274231682223196</v>
      </c>
      <c r="D154" s="164">
        <f t="shared" si="151"/>
        <v>0.47503906406506663</v>
      </c>
      <c r="E154" s="164">
        <f t="shared" si="151"/>
        <v>0.48208236091244444</v>
      </c>
      <c r="F154" s="164">
        <f t="shared" si="151"/>
        <v>0.4829899661580479</v>
      </c>
      <c r="G154" s="164">
        <f>G$62/(G$43+G$42+G$50+G$57+G$62)</f>
        <v>0.5773988414129535</v>
      </c>
      <c r="H154" s="164">
        <f t="shared" si="151"/>
        <v>0.58529983191075985</v>
      </c>
      <c r="I154" s="164">
        <f t="shared" si="151"/>
        <v>0.56042952700422777</v>
      </c>
      <c r="J154" s="164">
        <f t="shared" si="151"/>
        <v>0.48555429171406067</v>
      </c>
      <c r="K154" s="164">
        <f t="shared" si="151"/>
        <v>0.49148773656963418</v>
      </c>
      <c r="L154" s="163">
        <f t="shared" si="148"/>
        <v>0.53052669912828065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>
        <f>SUM(B151:B154)</f>
        <v>1</v>
      </c>
      <c r="C155" s="7">
        <f t="shared" ref="C155:J155" si="152">SUM(C151:C154)</f>
        <v>0.99999999999999978</v>
      </c>
      <c r="D155" s="7">
        <f t="shared" si="152"/>
        <v>1</v>
      </c>
      <c r="E155" s="7">
        <f t="shared" si="152"/>
        <v>1</v>
      </c>
      <c r="F155" s="7">
        <f t="shared" si="152"/>
        <v>1</v>
      </c>
      <c r="G155" s="7">
        <f t="shared" si="152"/>
        <v>0.99999999999999989</v>
      </c>
      <c r="H155" s="7">
        <f t="shared" si="152"/>
        <v>1</v>
      </c>
      <c r="I155" s="7">
        <f t="shared" si="152"/>
        <v>1</v>
      </c>
      <c r="J155" s="7">
        <f t="shared" si="152"/>
        <v>1</v>
      </c>
      <c r="K155" s="7">
        <f t="shared" ref="K155" si="153">SUM(K151:K154)</f>
        <v>1</v>
      </c>
      <c r="L155" s="15">
        <f t="shared" si="148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</sheetData>
  <pageMargins left="0.7" right="0.7" top="0.75" bottom="0.75" header="0.3" footer="0.3"/>
  <pageSetup scale="30" orientation="portrait" r:id="rId1"/>
  <rowBreaks count="3" manualBreakCount="3">
    <brk id="63" max="16383" man="1"/>
    <brk id="104" max="16383" man="1"/>
    <brk id="105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61"/>
  <sheetViews>
    <sheetView topLeftCell="A67" workbookViewId="0">
      <pane xSplit="1" topLeftCell="K1" activePane="topRight" state="frozen"/>
      <selection pane="topRight" activeCell="Y73" sqref="Y73"/>
    </sheetView>
  </sheetViews>
  <sheetFormatPr defaultRowHeight="15"/>
  <cols>
    <col min="1" max="1" width="26.7109375" customWidth="1"/>
    <col min="2" max="3" width="9.140625" hidden="1" customWidth="1"/>
    <col min="4" max="5" width="10.7109375" hidden="1" customWidth="1"/>
    <col min="6" max="11" width="10.7109375" customWidth="1"/>
    <col min="12" max="12" width="11" customWidth="1"/>
    <col min="13" max="13" width="8.42578125" customWidth="1"/>
    <col min="14" max="14" width="32.28515625" bestFit="1" customWidth="1"/>
    <col min="15" max="16" width="9.140625" hidden="1" customWidth="1"/>
    <col min="17" max="18" width="9.7109375" hidden="1" customWidth="1"/>
    <col min="19" max="23" width="9.7109375" customWidth="1"/>
    <col min="24" max="24" width="10.7109375" customWidth="1"/>
    <col min="25" max="25" width="11.855468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2" t="s">
        <v>124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DTE Energy Co.</v>
      </c>
      <c r="O3" s="2"/>
      <c r="P3" s="2"/>
      <c r="Q3" s="2"/>
      <c r="R3" s="2"/>
      <c r="S3" s="2"/>
      <c r="T3" s="2"/>
      <c r="U3" s="2"/>
      <c r="V3" s="2"/>
      <c r="W3" s="2"/>
      <c r="X3" s="2"/>
      <c r="Y3" s="10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10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10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10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"/>
      <c r="C11" s="22">
        <f>133    +237</f>
        <v>370</v>
      </c>
      <c r="D11" s="137">
        <f>54   +131</f>
        <v>185</v>
      </c>
      <c r="E11" s="137">
        <f>56   +126</f>
        <v>182</v>
      </c>
      <c r="F11" s="137">
        <f>88+122</f>
        <v>210</v>
      </c>
      <c r="G11" s="137">
        <f>147+146</f>
        <v>293</v>
      </c>
      <c r="H11" s="137">
        <f>123+140</f>
        <v>263</v>
      </c>
      <c r="I11" s="11">
        <f>86+86</f>
        <v>172</v>
      </c>
      <c r="J11" s="11">
        <f>52+84</f>
        <v>136</v>
      </c>
      <c r="K11" s="11">
        <f>65+120</f>
        <v>185</v>
      </c>
      <c r="L11" s="7">
        <f>RATE(5,,-F11,K11)</f>
        <v>-2.5031719298969753E-2</v>
      </c>
      <c r="M11" s="1"/>
      <c r="N11" s="1" t="str">
        <f>A11</f>
        <v>Cash &amp; Equivalents</v>
      </c>
      <c r="O11" s="7" t="e">
        <f t="shared" ref="O11:X15" si="2">B11/B$38</f>
        <v>#DIV/0!</v>
      </c>
      <c r="P11" s="7">
        <f t="shared" si="2"/>
        <v>1.8513885414060547E-2</v>
      </c>
      <c r="Q11" s="7">
        <f t="shared" si="2"/>
        <v>8.9143738254710159E-3</v>
      </c>
      <c r="R11" s="7">
        <f t="shared" si="2"/>
        <v>8.5458045734140963E-3</v>
      </c>
      <c r="S11" s="7">
        <f t="shared" si="2"/>
        <v>8.99935718877223E-3</v>
      </c>
      <c r="T11" s="7">
        <f t="shared" si="2"/>
        <v>1.2318688248896363E-2</v>
      </c>
      <c r="U11" s="7">
        <f t="shared" si="2"/>
        <v>1.1077415550501221E-2</v>
      </c>
      <c r="V11" s="7">
        <f t="shared" si="2"/>
        <v>6.9947132980886541E-3</v>
      </c>
      <c r="W11" s="7">
        <f t="shared" si="2"/>
        <v>5.6209960735689188E-3</v>
      </c>
      <c r="X11" s="7">
        <f t="shared" si="2"/>
        <v>7.430912596401028E-3</v>
      </c>
      <c r="Y11" s="7">
        <f>SUM(F11:K11)/SUM(F$38:K$38)</f>
        <v>8.7102108023218005E-3</v>
      </c>
    </row>
    <row r="12" spans="1:26">
      <c r="A12" s="1" t="s">
        <v>13</v>
      </c>
      <c r="B12" s="1"/>
      <c r="C12" s="22">
        <f>902    +296    +237</f>
        <v>1435</v>
      </c>
      <c r="D12" s="137">
        <f>877+316+338</f>
        <v>1531</v>
      </c>
      <c r="E12" s="137">
        <f>865+378+44+354</f>
        <v>1641</v>
      </c>
      <c r="F12" s="137">
        <f>1746+286+363</f>
        <v>2395</v>
      </c>
      <c r="G12" s="137">
        <f>1427+68+442</f>
        <v>1937</v>
      </c>
      <c r="H12" s="137">
        <f>1658+514</f>
        <v>2172</v>
      </c>
      <c r="I12" s="11">
        <f>1666+166</f>
        <v>1832</v>
      </c>
      <c r="J12" s="11">
        <f>1438+217</f>
        <v>1655</v>
      </c>
      <c r="K12" s="11">
        <f>1393+402</f>
        <v>1795</v>
      </c>
      <c r="L12" s="7">
        <f t="shared" ref="L12:L15" si="3">RATE(5,,-F12,K12)</f>
        <v>-5.604392230376079E-2</v>
      </c>
      <c r="M12" s="1"/>
      <c r="N12" s="1" t="str">
        <f>A12</f>
        <v>Accounts Receivable</v>
      </c>
      <c r="O12" s="7" t="e">
        <f t="shared" si="2"/>
        <v>#DIV/0!</v>
      </c>
      <c r="P12" s="7">
        <f t="shared" si="2"/>
        <v>7.1803852889667244E-2</v>
      </c>
      <c r="Q12" s="7">
        <f t="shared" si="2"/>
        <v>7.3772466631330413E-2</v>
      </c>
      <c r="R12" s="7">
        <f t="shared" si="2"/>
        <v>7.7053106071277647E-2</v>
      </c>
      <c r="S12" s="7">
        <f t="shared" si="2"/>
        <v>0.10263552603385473</v>
      </c>
      <c r="T12" s="7">
        <f t="shared" si="2"/>
        <v>8.1437881017447977E-2</v>
      </c>
      <c r="U12" s="7">
        <f t="shared" si="2"/>
        <v>9.1483447055850389E-2</v>
      </c>
      <c r="V12" s="7">
        <f t="shared" si="2"/>
        <v>7.4501830012200079E-2</v>
      </c>
      <c r="W12" s="7">
        <f t="shared" si="2"/>
        <v>6.840256251291589E-2</v>
      </c>
      <c r="X12" s="7">
        <f t="shared" si="2"/>
        <v>7.2099935732647821E-2</v>
      </c>
      <c r="Y12" s="7">
        <f t="shared" ref="Y12:Y15" si="4">SUM(F12:K12)/SUM(F$38:K$38)</f>
        <v>8.1539749417128465E-2</v>
      </c>
      <c r="Z12" s="189"/>
    </row>
    <row r="13" spans="1:26">
      <c r="A13" s="1" t="s">
        <v>14</v>
      </c>
      <c r="B13" s="6"/>
      <c r="C13" s="22">
        <f>413    +163</f>
        <v>576</v>
      </c>
      <c r="D13" s="137">
        <f>467    +162</f>
        <v>629</v>
      </c>
      <c r="E13" s="137">
        <f>509   +159</f>
        <v>668</v>
      </c>
      <c r="F13" s="137">
        <f>186+522    +146</f>
        <v>854</v>
      </c>
      <c r="G13" s="137">
        <f>562+153</f>
        <v>715</v>
      </c>
      <c r="H13" s="137">
        <f>429+204</f>
        <v>633</v>
      </c>
      <c r="I13" s="11">
        <f>333+206</f>
        <v>539</v>
      </c>
      <c r="J13" s="11">
        <v>509</v>
      </c>
      <c r="K13" s="11">
        <v>662</v>
      </c>
      <c r="L13" s="7">
        <f t="shared" si="3"/>
        <v>-4.9657779898639384E-2</v>
      </c>
      <c r="M13" s="1"/>
      <c r="N13" s="1" t="str">
        <f>A13</f>
        <v>Material, Supplies, Fuel</v>
      </c>
      <c r="O13" s="7" t="e">
        <f t="shared" si="2"/>
        <v>#DIV/0!</v>
      </c>
      <c r="P13" s="7">
        <f t="shared" si="2"/>
        <v>2.8821616212159118E-2</v>
      </c>
      <c r="Q13" s="7">
        <f t="shared" si="2"/>
        <v>3.0308871006601457E-2</v>
      </c>
      <c r="R13" s="7">
        <f t="shared" si="2"/>
        <v>3.1365920082640747E-2</v>
      </c>
      <c r="S13" s="7">
        <f t="shared" si="2"/>
        <v>3.6597385901007071E-2</v>
      </c>
      <c r="T13" s="7">
        <f t="shared" si="2"/>
        <v>3.0060962791675427E-2</v>
      </c>
      <c r="U13" s="7">
        <f t="shared" si="2"/>
        <v>2.6661612332575184E-2</v>
      </c>
      <c r="V13" s="7">
        <f t="shared" si="2"/>
        <v>2.1919479463196421E-2</v>
      </c>
      <c r="W13" s="7">
        <f t="shared" si="2"/>
        <v>2.1037404422401321E-2</v>
      </c>
      <c r="X13" s="7">
        <f t="shared" si="2"/>
        <v>2.6590616966580976E-2</v>
      </c>
      <c r="Y13" s="7">
        <f t="shared" si="4"/>
        <v>2.7064610531122225E-2</v>
      </c>
      <c r="Z13" s="189"/>
    </row>
    <row r="14" spans="1:26">
      <c r="A14" s="1" t="s">
        <v>15</v>
      </c>
      <c r="B14" s="6"/>
      <c r="C14" s="22">
        <f>224    +159</f>
        <v>383</v>
      </c>
      <c r="D14" s="137">
        <f>186    +181</f>
        <v>367</v>
      </c>
      <c r="E14" s="137">
        <f>94    +296    +115</f>
        <v>505</v>
      </c>
      <c r="F14" s="137">
        <f>257   +806+160</f>
        <v>1223</v>
      </c>
      <c r="G14" s="137">
        <f>117+245+461+193</f>
        <v>1016</v>
      </c>
      <c r="H14" s="137">
        <f>76+387+181+196+83</f>
        <v>923</v>
      </c>
      <c r="I14" s="11">
        <f>22+227+316+220</f>
        <v>785</v>
      </c>
      <c r="J14" s="11">
        <f>167+209+201</f>
        <v>577</v>
      </c>
      <c r="K14" s="170">
        <f>139+131+255</f>
        <v>525</v>
      </c>
      <c r="L14" s="7">
        <f t="shared" si="3"/>
        <v>-0.15560321851774567</v>
      </c>
      <c r="M14" s="1"/>
      <c r="N14" s="1" t="str">
        <f>A14</f>
        <v>Other Current Assets</v>
      </c>
      <c r="O14" s="7" t="e">
        <f t="shared" si="2"/>
        <v>#DIV/0!</v>
      </c>
      <c r="P14" s="7">
        <f t="shared" si="2"/>
        <v>1.916437327995997E-2</v>
      </c>
      <c r="Q14" s="7">
        <f t="shared" si="2"/>
        <v>1.7684190237556015E-2</v>
      </c>
      <c r="R14" s="7">
        <f t="shared" si="2"/>
        <v>2.3712259942714937E-2</v>
      </c>
      <c r="S14" s="7">
        <f t="shared" si="2"/>
        <v>5.241054210413542E-2</v>
      </c>
      <c r="T14" s="7">
        <f t="shared" si="2"/>
        <v>4.2715997477401721E-2</v>
      </c>
      <c r="U14" s="7">
        <f t="shared" si="2"/>
        <v>3.887625305366018E-2</v>
      </c>
      <c r="V14" s="7">
        <f t="shared" si="2"/>
        <v>3.1923546156974382E-2</v>
      </c>
      <c r="W14" s="7">
        <f t="shared" si="2"/>
        <v>2.3847902459185784E-2</v>
      </c>
      <c r="X14" s="7">
        <f t="shared" si="2"/>
        <v>2.1087724935732646E-2</v>
      </c>
      <c r="Y14" s="7">
        <f t="shared" si="4"/>
        <v>3.4930781843465264E-2</v>
      </c>
      <c r="Z14" s="189"/>
    </row>
    <row r="15" spans="1:26">
      <c r="A15" s="1" t="s">
        <v>16</v>
      </c>
      <c r="B15" s="1">
        <f>SUM(B10:B14)</f>
        <v>0</v>
      </c>
      <c r="C15" s="22">
        <f t="shared" ref="C15:H15" si="5">SUM(C10:C14)</f>
        <v>2764</v>
      </c>
      <c r="D15" s="137">
        <f t="shared" si="5"/>
        <v>2712</v>
      </c>
      <c r="E15" s="137">
        <f t="shared" si="5"/>
        <v>2996</v>
      </c>
      <c r="F15" s="137">
        <f t="shared" si="5"/>
        <v>4682</v>
      </c>
      <c r="G15" s="137">
        <f t="shared" si="5"/>
        <v>3961</v>
      </c>
      <c r="H15" s="137">
        <f t="shared" si="5"/>
        <v>3991</v>
      </c>
      <c r="I15" s="11">
        <f t="shared" ref="I15:K15" si="6">SUM(I10:I14)</f>
        <v>3328</v>
      </c>
      <c r="J15" s="11">
        <f>SUM(J10:J14)</f>
        <v>2877</v>
      </c>
      <c r="K15" s="11">
        <f t="shared" si="6"/>
        <v>3167</v>
      </c>
      <c r="L15" s="7">
        <f t="shared" si="3"/>
        <v>-7.5209561678259818E-2</v>
      </c>
      <c r="M15" s="1"/>
      <c r="N15" s="1" t="str">
        <f>A15</f>
        <v>Total Current Assets</v>
      </c>
      <c r="O15" s="7" t="e">
        <f t="shared" si="2"/>
        <v>#DIV/0!</v>
      </c>
      <c r="P15" s="7">
        <f t="shared" si="2"/>
        <v>0.13830372779584688</v>
      </c>
      <c r="Q15" s="7">
        <f t="shared" si="2"/>
        <v>0.13067990170095889</v>
      </c>
      <c r="R15" s="7">
        <f t="shared" si="2"/>
        <v>0.14067709067004741</v>
      </c>
      <c r="S15" s="7">
        <f t="shared" si="2"/>
        <v>0.20064281122776945</v>
      </c>
      <c r="T15" s="7">
        <f t="shared" si="2"/>
        <v>0.16653352953542147</v>
      </c>
      <c r="U15" s="7">
        <f t="shared" si="2"/>
        <v>0.16809872799258699</v>
      </c>
      <c r="V15" s="7">
        <f t="shared" si="2"/>
        <v>0.13533956893045954</v>
      </c>
      <c r="W15" s="7">
        <f t="shared" si="2"/>
        <v>0.11890886546807192</v>
      </c>
      <c r="X15" s="7">
        <f t="shared" si="2"/>
        <v>0.12720919023136246</v>
      </c>
      <c r="Y15" s="7">
        <f t="shared" si="4"/>
        <v>0.15224535259403776</v>
      </c>
      <c r="Z15" s="189"/>
    </row>
    <row r="16" spans="1:26">
      <c r="A16" s="1"/>
      <c r="B16" s="1"/>
      <c r="C16" s="22"/>
      <c r="D16" s="137"/>
      <c r="E16" s="137"/>
      <c r="F16" s="137"/>
      <c r="G16" s="137"/>
      <c r="H16" s="137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"/>
      <c r="C17" s="22"/>
      <c r="D17" s="137"/>
      <c r="E17" s="137"/>
      <c r="F17" s="137"/>
      <c r="G17" s="137"/>
      <c r="H17" s="137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"/>
      <c r="C18" s="22">
        <f>17862</f>
        <v>17862</v>
      </c>
      <c r="D18" s="137">
        <f>17679</f>
        <v>17679</v>
      </c>
      <c r="E18" s="137">
        <f>18011</f>
        <v>18011</v>
      </c>
      <c r="F18" s="137">
        <f>18660</f>
        <v>18660</v>
      </c>
      <c r="G18" s="137">
        <f>19224</f>
        <v>19224</v>
      </c>
      <c r="H18" s="137">
        <v>18809</v>
      </c>
      <c r="I18" s="11">
        <v>20065</v>
      </c>
      <c r="J18" s="136">
        <v>20588</v>
      </c>
      <c r="K18" s="136">
        <v>21574</v>
      </c>
      <c r="L18" s="7">
        <f>RATE(5,,-F18,K18)</f>
        <v>2.9446560681436293E-2</v>
      </c>
      <c r="M18" s="1"/>
      <c r="N18" s="1" t="str">
        <f>A18</f>
        <v xml:space="preserve">  Domestic Electric Plant in Service</v>
      </c>
      <c r="O18" s="7" t="e">
        <f t="shared" ref="O18:X22" si="7">B18/B$38</f>
        <v>#DIV/0!</v>
      </c>
      <c r="P18" s="7">
        <f t="shared" si="7"/>
        <v>0.89377032774580933</v>
      </c>
      <c r="Q18" s="7">
        <f t="shared" si="7"/>
        <v>0.85187683708379514</v>
      </c>
      <c r="R18" s="7">
        <f t="shared" si="7"/>
        <v>0.84570596797671038</v>
      </c>
      <c r="S18" s="7">
        <f t="shared" si="7"/>
        <v>0.79965716734518966</v>
      </c>
      <c r="T18" s="7">
        <f t="shared" si="7"/>
        <v>0.80824048770233337</v>
      </c>
      <c r="U18" s="7">
        <f t="shared" si="7"/>
        <v>0.79222474938926801</v>
      </c>
      <c r="V18" s="7">
        <f t="shared" si="7"/>
        <v>0.81598210654737702</v>
      </c>
      <c r="W18" s="7">
        <f t="shared" si="7"/>
        <v>0.8509196114899773</v>
      </c>
      <c r="X18" s="7">
        <f t="shared" si="7"/>
        <v>0.8665649100257069</v>
      </c>
      <c r="Y18" s="7">
        <f t="shared" ref="Y18:Y22" si="8">SUM(F18:K18)/SUM(F$38:K$38)</f>
        <v>0.82273095203503455</v>
      </c>
      <c r="Z18" s="189"/>
    </row>
    <row r="19" spans="1:26">
      <c r="A19" s="1" t="s">
        <v>19</v>
      </c>
      <c r="B19" s="1"/>
      <c r="C19" s="22"/>
      <c r="D19" s="137"/>
      <c r="E19" s="137"/>
      <c r="F19" s="137"/>
      <c r="G19" s="137"/>
      <c r="H19" s="137"/>
      <c r="I19" s="11"/>
      <c r="J19" s="136"/>
      <c r="K19" s="136"/>
      <c r="L19" s="7"/>
      <c r="M19" s="1"/>
      <c r="N19" s="1" t="str">
        <f>A19</f>
        <v xml:space="preserve">  Electric Construction Work in Progress</v>
      </c>
      <c r="O19" s="7" t="e">
        <f t="shared" si="7"/>
        <v>#DIV/0!</v>
      </c>
      <c r="P19" s="7">
        <f t="shared" si="7"/>
        <v>0</v>
      </c>
      <c r="Q19" s="7">
        <f t="shared" si="7"/>
        <v>0</v>
      </c>
      <c r="R19" s="7">
        <f t="shared" si="7"/>
        <v>0</v>
      </c>
      <c r="S19" s="7">
        <f t="shared" si="7"/>
        <v>0</v>
      </c>
      <c r="T19" s="7">
        <f t="shared" si="7"/>
        <v>0</v>
      </c>
      <c r="U19" s="7">
        <f t="shared" si="7"/>
        <v>0</v>
      </c>
      <c r="V19" s="7">
        <f t="shared" si="7"/>
        <v>0</v>
      </c>
      <c r="W19" s="7">
        <f t="shared" si="7"/>
        <v>0</v>
      </c>
      <c r="X19" s="7">
        <f t="shared" si="7"/>
        <v>0</v>
      </c>
      <c r="Y19" s="7">
        <f t="shared" si="8"/>
        <v>0</v>
      </c>
      <c r="Z19" s="189"/>
    </row>
    <row r="20" spans="1:26">
      <c r="A20" s="9" t="s">
        <v>20</v>
      </c>
      <c r="B20" s="1"/>
      <c r="C20" s="22"/>
      <c r="D20" s="137"/>
      <c r="E20" s="137"/>
      <c r="F20" s="137"/>
      <c r="G20" s="137"/>
      <c r="H20" s="137"/>
      <c r="I20" s="11"/>
      <c r="J20" s="136"/>
      <c r="K20" s="136"/>
      <c r="L20" s="7"/>
      <c r="M20" s="1"/>
      <c r="N20" s="1" t="str">
        <f>A20</f>
        <v>Other Regulated PP &amp; E</v>
      </c>
      <c r="O20" s="7" t="e">
        <f t="shared" si="7"/>
        <v>#DIV/0!</v>
      </c>
      <c r="P20" s="7">
        <f t="shared" si="7"/>
        <v>0</v>
      </c>
      <c r="Q20" s="7">
        <f t="shared" si="7"/>
        <v>0</v>
      </c>
      <c r="R20" s="7">
        <f>E20/E$38</f>
        <v>0</v>
      </c>
      <c r="S20" s="7">
        <f t="shared" si="7"/>
        <v>0</v>
      </c>
      <c r="T20" s="7">
        <f t="shared" si="7"/>
        <v>0</v>
      </c>
      <c r="U20" s="7">
        <f t="shared" si="7"/>
        <v>0</v>
      </c>
      <c r="V20" s="7">
        <f t="shared" si="7"/>
        <v>0</v>
      </c>
      <c r="W20" s="7">
        <f t="shared" si="7"/>
        <v>0</v>
      </c>
      <c r="X20" s="7">
        <f t="shared" si="7"/>
        <v>0</v>
      </c>
      <c r="Y20" s="7">
        <f t="shared" si="8"/>
        <v>0</v>
      </c>
      <c r="Z20" s="189"/>
    </row>
    <row r="21" spans="1:26">
      <c r="A21" s="1" t="s">
        <v>21</v>
      </c>
      <c r="B21" s="1"/>
      <c r="C21" s="22"/>
      <c r="D21" s="137"/>
      <c r="E21" s="137"/>
      <c r="F21" s="137"/>
      <c r="G21" s="137"/>
      <c r="H21" s="137"/>
      <c r="I21" s="11"/>
      <c r="J21" s="136"/>
      <c r="K21" s="136"/>
      <c r="L21" s="7"/>
      <c r="M21" s="1"/>
      <c r="N21" s="1" t="str">
        <f>A21</f>
        <v>Other PP&amp;E</v>
      </c>
      <c r="O21" s="7" t="e">
        <f t="shared" si="7"/>
        <v>#DIV/0!</v>
      </c>
      <c r="P21" s="7">
        <f t="shared" si="7"/>
        <v>0</v>
      </c>
      <c r="Q21" s="7">
        <f t="shared" si="7"/>
        <v>0</v>
      </c>
      <c r="R21" s="7">
        <f>E21/E$38</f>
        <v>0</v>
      </c>
      <c r="S21" s="7">
        <f t="shared" si="7"/>
        <v>0</v>
      </c>
      <c r="T21" s="7">
        <f t="shared" si="7"/>
        <v>0</v>
      </c>
      <c r="U21" s="7">
        <f t="shared" si="7"/>
        <v>0</v>
      </c>
      <c r="V21" s="7">
        <f t="shared" si="7"/>
        <v>0</v>
      </c>
      <c r="W21" s="7">
        <f t="shared" si="7"/>
        <v>0</v>
      </c>
      <c r="X21" s="7">
        <f t="shared" si="7"/>
        <v>0</v>
      </c>
      <c r="Y21" s="7">
        <f t="shared" si="8"/>
        <v>0</v>
      </c>
      <c r="Z21" s="189"/>
    </row>
    <row r="22" spans="1:26">
      <c r="A22" s="1" t="s">
        <v>22</v>
      </c>
      <c r="B22" s="1">
        <f t="shared" ref="B22:K22" si="9">SUM(B18:B21)</f>
        <v>0</v>
      </c>
      <c r="C22" s="22">
        <f t="shared" ref="C22:H22" si="10">SUM(C18:C21)</f>
        <v>17862</v>
      </c>
      <c r="D22" s="137">
        <f t="shared" si="10"/>
        <v>17679</v>
      </c>
      <c r="E22" s="137">
        <f t="shared" si="10"/>
        <v>18011</v>
      </c>
      <c r="F22" s="137">
        <f t="shared" si="10"/>
        <v>18660</v>
      </c>
      <c r="G22" s="137">
        <f t="shared" si="10"/>
        <v>19224</v>
      </c>
      <c r="H22" s="137">
        <f t="shared" si="10"/>
        <v>18809</v>
      </c>
      <c r="I22" s="11">
        <f t="shared" si="9"/>
        <v>20065</v>
      </c>
      <c r="J22" s="11">
        <f t="shared" si="9"/>
        <v>20588</v>
      </c>
      <c r="K22" s="11">
        <f t="shared" si="9"/>
        <v>21574</v>
      </c>
      <c r="L22" s="7">
        <f>RATE(5,,-F22,K22)</f>
        <v>2.9446560681436293E-2</v>
      </c>
      <c r="M22" s="1"/>
      <c r="N22" s="1" t="s">
        <v>23</v>
      </c>
      <c r="O22" s="7" t="e">
        <f t="shared" si="7"/>
        <v>#DIV/0!</v>
      </c>
      <c r="P22" s="7">
        <f t="shared" si="7"/>
        <v>0.89377032774580933</v>
      </c>
      <c r="Q22" s="7">
        <f t="shared" si="7"/>
        <v>0.85187683708379514</v>
      </c>
      <c r="R22" s="7">
        <f>E22/E$38</f>
        <v>0.84570596797671038</v>
      </c>
      <c r="S22" s="7">
        <f t="shared" si="7"/>
        <v>0.79965716734518966</v>
      </c>
      <c r="T22" s="7">
        <f t="shared" si="7"/>
        <v>0.80824048770233337</v>
      </c>
      <c r="U22" s="7">
        <f t="shared" si="7"/>
        <v>0.79222474938926801</v>
      </c>
      <c r="V22" s="7">
        <f t="shared" si="7"/>
        <v>0.81598210654737702</v>
      </c>
      <c r="W22" s="7">
        <f t="shared" si="7"/>
        <v>0.8509196114899773</v>
      </c>
      <c r="X22" s="7">
        <f t="shared" si="7"/>
        <v>0.8665649100257069</v>
      </c>
      <c r="Y22" s="7">
        <f t="shared" si="8"/>
        <v>0.82273095203503455</v>
      </c>
      <c r="Z22" s="189"/>
    </row>
    <row r="23" spans="1:26">
      <c r="A23" s="1"/>
      <c r="B23" s="1"/>
      <c r="C23" s="22"/>
      <c r="D23" s="137"/>
      <c r="E23" s="137"/>
      <c r="F23" s="137"/>
      <c r="G23" s="137"/>
      <c r="H23" s="137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"/>
      <c r="C24" s="22">
        <f>7320</f>
        <v>7320</v>
      </c>
      <c r="D24" s="137">
        <f>7355</f>
        <v>7355</v>
      </c>
      <c r="E24" s="137">
        <f>7520</f>
        <v>7520</v>
      </c>
      <c r="F24" s="137">
        <f>7830</f>
        <v>7830</v>
      </c>
      <c r="G24" s="137">
        <f>7773</f>
        <v>7773</v>
      </c>
      <c r="H24" s="137">
        <v>7401</v>
      </c>
      <c r="I24" s="11">
        <v>7834</v>
      </c>
      <c r="J24" s="11">
        <v>8157</v>
      </c>
      <c r="K24" s="11">
        <v>8582</v>
      </c>
      <c r="L24" s="7">
        <f>RATE(5,,-F24,K24)</f>
        <v>1.8510122543531952E-2</v>
      </c>
      <c r="M24" s="2"/>
      <c r="N24" s="1" t="str">
        <f>A24</f>
        <v>Accumulated Depreciation &amp; Amort.</v>
      </c>
      <c r="O24" s="7" t="e">
        <f t="shared" ref="O24:X24" si="11">B24/B$38</f>
        <v>#DIV/0!</v>
      </c>
      <c r="P24" s="7">
        <f t="shared" si="11"/>
        <v>0.36627470602952217</v>
      </c>
      <c r="Q24" s="7">
        <f t="shared" si="11"/>
        <v>0.3544065918180504</v>
      </c>
      <c r="R24" s="7">
        <f t="shared" si="11"/>
        <v>0.35310137578062639</v>
      </c>
      <c r="S24" s="7">
        <f t="shared" si="11"/>
        <v>0.3355474608956503</v>
      </c>
      <c r="T24" s="7">
        <f t="shared" si="11"/>
        <v>0.32680260668488542</v>
      </c>
      <c r="U24" s="7">
        <f t="shared" si="11"/>
        <v>0.31172605509224161</v>
      </c>
      <c r="V24" s="7">
        <f t="shared" si="11"/>
        <v>0.31858479056527045</v>
      </c>
      <c r="W24" s="7">
        <f t="shared" si="11"/>
        <v>0.33713577185368876</v>
      </c>
      <c r="X24" s="7">
        <f t="shared" si="11"/>
        <v>0.34471401028277637</v>
      </c>
      <c r="Y24" s="7">
        <f>SUM(F24:K24)/SUM(F$38:K$38)</f>
        <v>0.32915464602229094</v>
      </c>
      <c r="Z24" s="189"/>
    </row>
    <row r="25" spans="1:26">
      <c r="A25" s="1"/>
      <c r="B25" s="1"/>
      <c r="C25" s="22"/>
      <c r="D25" s="137"/>
      <c r="E25" s="137"/>
      <c r="F25" s="137"/>
      <c r="G25" s="137"/>
      <c r="H25" s="137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">
        <f t="shared" ref="B26:K26" si="12">B22-B24</f>
        <v>0</v>
      </c>
      <c r="C26" s="22">
        <f t="shared" si="12"/>
        <v>10542</v>
      </c>
      <c r="D26" s="137">
        <f t="shared" si="12"/>
        <v>10324</v>
      </c>
      <c r="E26" s="137">
        <f t="shared" si="12"/>
        <v>10491</v>
      </c>
      <c r="F26" s="137">
        <f t="shared" si="12"/>
        <v>10830</v>
      </c>
      <c r="G26" s="137">
        <f t="shared" si="12"/>
        <v>11451</v>
      </c>
      <c r="H26" s="137">
        <f t="shared" si="12"/>
        <v>11408</v>
      </c>
      <c r="I26" s="137">
        <f t="shared" si="12"/>
        <v>12231</v>
      </c>
      <c r="J26" s="137">
        <f t="shared" si="12"/>
        <v>12431</v>
      </c>
      <c r="K26" s="137">
        <f t="shared" si="12"/>
        <v>12992</v>
      </c>
      <c r="L26" s="7">
        <f>RATE(5,,-F26,K26)</f>
        <v>3.7073437998108291E-2</v>
      </c>
      <c r="M26" s="1"/>
      <c r="N26" s="1" t="s">
        <v>23</v>
      </c>
      <c r="O26" s="7" t="e">
        <f t="shared" ref="O26:X26" si="13">B26/B$38</f>
        <v>#DIV/0!</v>
      </c>
      <c r="P26" s="7">
        <f t="shared" si="13"/>
        <v>0.52749562171628717</v>
      </c>
      <c r="Q26" s="7">
        <f t="shared" si="13"/>
        <v>0.49747024526574474</v>
      </c>
      <c r="R26" s="7">
        <f t="shared" si="13"/>
        <v>0.49260459219608393</v>
      </c>
      <c r="S26" s="7">
        <f t="shared" si="13"/>
        <v>0.46410970644953931</v>
      </c>
      <c r="T26" s="7">
        <f t="shared" si="13"/>
        <v>0.48143788101744794</v>
      </c>
      <c r="U26" s="7">
        <f t="shared" si="13"/>
        <v>0.48049869429702635</v>
      </c>
      <c r="V26" s="7">
        <f t="shared" si="13"/>
        <v>0.49739731598210657</v>
      </c>
      <c r="W26" s="7">
        <f t="shared" si="13"/>
        <v>0.51378383963628849</v>
      </c>
      <c r="X26" s="7">
        <f t="shared" si="13"/>
        <v>0.52185089974293064</v>
      </c>
      <c r="Y26" s="7">
        <f>SUM(F26:K26)/SUM(F$38:K$38)</f>
        <v>0.4935763060127436</v>
      </c>
      <c r="Z26" s="189"/>
    </row>
    <row r="27" spans="1:26">
      <c r="A27" s="1"/>
      <c r="B27" s="1"/>
      <c r="C27" s="22"/>
      <c r="D27" s="137"/>
      <c r="E27" s="137"/>
      <c r="F27" s="137"/>
      <c r="G27" s="137"/>
      <c r="H27" s="137"/>
      <c r="I27" s="11"/>
      <c r="J27" s="11"/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"/>
      <c r="C28" s="22"/>
      <c r="D28" s="137"/>
      <c r="E28" s="137"/>
      <c r="F28" s="137"/>
      <c r="G28" s="137"/>
      <c r="H28" s="137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"/>
      <c r="C29" s="22">
        <f>1197+1613</f>
        <v>2810</v>
      </c>
      <c r="D29" s="137">
        <f>2063+1527</f>
        <v>3590</v>
      </c>
      <c r="E29" s="137">
        <f>2119+1438</f>
        <v>3557</v>
      </c>
      <c r="F29" s="137">
        <f>2074+1340</f>
        <v>3414</v>
      </c>
      <c r="G29" s="137">
        <f>3226+1235</f>
        <v>4461</v>
      </c>
      <c r="H29" s="137">
        <f>2786+1124</f>
        <v>3910</v>
      </c>
      <c r="I29" s="11">
        <f>4231+1001</f>
        <v>5232</v>
      </c>
      <c r="J29" s="11">
        <f>4110+870</f>
        <v>4980</v>
      </c>
      <c r="K29" s="11">
        <f>4058+729</f>
        <v>4787</v>
      </c>
      <c r="L29" s="7">
        <f t="shared" ref="L29:L35" si="14">RATE(5,,-F29,K29)</f>
        <v>6.9941374951261626E-2</v>
      </c>
      <c r="M29" s="1"/>
      <c r="N29" s="1" t="s">
        <v>27</v>
      </c>
      <c r="O29" s="7" t="e">
        <f t="shared" ref="O29:X36" si="15">B29/B$38</f>
        <v>#DIV/0!</v>
      </c>
      <c r="P29" s="7">
        <f t="shared" si="15"/>
        <v>0.14060545409056793</v>
      </c>
      <c r="Q29" s="7">
        <f t="shared" si="15"/>
        <v>0.17298703801859971</v>
      </c>
      <c r="R29" s="7">
        <f t="shared" si="15"/>
        <v>0.16701882894304362</v>
      </c>
      <c r="S29" s="7">
        <f t="shared" si="15"/>
        <v>0.14630383544032569</v>
      </c>
      <c r="T29" s="7">
        <f t="shared" si="15"/>
        <v>0.18755518183729242</v>
      </c>
      <c r="U29" s="7">
        <f t="shared" si="15"/>
        <v>0.16468705248083565</v>
      </c>
      <c r="V29" s="7">
        <f t="shared" si="15"/>
        <v>0.21276941846278974</v>
      </c>
      <c r="W29" s="7">
        <f t="shared" si="15"/>
        <v>0.20582765034097955</v>
      </c>
      <c r="X29" s="7">
        <f t="shared" si="15"/>
        <v>0.19227988431876605</v>
      </c>
      <c r="Y29" s="7">
        <f t="shared" ref="Y29:Y36" si="16">SUM(F29:K29)/SUM(F$38:K$38)</f>
        <v>0.18530125983271414</v>
      </c>
      <c r="Z29" s="189"/>
    </row>
    <row r="30" spans="1:26">
      <c r="A30" s="1" t="s">
        <v>28</v>
      </c>
      <c r="B30" s="1"/>
      <c r="C30" s="22">
        <f>2112</f>
        <v>2112</v>
      </c>
      <c r="D30" s="137">
        <f>2067</f>
        <v>2067</v>
      </c>
      <c r="E30" s="137">
        <f>2067</f>
        <v>2067</v>
      </c>
      <c r="F30" s="137">
        <f>2057+99</f>
        <v>2156</v>
      </c>
      <c r="G30" s="137">
        <f>2057+72</f>
        <v>2129</v>
      </c>
      <c r="H30" s="137">
        <f>25+2037</f>
        <v>2062</v>
      </c>
      <c r="I30" s="11">
        <f>70+2037</f>
        <v>2107</v>
      </c>
      <c r="J30" s="11">
        <f>2024+54</f>
        <v>2078</v>
      </c>
      <c r="K30" s="11">
        <f>2020+67</f>
        <v>2087</v>
      </c>
      <c r="L30" s="7">
        <f t="shared" si="14"/>
        <v>-6.4842906538731399E-3</v>
      </c>
      <c r="M30" s="1"/>
      <c r="N30" s="1" t="str">
        <f>A30</f>
        <v>Intangible Assets-net</v>
      </c>
      <c r="O30" s="7" t="e">
        <f t="shared" si="15"/>
        <v>#DIV/0!</v>
      </c>
      <c r="P30" s="7">
        <f t="shared" si="15"/>
        <v>0.10567925944458344</v>
      </c>
      <c r="Q30" s="7">
        <f t="shared" si="15"/>
        <v>9.9600057822965354E-2</v>
      </c>
      <c r="R30" s="7">
        <f t="shared" si="15"/>
        <v>9.7055923369488664E-2</v>
      </c>
      <c r="S30" s="7">
        <f t="shared" si="15"/>
        <v>9.2393400471394896E-2</v>
      </c>
      <c r="T30" s="7">
        <f t="shared" si="15"/>
        <v>8.9510195501366407E-2</v>
      </c>
      <c r="U30" s="7">
        <f t="shared" si="15"/>
        <v>8.6850307471990559E-2</v>
      </c>
      <c r="V30" s="7">
        <f t="shared" si="15"/>
        <v>8.5685237901586012E-2</v>
      </c>
      <c r="W30" s="7">
        <f t="shared" si="15"/>
        <v>8.588551353585451E-2</v>
      </c>
      <c r="X30" s="7">
        <f t="shared" si="15"/>
        <v>8.382872750642674E-2</v>
      </c>
      <c r="Y30" s="7">
        <f t="shared" si="16"/>
        <v>8.7302740360999845E-2</v>
      </c>
      <c r="Z30" s="189"/>
    </row>
    <row r="31" spans="1:26">
      <c r="A31" s="1" t="s">
        <v>29</v>
      </c>
      <c r="B31" s="1"/>
      <c r="C31" s="22">
        <f>336+152    +172</f>
        <v>660</v>
      </c>
      <c r="D31" s="137">
        <f>469   +88    +181</f>
        <v>738</v>
      </c>
      <c r="E31" s="137">
        <f>529+125+184</f>
        <v>838</v>
      </c>
      <c r="F31" s="137">
        <f>409+316    +186</f>
        <v>911</v>
      </c>
      <c r="G31" s="137">
        <f>164    +164    +71</f>
        <v>399</v>
      </c>
      <c r="H31" s="137">
        <f>87+199+152</f>
        <v>438</v>
      </c>
      <c r="I31" s="11">
        <f>115+140</f>
        <v>255</v>
      </c>
      <c r="J31" s="11">
        <f>113+116</f>
        <v>229</v>
      </c>
      <c r="K31" s="11">
        <f>123+77</f>
        <v>200</v>
      </c>
      <c r="L31" s="7">
        <f t="shared" si="14"/>
        <v>-0.26158191661975211</v>
      </c>
      <c r="M31" s="1"/>
      <c r="N31" s="1" t="str">
        <f t="shared" ref="N31:N36" si="17">A31</f>
        <v>Finance Assets</v>
      </c>
      <c r="O31" s="7" t="e">
        <f t="shared" si="15"/>
        <v>#DIV/0!</v>
      </c>
      <c r="P31" s="7">
        <f t="shared" si="15"/>
        <v>3.3024768576432321E-2</v>
      </c>
      <c r="Q31" s="7">
        <f t="shared" si="15"/>
        <v>3.5561123692960057E-2</v>
      </c>
      <c r="R31" s="7">
        <f t="shared" si="15"/>
        <v>3.9348265013851719E-2</v>
      </c>
      <c r="S31" s="7">
        <f t="shared" si="15"/>
        <v>3.9040068566530965E-2</v>
      </c>
      <c r="T31" s="7">
        <f t="shared" si="15"/>
        <v>1.6775278536893E-2</v>
      </c>
      <c r="U31" s="7">
        <f t="shared" si="15"/>
        <v>1.8448319433914583E-2</v>
      </c>
      <c r="V31" s="7">
        <f t="shared" si="15"/>
        <v>1.0370069133794225E-2</v>
      </c>
      <c r="W31" s="7">
        <f t="shared" si="15"/>
        <v>9.4647654474064886E-3</v>
      </c>
      <c r="X31" s="7">
        <f t="shared" si="15"/>
        <v>8.0334190231362464E-3</v>
      </c>
      <c r="Y31" s="7">
        <f t="shared" si="16"/>
        <v>1.6825442947773328E-2</v>
      </c>
      <c r="Z31" s="189"/>
    </row>
    <row r="32" spans="1:26">
      <c r="A32" s="1" t="s">
        <v>30</v>
      </c>
      <c r="B32" s="1"/>
      <c r="C32" s="22">
        <f>913</f>
        <v>913</v>
      </c>
      <c r="D32" s="137">
        <f>1119</f>
        <v>1119</v>
      </c>
      <c r="E32" s="137">
        <f>1148</f>
        <v>1148</v>
      </c>
      <c r="F32" s="137">
        <f>1176</f>
        <v>1176</v>
      </c>
      <c r="G32" s="137">
        <f>1245</f>
        <v>1245</v>
      </c>
      <c r="H32" s="137">
        <v>1270</v>
      </c>
      <c r="I32" s="11">
        <v>1280</v>
      </c>
      <c r="J32" s="11">
        <v>1415</v>
      </c>
      <c r="K32" s="11">
        <v>1457</v>
      </c>
      <c r="L32" s="7">
        <f t="shared" si="14"/>
        <v>4.3783544956955356E-2</v>
      </c>
      <c r="M32" s="1"/>
      <c r="N32" s="1" t="str">
        <f t="shared" si="17"/>
        <v xml:space="preserve">Investments </v>
      </c>
      <c r="O32" s="7" t="e">
        <f t="shared" si="15"/>
        <v>#DIV/0!</v>
      </c>
      <c r="P32" s="7">
        <f t="shared" si="15"/>
        <v>4.5684263197398045E-2</v>
      </c>
      <c r="Q32" s="7">
        <f t="shared" si="15"/>
        <v>5.3919915192984148E-2</v>
      </c>
      <c r="R32" s="7">
        <f t="shared" si="15"/>
        <v>5.3904305770765833E-2</v>
      </c>
      <c r="S32" s="7">
        <f t="shared" si="15"/>
        <v>5.0396400257124489E-2</v>
      </c>
      <c r="T32" s="7">
        <f t="shared" si="15"/>
        <v>5.2343914231658607E-2</v>
      </c>
      <c r="U32" s="7">
        <f t="shared" si="15"/>
        <v>5.3491702468199814E-2</v>
      </c>
      <c r="V32" s="7">
        <f t="shared" si="15"/>
        <v>5.2053680357869052E-2</v>
      </c>
      <c r="W32" s="7">
        <f t="shared" si="15"/>
        <v>5.8483157677206035E-2</v>
      </c>
      <c r="X32" s="7">
        <f t="shared" si="15"/>
        <v>5.8523457583547558E-2</v>
      </c>
      <c r="Y32" s="7">
        <f t="shared" si="16"/>
        <v>5.4260669835273931E-2</v>
      </c>
      <c r="Z32" s="189"/>
    </row>
    <row r="33" spans="1:26">
      <c r="A33" s="1" t="s">
        <v>31</v>
      </c>
      <c r="B33" s="1"/>
      <c r="C33" s="22">
        <f>184</f>
        <v>184</v>
      </c>
      <c r="D33" s="137">
        <f>203</f>
        <v>203</v>
      </c>
      <c r="E33" s="137">
        <f>200</f>
        <v>200</v>
      </c>
      <c r="F33" s="137">
        <f>166</f>
        <v>166</v>
      </c>
      <c r="G33" s="137">
        <f>139</f>
        <v>139</v>
      </c>
      <c r="H33" s="137">
        <f>116+547</f>
        <v>663</v>
      </c>
      <c r="I33" s="11">
        <v>157</v>
      </c>
      <c r="J33" s="11">
        <v>185</v>
      </c>
      <c r="K33" s="11">
        <v>206</v>
      </c>
      <c r="L33" s="7">
        <f t="shared" si="14"/>
        <v>4.4123394129407564E-2</v>
      </c>
      <c r="M33" s="1"/>
      <c r="N33" s="1" t="str">
        <f t="shared" si="17"/>
        <v>Deferred Charges and Other</v>
      </c>
      <c r="O33" s="7" t="e">
        <f t="shared" si="15"/>
        <v>#DIV/0!</v>
      </c>
      <c r="P33" s="7">
        <f t="shared" si="15"/>
        <v>9.2069051788841623E-3</v>
      </c>
      <c r="Q33" s="7">
        <f t="shared" si="15"/>
        <v>9.7817183057871144E-3</v>
      </c>
      <c r="R33" s="7">
        <f t="shared" si="15"/>
        <v>9.3909940367187875E-3</v>
      </c>
      <c r="S33" s="7">
        <f t="shared" si="15"/>
        <v>7.1137775873151921E-3</v>
      </c>
      <c r="T33" s="7">
        <f t="shared" si="15"/>
        <v>5.8440193399201179E-3</v>
      </c>
      <c r="U33" s="7">
        <f t="shared" si="15"/>
        <v>2.7925195855446044E-2</v>
      </c>
      <c r="V33" s="7">
        <f t="shared" si="15"/>
        <v>6.384709231394876E-3</v>
      </c>
      <c r="W33" s="7">
        <f t="shared" si="15"/>
        <v>7.6462078941930151E-3</v>
      </c>
      <c r="X33" s="7">
        <f t="shared" si="15"/>
        <v>8.2744215938303344E-3</v>
      </c>
      <c r="Y33" s="7">
        <f t="shared" si="16"/>
        <v>1.0488228416457386E-2</v>
      </c>
      <c r="Z33" s="189"/>
    </row>
    <row r="34" spans="1:26">
      <c r="A34" s="1" t="s">
        <v>32</v>
      </c>
      <c r="B34" s="1">
        <f t="shared" ref="B34" si="18">SUM(B29:B33)</f>
        <v>0</v>
      </c>
      <c r="C34" s="22">
        <f t="shared" ref="C34:H34" si="19">SUM(C29:C33)</f>
        <v>6679</v>
      </c>
      <c r="D34" s="137">
        <f t="shared" si="19"/>
        <v>7717</v>
      </c>
      <c r="E34" s="137">
        <f t="shared" si="19"/>
        <v>7810</v>
      </c>
      <c r="F34" s="137">
        <f t="shared" si="19"/>
        <v>7823</v>
      </c>
      <c r="G34" s="137">
        <f t="shared" si="19"/>
        <v>8373</v>
      </c>
      <c r="H34" s="137">
        <f t="shared" si="19"/>
        <v>8343</v>
      </c>
      <c r="I34" s="11">
        <f>SUM(I29:I33)</f>
        <v>9031</v>
      </c>
      <c r="J34" s="11">
        <f>SUM(J29:J33)</f>
        <v>8887</v>
      </c>
      <c r="K34" s="11">
        <f>SUM(K29:K33)</f>
        <v>8737</v>
      </c>
      <c r="L34" s="7">
        <f t="shared" si="14"/>
        <v>2.2345762179590174E-2</v>
      </c>
      <c r="M34" s="1"/>
      <c r="N34" s="1" t="str">
        <f t="shared" si="17"/>
        <v>Total Other Assets</v>
      </c>
      <c r="O34" s="7" t="e">
        <f t="shared" si="15"/>
        <v>#DIV/0!</v>
      </c>
      <c r="P34" s="7">
        <f t="shared" si="15"/>
        <v>0.3342006504878659</v>
      </c>
      <c r="Q34" s="7">
        <f t="shared" si="15"/>
        <v>0.37184985303329637</v>
      </c>
      <c r="R34" s="7">
        <f t="shared" si="15"/>
        <v>0.3667183171338686</v>
      </c>
      <c r="S34" s="7">
        <f t="shared" si="15"/>
        <v>0.33524748232269125</v>
      </c>
      <c r="T34" s="7">
        <f t="shared" si="15"/>
        <v>0.35202858944713056</v>
      </c>
      <c r="U34" s="7">
        <f t="shared" si="15"/>
        <v>0.35140257771038663</v>
      </c>
      <c r="V34" s="7">
        <f t="shared" si="15"/>
        <v>0.36726311508743392</v>
      </c>
      <c r="W34" s="7">
        <f t="shared" si="15"/>
        <v>0.36730729489563957</v>
      </c>
      <c r="X34" s="7">
        <f t="shared" si="15"/>
        <v>0.35093991002570696</v>
      </c>
      <c r="Y34" s="7">
        <f t="shared" si="16"/>
        <v>0.35417834139321863</v>
      </c>
      <c r="Z34" s="189"/>
    </row>
    <row r="35" spans="1:26">
      <c r="A35" s="1" t="s">
        <v>33</v>
      </c>
      <c r="B35" s="1">
        <f t="shared" ref="B35:I35" si="20">B26+B34</f>
        <v>0</v>
      </c>
      <c r="C35" s="22">
        <f t="shared" si="20"/>
        <v>17221</v>
      </c>
      <c r="D35" s="137">
        <f t="shared" si="20"/>
        <v>18041</v>
      </c>
      <c r="E35" s="137">
        <f t="shared" si="20"/>
        <v>18301</v>
      </c>
      <c r="F35" s="137">
        <f t="shared" si="20"/>
        <v>18653</v>
      </c>
      <c r="G35" s="137">
        <f t="shared" si="20"/>
        <v>19824</v>
      </c>
      <c r="H35" s="137">
        <f t="shared" si="20"/>
        <v>19751</v>
      </c>
      <c r="I35" s="11">
        <f t="shared" si="20"/>
        <v>21262</v>
      </c>
      <c r="J35" s="11">
        <f>J26+J34</f>
        <v>21318</v>
      </c>
      <c r="K35" s="11">
        <f>K26+K34</f>
        <v>21729</v>
      </c>
      <c r="L35" s="7">
        <f t="shared" si="14"/>
        <v>3.099891902691598E-2</v>
      </c>
      <c r="M35" s="1"/>
      <c r="N35" s="1" t="str">
        <f t="shared" si="17"/>
        <v>Total Non-Current Assets</v>
      </c>
      <c r="O35" s="7" t="e">
        <f t="shared" si="15"/>
        <v>#DIV/0!</v>
      </c>
      <c r="P35" s="7">
        <f t="shared" si="15"/>
        <v>0.86169627220415312</v>
      </c>
      <c r="Q35" s="7">
        <f t="shared" si="15"/>
        <v>0.86932009829904111</v>
      </c>
      <c r="R35" s="7">
        <f t="shared" si="15"/>
        <v>0.85932290932995259</v>
      </c>
      <c r="S35" s="7">
        <f t="shared" si="15"/>
        <v>0.79935718877223061</v>
      </c>
      <c r="T35" s="7">
        <f t="shared" si="15"/>
        <v>0.83346647046457856</v>
      </c>
      <c r="U35" s="7">
        <f t="shared" si="15"/>
        <v>0.83190127200741304</v>
      </c>
      <c r="V35" s="7">
        <f t="shared" si="15"/>
        <v>0.86466043106954049</v>
      </c>
      <c r="W35" s="7">
        <f t="shared" si="15"/>
        <v>0.88109113453192811</v>
      </c>
      <c r="X35" s="7">
        <f t="shared" si="15"/>
        <v>0.87279080976863754</v>
      </c>
      <c r="Y35" s="7">
        <f t="shared" si="16"/>
        <v>0.84775464740596229</v>
      </c>
      <c r="Z35" s="189"/>
    </row>
    <row r="36" spans="1:26">
      <c r="A36" s="1" t="s">
        <v>34</v>
      </c>
      <c r="B36" s="1"/>
      <c r="C36" s="22"/>
      <c r="D36" s="137"/>
      <c r="E36" s="137"/>
      <c r="F36" s="137"/>
      <c r="G36" s="137"/>
      <c r="H36" s="137"/>
      <c r="I36" s="11"/>
      <c r="J36" s="11"/>
      <c r="K36" s="11"/>
      <c r="L36" s="7"/>
      <c r="M36" s="1"/>
      <c r="N36" s="1" t="str">
        <f t="shared" si="17"/>
        <v xml:space="preserve"> Electric Assets</v>
      </c>
      <c r="O36" s="7" t="e">
        <f>B36/B$38</f>
        <v>#DIV/0!</v>
      </c>
      <c r="P36" s="7">
        <f t="shared" si="15"/>
        <v>0</v>
      </c>
      <c r="Q36" s="7">
        <f t="shared" si="15"/>
        <v>0</v>
      </c>
      <c r="R36" s="7">
        <f t="shared" si="15"/>
        <v>0</v>
      </c>
      <c r="S36" s="7">
        <f t="shared" si="15"/>
        <v>0</v>
      </c>
      <c r="T36" s="7">
        <f t="shared" si="15"/>
        <v>0</v>
      </c>
      <c r="U36" s="7">
        <f t="shared" si="15"/>
        <v>0</v>
      </c>
      <c r="V36" s="7">
        <f t="shared" si="15"/>
        <v>0</v>
      </c>
      <c r="W36" s="7">
        <f t="shared" si="15"/>
        <v>0</v>
      </c>
      <c r="X36" s="7">
        <f t="shared" si="15"/>
        <v>0</v>
      </c>
      <c r="Y36" s="7">
        <f t="shared" si="16"/>
        <v>0</v>
      </c>
      <c r="Z36" s="189"/>
    </row>
    <row r="37" spans="1:26">
      <c r="A37" s="1" t="s">
        <v>35</v>
      </c>
      <c r="B37" s="1"/>
      <c r="C37" s="22"/>
      <c r="D37" s="137"/>
      <c r="E37" s="137"/>
      <c r="F37" s="137"/>
      <c r="G37" s="137"/>
      <c r="H37" s="137"/>
      <c r="I37" s="11"/>
      <c r="J37" s="11"/>
      <c r="K37" s="11"/>
      <c r="L37" s="7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89"/>
    </row>
    <row r="38" spans="1:26">
      <c r="A38" s="1" t="s">
        <v>36</v>
      </c>
      <c r="B38" s="1">
        <f t="shared" ref="B38:K38" si="21">B15+B26+B34</f>
        <v>0</v>
      </c>
      <c r="C38" s="22">
        <f t="shared" si="21"/>
        <v>19985</v>
      </c>
      <c r="D38" s="137">
        <f t="shared" si="21"/>
        <v>20753</v>
      </c>
      <c r="E38" s="137">
        <f t="shared" si="21"/>
        <v>21297</v>
      </c>
      <c r="F38" s="137">
        <f t="shared" si="21"/>
        <v>23335</v>
      </c>
      <c r="G38" s="137">
        <f t="shared" si="21"/>
        <v>23785</v>
      </c>
      <c r="H38" s="137">
        <f t="shared" si="21"/>
        <v>23742</v>
      </c>
      <c r="I38" s="11">
        <f t="shared" si="21"/>
        <v>24590</v>
      </c>
      <c r="J38" s="11">
        <f t="shared" si="21"/>
        <v>24195</v>
      </c>
      <c r="K38" s="11">
        <f t="shared" si="21"/>
        <v>24896</v>
      </c>
      <c r="L38" s="7">
        <f>RATE(5,,-F38,K38)</f>
        <v>1.3034775319061822E-2</v>
      </c>
      <c r="M38" s="1"/>
      <c r="N38" s="1" t="s">
        <v>36</v>
      </c>
      <c r="O38" s="7" t="e">
        <f t="shared" ref="O38:X38" si="22">B38/B$38</f>
        <v>#DIV/0!</v>
      </c>
      <c r="P38" s="7">
        <f t="shared" si="22"/>
        <v>1</v>
      </c>
      <c r="Q38" s="7">
        <f t="shared" si="22"/>
        <v>1</v>
      </c>
      <c r="R38" s="7">
        <f t="shared" si="22"/>
        <v>1</v>
      </c>
      <c r="S38" s="7">
        <f t="shared" si="22"/>
        <v>1</v>
      </c>
      <c r="T38" s="7">
        <f t="shared" si="22"/>
        <v>1</v>
      </c>
      <c r="U38" s="7">
        <f t="shared" si="22"/>
        <v>1</v>
      </c>
      <c r="V38" s="7">
        <f t="shared" si="22"/>
        <v>1</v>
      </c>
      <c r="W38" s="7">
        <f t="shared" si="22"/>
        <v>1</v>
      </c>
      <c r="X38" s="7">
        <f t="shared" si="22"/>
        <v>1</v>
      </c>
      <c r="Y38" s="7">
        <f>SUM(F38:K38)/SUM(F$38:K$38)</f>
        <v>1</v>
      </c>
      <c r="Z38" s="189"/>
    </row>
    <row r="39" spans="1:26">
      <c r="A39" s="1"/>
      <c r="B39" s="1"/>
      <c r="C39" s="22"/>
      <c r="D39" s="137"/>
      <c r="E39" s="137"/>
      <c r="F39" s="137"/>
      <c r="G39" s="137"/>
      <c r="H39" s="137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"/>
      <c r="C40" s="22"/>
      <c r="D40" s="137"/>
      <c r="E40" s="137"/>
      <c r="F40" s="137"/>
      <c r="G40" s="137"/>
      <c r="H40" s="137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"/>
      <c r="C41" s="22"/>
      <c r="D41" s="137"/>
      <c r="E41" s="137"/>
      <c r="F41" s="137"/>
      <c r="G41" s="137"/>
      <c r="H41" s="137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"/>
      <c r="C42" s="22">
        <f>1018</f>
        <v>1018</v>
      </c>
      <c r="D42" s="137">
        <f>477</f>
        <v>477</v>
      </c>
      <c r="E42" s="137">
        <f>514</f>
        <v>514</v>
      </c>
      <c r="F42" s="137">
        <f>691</f>
        <v>691</v>
      </c>
      <c r="G42" s="137">
        <f>354</f>
        <v>354</v>
      </c>
      <c r="H42" s="137">
        <v>454</v>
      </c>
      <c r="I42" s="11">
        <v>362</v>
      </c>
      <c r="J42" s="11">
        <v>671</v>
      </c>
      <c r="K42" s="11">
        <v>925</v>
      </c>
      <c r="L42" s="7">
        <f t="shared" ref="L42:L44" si="23">RATE(5,,-F42,K42)</f>
        <v>6.0065589131605306E-2</v>
      </c>
      <c r="M42" s="1"/>
      <c r="N42" s="1" t="str">
        <f t="shared" ref="N42:N47" si="24">A42</f>
        <v>Current Maturities LTD</v>
      </c>
      <c r="O42" s="7" t="e">
        <f t="shared" ref="O42:X48" si="25">B42/B$38</f>
        <v>#DIV/0!</v>
      </c>
      <c r="P42" s="7">
        <f t="shared" si="25"/>
        <v>5.0938203652739551E-2</v>
      </c>
      <c r="Q42" s="7">
        <f t="shared" si="25"/>
        <v>2.2984628728376619E-2</v>
      </c>
      <c r="R42" s="7">
        <f t="shared" si="25"/>
        <v>2.4134854674367281E-2</v>
      </c>
      <c r="S42" s="7">
        <f t="shared" si="25"/>
        <v>2.9612170559245768E-2</v>
      </c>
      <c r="T42" s="7">
        <f t="shared" si="25"/>
        <v>1.4883329829724616E-2</v>
      </c>
      <c r="U42" s="7">
        <f t="shared" si="25"/>
        <v>1.9122230646112376E-2</v>
      </c>
      <c r="V42" s="7">
        <f t="shared" si="25"/>
        <v>1.4721431476209841E-2</v>
      </c>
      <c r="W42" s="7">
        <f t="shared" si="25"/>
        <v>2.7733002686505477E-2</v>
      </c>
      <c r="X42" s="7">
        <f t="shared" si="25"/>
        <v>3.7154562982005139E-2</v>
      </c>
      <c r="Y42" s="7">
        <f t="shared" ref="Y42:Y48" si="26">SUM(F42:K42)/SUM(F$38:K$38)</f>
        <v>2.3916758334889963E-2</v>
      </c>
      <c r="Z42" s="189"/>
    </row>
    <row r="43" spans="1:26">
      <c r="A43" s="1" t="s">
        <v>39</v>
      </c>
      <c r="B43" s="1"/>
      <c r="C43" s="22">
        <f>414</f>
        <v>414</v>
      </c>
      <c r="D43" s="137">
        <f>370</f>
        <v>370</v>
      </c>
      <c r="E43" s="137">
        <f>403</f>
        <v>403</v>
      </c>
      <c r="F43" s="137">
        <f>943</f>
        <v>943</v>
      </c>
      <c r="G43" s="137">
        <f>1131</f>
        <v>1131</v>
      </c>
      <c r="H43" s="137">
        <v>1084</v>
      </c>
      <c r="I43" s="11">
        <v>744</v>
      </c>
      <c r="J43" s="11">
        <f>327</f>
        <v>327</v>
      </c>
      <c r="K43" s="11">
        <f>150</f>
        <v>150</v>
      </c>
      <c r="L43" s="7">
        <f t="shared" si="23"/>
        <v>-0.30766559627233125</v>
      </c>
      <c r="M43" s="1"/>
      <c r="N43" s="1" t="str">
        <f t="shared" si="24"/>
        <v>Notes Payable and Commercial Paper</v>
      </c>
      <c r="O43" s="7" t="e">
        <f t="shared" si="25"/>
        <v>#DIV/0!</v>
      </c>
      <c r="P43" s="7">
        <f t="shared" si="25"/>
        <v>2.0715536652489368E-2</v>
      </c>
      <c r="Q43" s="7">
        <f t="shared" si="25"/>
        <v>1.7828747650942032E-2</v>
      </c>
      <c r="R43" s="7">
        <f t="shared" si="25"/>
        <v>1.8922852983988356E-2</v>
      </c>
      <c r="S43" s="7">
        <f t="shared" si="25"/>
        <v>4.0411399185772447E-2</v>
      </c>
      <c r="T43" s="7">
        <f t="shared" si="25"/>
        <v>4.7550977506832036E-2</v>
      </c>
      <c r="U43" s="7">
        <f t="shared" si="25"/>
        <v>4.5657484626400471E-2</v>
      </c>
      <c r="V43" s="7">
        <f t="shared" si="25"/>
        <v>3.0256201708011386E-2</v>
      </c>
      <c r="W43" s="7">
        <f t="shared" si="25"/>
        <v>1.3515189088654681E-2</v>
      </c>
      <c r="X43" s="7">
        <f t="shared" si="25"/>
        <v>6.0250642673521848E-3</v>
      </c>
      <c r="Y43" s="7">
        <f t="shared" si="26"/>
        <v>3.0295483005057317E-2</v>
      </c>
      <c r="Z43" s="189"/>
    </row>
    <row r="44" spans="1:26">
      <c r="A44" s="1" t="s">
        <v>40</v>
      </c>
      <c r="B44" s="1"/>
      <c r="C44" s="22">
        <f>647</f>
        <v>647</v>
      </c>
      <c r="D44" s="137">
        <f>625</f>
        <v>625</v>
      </c>
      <c r="E44" s="137">
        <f>892</f>
        <v>892</v>
      </c>
      <c r="F44" s="137">
        <f>1187</f>
        <v>1187</v>
      </c>
      <c r="G44" s="137">
        <f>1145</f>
        <v>1145</v>
      </c>
      <c r="H44" s="137">
        <v>1189</v>
      </c>
      <c r="I44" s="11">
        <v>899</v>
      </c>
      <c r="J44" s="11">
        <v>723</v>
      </c>
      <c r="K44" s="11">
        <v>729</v>
      </c>
      <c r="L44" s="7">
        <f t="shared" si="23"/>
        <v>-9.2899592856204277E-2</v>
      </c>
      <c r="M44" s="1"/>
      <c r="N44" s="1" t="str">
        <f t="shared" si="24"/>
        <v>Accounts Payable</v>
      </c>
      <c r="O44" s="7" t="e">
        <f t="shared" si="25"/>
        <v>#DIV/0!</v>
      </c>
      <c r="P44" s="7">
        <f t="shared" si="25"/>
        <v>3.2374280710532902E-2</v>
      </c>
      <c r="Q44" s="7">
        <f t="shared" si="25"/>
        <v>3.0116127788753434E-2</v>
      </c>
      <c r="R44" s="7">
        <f t="shared" si="25"/>
        <v>4.1883833403765787E-2</v>
      </c>
      <c r="S44" s="7">
        <f t="shared" si="25"/>
        <v>5.0867795157488752E-2</v>
      </c>
      <c r="T44" s="7">
        <f t="shared" si="25"/>
        <v>4.8139583771284425E-2</v>
      </c>
      <c r="U44" s="7">
        <f t="shared" si="25"/>
        <v>5.008002695644849E-2</v>
      </c>
      <c r="V44" s="7">
        <f t="shared" si="25"/>
        <v>3.655957706384709E-2</v>
      </c>
      <c r="W44" s="7">
        <f t="shared" si="25"/>
        <v>2.9882207067575946E-2</v>
      </c>
      <c r="X44" s="7">
        <f t="shared" si="25"/>
        <v>2.9281812339331619E-2</v>
      </c>
      <c r="Y44" s="7">
        <f t="shared" si="26"/>
        <v>4.062458922258428E-2</v>
      </c>
      <c r="Z44" s="189"/>
    </row>
    <row r="45" spans="1:26">
      <c r="A45" s="1" t="s">
        <v>41</v>
      </c>
      <c r="B45" s="1"/>
      <c r="C45" s="22"/>
      <c r="D45" s="137"/>
      <c r="E45" s="137"/>
      <c r="F45" s="137"/>
      <c r="G45" s="137"/>
      <c r="H45" s="137"/>
      <c r="I45" s="11"/>
      <c r="J45" s="11"/>
      <c r="K45" s="11"/>
      <c r="L45" s="7"/>
      <c r="M45" s="1"/>
      <c r="N45" s="1" t="str">
        <f t="shared" si="24"/>
        <v>Payable to Affiliates</v>
      </c>
      <c r="O45" s="7" t="e">
        <f t="shared" si="25"/>
        <v>#DIV/0!</v>
      </c>
      <c r="P45" s="7">
        <f t="shared" si="25"/>
        <v>0</v>
      </c>
      <c r="Q45" s="7">
        <f t="shared" si="25"/>
        <v>0</v>
      </c>
      <c r="R45" s="7">
        <f t="shared" si="25"/>
        <v>0</v>
      </c>
      <c r="S45" s="7">
        <f t="shared" si="25"/>
        <v>0</v>
      </c>
      <c r="T45" s="7">
        <f t="shared" si="25"/>
        <v>0</v>
      </c>
      <c r="U45" s="7">
        <f t="shared" si="25"/>
        <v>0</v>
      </c>
      <c r="V45" s="7">
        <f t="shared" si="25"/>
        <v>0</v>
      </c>
      <c r="W45" s="7">
        <f t="shared" si="25"/>
        <v>0</v>
      </c>
      <c r="X45" s="7">
        <f t="shared" si="25"/>
        <v>0</v>
      </c>
      <c r="Y45" s="7">
        <f t="shared" si="26"/>
        <v>0</v>
      </c>
      <c r="Z45" s="189"/>
    </row>
    <row r="46" spans="1:26">
      <c r="A46" s="1" t="s">
        <v>42</v>
      </c>
      <c r="B46" s="1"/>
      <c r="C46" s="22">
        <f>262+44    +49    +90    +115</f>
        <v>560</v>
      </c>
      <c r="D46" s="137">
        <f>326+185+51+87    +110</f>
        <v>759</v>
      </c>
      <c r="E46" s="137">
        <f>369    +16+33+90   +  111</f>
        <v>619</v>
      </c>
      <c r="F46" s="137">
        <f>115+92+1089</f>
        <v>1296</v>
      </c>
      <c r="G46" s="137">
        <f>115    +94+437</f>
        <v>646</v>
      </c>
      <c r="H46" s="137">
        <f>112+87+281+48</f>
        <v>528</v>
      </c>
      <c r="I46" s="11">
        <f>119+86+285</f>
        <v>490</v>
      </c>
      <c r="J46" s="11">
        <f>114+88+220</f>
        <v>422</v>
      </c>
      <c r="K46" s="11">
        <f>111+95+142</f>
        <v>348</v>
      </c>
      <c r="L46" s="7">
        <f t="shared" ref="L46:L48" si="27">RATE(5,,-F46,K46)</f>
        <v>-0.23123279484893347</v>
      </c>
      <c r="M46" s="1"/>
      <c r="N46" s="1" t="str">
        <f t="shared" si="24"/>
        <v>Other Payables and Accrued Expenses</v>
      </c>
      <c r="O46" s="7" t="e">
        <f t="shared" si="25"/>
        <v>#DIV/0!</v>
      </c>
      <c r="P46" s="7">
        <f t="shared" si="25"/>
        <v>2.8021015761821366E-2</v>
      </c>
      <c r="Q46" s="7">
        <f t="shared" si="25"/>
        <v>3.6573025586662172E-2</v>
      </c>
      <c r="R46" s="7">
        <f t="shared" si="25"/>
        <v>2.9065126543644643E-2</v>
      </c>
      <c r="S46" s="7">
        <f t="shared" si="25"/>
        <v>5.5538890079280048E-2</v>
      </c>
      <c r="T46" s="7">
        <f t="shared" si="25"/>
        <v>2.7159974774017239E-2</v>
      </c>
      <c r="U46" s="7">
        <f t="shared" si="25"/>
        <v>2.2239070002527166E-2</v>
      </c>
      <c r="V46" s="7">
        <f t="shared" si="25"/>
        <v>1.9926799511996746E-2</v>
      </c>
      <c r="W46" s="7">
        <f t="shared" si="25"/>
        <v>1.7441620169456499E-2</v>
      </c>
      <c r="X46" s="7">
        <f t="shared" si="25"/>
        <v>1.3978149100257069E-2</v>
      </c>
      <c r="Y46" s="7">
        <f t="shared" si="26"/>
        <v>2.580546965262932E-2</v>
      </c>
      <c r="Z46" s="189"/>
    </row>
    <row r="47" spans="1:26">
      <c r="A47" s="1" t="s">
        <v>43</v>
      </c>
      <c r="B47" s="1"/>
      <c r="C47" s="22">
        <f>552</f>
        <v>552</v>
      </c>
      <c r="D47" s="137">
        <f>593</f>
        <v>593</v>
      </c>
      <c r="E47" s="137">
        <f xml:space="preserve">  581</f>
        <v>581</v>
      </c>
      <c r="F47" s="137">
        <f>803</f>
        <v>803</v>
      </c>
      <c r="G47" s="137">
        <f>888</f>
        <v>888</v>
      </c>
      <c r="H47" s="137">
        <v>966</v>
      </c>
      <c r="I47" s="11">
        <v>518</v>
      </c>
      <c r="J47" s="11">
        <v>502</v>
      </c>
      <c r="K47" s="11">
        <v>597</v>
      </c>
      <c r="L47" s="7">
        <f t="shared" si="27"/>
        <v>-5.7564239034158547E-2</v>
      </c>
      <c r="M47" s="1"/>
      <c r="N47" s="1" t="str">
        <f t="shared" si="24"/>
        <v xml:space="preserve">Other </v>
      </c>
      <c r="O47" s="7" t="e">
        <f t="shared" si="25"/>
        <v>#DIV/0!</v>
      </c>
      <c r="P47" s="7">
        <f t="shared" si="25"/>
        <v>2.762071553665249E-2</v>
      </c>
      <c r="Q47" s="7">
        <f t="shared" si="25"/>
        <v>2.8574182045969256E-2</v>
      </c>
      <c r="R47" s="7">
        <f t="shared" si="25"/>
        <v>2.7280837676668074E-2</v>
      </c>
      <c r="S47" s="7">
        <f t="shared" si="25"/>
        <v>3.441182772659096E-2</v>
      </c>
      <c r="T47" s="7">
        <f t="shared" si="25"/>
        <v>3.7334454488122767E-2</v>
      </c>
      <c r="U47" s="7">
        <f t="shared" si="25"/>
        <v>4.0687389436441748E-2</v>
      </c>
      <c r="V47" s="7">
        <f t="shared" si="25"/>
        <v>2.1065473769825132E-2</v>
      </c>
      <c r="W47" s="7">
        <f t="shared" si="25"/>
        <v>2.0748088448026451E-2</v>
      </c>
      <c r="X47" s="7">
        <f t="shared" si="25"/>
        <v>2.3979755784061696E-2</v>
      </c>
      <c r="Y47" s="7">
        <f t="shared" si="26"/>
        <v>2.9569055575157564E-2</v>
      </c>
      <c r="Z47" s="189"/>
    </row>
    <row r="48" spans="1:26">
      <c r="A48" s="1" t="s">
        <v>44</v>
      </c>
      <c r="B48" s="1">
        <f t="shared" ref="B48:K48" si="28">SUM(B41:B47)</f>
        <v>0</v>
      </c>
      <c r="C48" s="22">
        <f t="shared" ref="C48:H48" si="29">SUM(C41:C47)</f>
        <v>3191</v>
      </c>
      <c r="D48" s="137">
        <f t="shared" si="29"/>
        <v>2824</v>
      </c>
      <c r="E48" s="137">
        <f t="shared" si="29"/>
        <v>3009</v>
      </c>
      <c r="F48" s="137">
        <f t="shared" si="29"/>
        <v>4920</v>
      </c>
      <c r="G48" s="137">
        <f t="shared" si="29"/>
        <v>4164</v>
      </c>
      <c r="H48" s="137">
        <f t="shared" si="29"/>
        <v>4221</v>
      </c>
      <c r="I48" s="11">
        <f t="shared" si="28"/>
        <v>3013</v>
      </c>
      <c r="J48" s="11">
        <f t="shared" si="28"/>
        <v>2645</v>
      </c>
      <c r="K48" s="11">
        <f t="shared" si="28"/>
        <v>2749</v>
      </c>
      <c r="L48" s="7">
        <f t="shared" si="27"/>
        <v>-0.10989359236686372</v>
      </c>
      <c r="M48" s="1"/>
      <c r="N48" s="1" t="s">
        <v>44</v>
      </c>
      <c r="O48" s="7" t="e">
        <f t="shared" si="25"/>
        <v>#DIV/0!</v>
      </c>
      <c r="P48" s="7">
        <f t="shared" si="25"/>
        <v>0.15966975231423566</v>
      </c>
      <c r="Q48" s="7">
        <f t="shared" si="25"/>
        <v>0.13607671180070352</v>
      </c>
      <c r="R48" s="7">
        <f t="shared" si="25"/>
        <v>0.14128750528243414</v>
      </c>
      <c r="S48" s="7">
        <f t="shared" si="25"/>
        <v>0.21084208270837798</v>
      </c>
      <c r="T48" s="7">
        <f t="shared" si="25"/>
        <v>0.17506832036998107</v>
      </c>
      <c r="U48" s="7">
        <f t="shared" si="25"/>
        <v>0.17778620166793024</v>
      </c>
      <c r="V48" s="7">
        <f t="shared" si="25"/>
        <v>0.1225294835298902</v>
      </c>
      <c r="W48" s="7">
        <f t="shared" si="25"/>
        <v>0.10932010746021906</v>
      </c>
      <c r="X48" s="7">
        <f t="shared" si="25"/>
        <v>0.11041934447300772</v>
      </c>
      <c r="Y48" s="7">
        <f t="shared" si="26"/>
        <v>0.15021135579031844</v>
      </c>
      <c r="Z48" s="189"/>
    </row>
    <row r="49" spans="1:26">
      <c r="A49" s="1"/>
      <c r="B49" s="1"/>
      <c r="C49" s="22"/>
      <c r="D49" s="137"/>
      <c r="E49" s="137"/>
      <c r="F49" s="137"/>
      <c r="G49" s="137"/>
      <c r="H49" s="137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"/>
      <c r="C50" s="22">
        <f>7803</f>
        <v>7803</v>
      </c>
      <c r="D50" s="137">
        <f>7669</f>
        <v>7669</v>
      </c>
      <c r="E50" s="137">
        <f>7606</f>
        <v>7606</v>
      </c>
      <c r="F50" s="137">
        <f>7080</f>
        <v>7080</v>
      </c>
      <c r="G50" s="137">
        <f>7474</f>
        <v>7474</v>
      </c>
      <c r="H50" s="137">
        <v>6971</v>
      </c>
      <c r="I50" s="11">
        <v>7741</v>
      </c>
      <c r="J50" s="11">
        <v>7370</v>
      </c>
      <c r="K50" s="11">
        <v>7089</v>
      </c>
      <c r="L50" s="7">
        <f t="shared" ref="L50:L53" si="30">RATE(5,,-F50,K50)</f>
        <v>2.5410811344883254E-4</v>
      </c>
      <c r="M50" s="1"/>
      <c r="N50" s="1" t="str">
        <f>A50</f>
        <v>Long-Term Debt</v>
      </c>
      <c r="O50" s="7" t="e">
        <f t="shared" ref="O50:X53" si="31">B50/B$38</f>
        <v>#DIV/0!</v>
      </c>
      <c r="P50" s="7">
        <f t="shared" si="31"/>
        <v>0.39044283212409309</v>
      </c>
      <c r="Q50" s="7">
        <f t="shared" si="31"/>
        <v>0.36953693441912011</v>
      </c>
      <c r="R50" s="7">
        <f t="shared" si="31"/>
        <v>0.35713950321641547</v>
      </c>
      <c r="S50" s="7">
        <f t="shared" si="31"/>
        <v>0.30340689950717808</v>
      </c>
      <c r="T50" s="7">
        <f t="shared" si="31"/>
        <v>0.3142316586083666</v>
      </c>
      <c r="U50" s="7">
        <f t="shared" si="31"/>
        <v>0.29361469126442591</v>
      </c>
      <c r="V50" s="7">
        <f t="shared" si="31"/>
        <v>0.31480276535176899</v>
      </c>
      <c r="W50" s="7">
        <f t="shared" si="31"/>
        <v>0.30460839016325686</v>
      </c>
      <c r="X50" s="7">
        <f t="shared" si="31"/>
        <v>0.28474453727506427</v>
      </c>
      <c r="Y50" s="7">
        <f t="shared" ref="Y50:Y53" si="32">SUM(F50:K50)/SUM(F$38:K$38)</f>
        <v>0.30250513687968289</v>
      </c>
      <c r="Z50" s="189"/>
    </row>
    <row r="51" spans="1:26">
      <c r="A51" s="1" t="s">
        <v>46</v>
      </c>
      <c r="B51" s="1"/>
      <c r="C51" s="22">
        <f>916</f>
        <v>916</v>
      </c>
      <c r="D51" s="137">
        <f>988</f>
        <v>988</v>
      </c>
      <c r="E51" s="137">
        <f>1124</f>
        <v>1124</v>
      </c>
      <c r="F51" s="137">
        <f>1396</f>
        <v>1396</v>
      </c>
      <c r="G51" s="137">
        <f>1465</f>
        <v>1465</v>
      </c>
      <c r="H51" s="137">
        <v>1824</v>
      </c>
      <c r="I51" s="11">
        <v>1958</v>
      </c>
      <c r="J51" s="11">
        <v>2096</v>
      </c>
      <c r="K51" s="11">
        <v>2632</v>
      </c>
      <c r="L51" s="7">
        <f t="shared" si="30"/>
        <v>0.13522015561052378</v>
      </c>
      <c r="M51" s="1"/>
      <c r="N51" s="1" t="str">
        <f>A51</f>
        <v>Deferred Income Taxes</v>
      </c>
      <c r="O51" s="7" t="e">
        <f t="shared" si="31"/>
        <v>#DIV/0!</v>
      </c>
      <c r="P51" s="7">
        <f t="shared" si="31"/>
        <v>4.5834375781836377E-2</v>
      </c>
      <c r="Q51" s="7">
        <f t="shared" si="31"/>
        <v>4.7607574808461429E-2</v>
      </c>
      <c r="R51" s="7">
        <f t="shared" si="31"/>
        <v>5.277738648635958E-2</v>
      </c>
      <c r="S51" s="7">
        <f t="shared" si="31"/>
        <v>5.9824298264409687E-2</v>
      </c>
      <c r="T51" s="7">
        <f t="shared" si="31"/>
        <v>6.1593441244481816E-2</v>
      </c>
      <c r="U51" s="7">
        <f t="shared" si="31"/>
        <v>7.6825878190548397E-2</v>
      </c>
      <c r="V51" s="7">
        <f t="shared" si="31"/>
        <v>7.9625864172427813E-2</v>
      </c>
      <c r="W51" s="7">
        <f t="shared" si="31"/>
        <v>8.6629468898532749E-2</v>
      </c>
      <c r="X51" s="7">
        <f t="shared" si="31"/>
        <v>0.10571979434447301</v>
      </c>
      <c r="Y51" s="7">
        <f t="shared" si="32"/>
        <v>7.8668631479905632E-2</v>
      </c>
      <c r="Z51" s="189"/>
    </row>
    <row r="52" spans="1:26">
      <c r="A52" s="1" t="s">
        <v>47</v>
      </c>
      <c r="B52" s="1"/>
      <c r="C52" s="22">
        <f>4426-C51</f>
        <v>3510</v>
      </c>
      <c r="D52" s="137">
        <f>4973-D51</f>
        <v>3985</v>
      </c>
      <c r="E52" s="137">
        <f>5134-E51</f>
        <v>4010</v>
      </c>
      <c r="F52" s="137">
        <f>5566-F51</f>
        <v>4170</v>
      </c>
      <c r="G52" s="137">
        <f>6298-G51</f>
        <v>4833</v>
      </c>
      <c r="H52" s="137">
        <v>4825</v>
      </c>
      <c r="I52" s="11">
        <f>7798-1958</f>
        <v>5840</v>
      </c>
      <c r="J52" s="11">
        <f>7864-2096</f>
        <v>5768</v>
      </c>
      <c r="K52" s="11">
        <f>8291-2632</f>
        <v>5659</v>
      </c>
      <c r="L52" s="7">
        <f t="shared" si="30"/>
        <v>6.2969314938955981E-2</v>
      </c>
      <c r="M52" s="1"/>
      <c r="N52" s="1" t="str">
        <f>A52</f>
        <v>Other Deferred Credits</v>
      </c>
      <c r="O52" s="7" t="e">
        <f t="shared" si="31"/>
        <v>#DIV/0!</v>
      </c>
      <c r="P52" s="7">
        <f t="shared" si="31"/>
        <v>0.17563172379284464</v>
      </c>
      <c r="Q52" s="7">
        <f t="shared" si="31"/>
        <v>0.19202043078109188</v>
      </c>
      <c r="R52" s="7">
        <f t="shared" si="31"/>
        <v>0.18828943043621169</v>
      </c>
      <c r="S52" s="7">
        <f t="shared" si="31"/>
        <v>0.17870152131990572</v>
      </c>
      <c r="T52" s="7">
        <f t="shared" si="31"/>
        <v>0.20319529114988438</v>
      </c>
      <c r="U52" s="7">
        <f t="shared" si="31"/>
        <v>0.20322634992839694</v>
      </c>
      <c r="V52" s="7">
        <f t="shared" si="31"/>
        <v>0.23749491663277755</v>
      </c>
      <c r="W52" s="7">
        <f t="shared" si="31"/>
        <v>0.23839636288489358</v>
      </c>
      <c r="X52" s="7">
        <f t="shared" si="31"/>
        <v>0.22730559125964012</v>
      </c>
      <c r="Y52" s="7">
        <f t="shared" si="32"/>
        <v>0.21512629459745544</v>
      </c>
      <c r="Z52" s="189"/>
    </row>
    <row r="53" spans="1:26">
      <c r="A53" s="1" t="s">
        <v>48</v>
      </c>
      <c r="B53" s="1">
        <f t="shared" ref="B53:K53" si="33">SUM(B50:B52)</f>
        <v>0</v>
      </c>
      <c r="C53" s="22">
        <f t="shared" ref="C53:H53" si="34">SUM(C50:C52)</f>
        <v>12229</v>
      </c>
      <c r="D53" s="137">
        <f t="shared" si="34"/>
        <v>12642</v>
      </c>
      <c r="E53" s="137">
        <f t="shared" si="34"/>
        <v>12740</v>
      </c>
      <c r="F53" s="137">
        <f t="shared" si="34"/>
        <v>12646</v>
      </c>
      <c r="G53" s="137">
        <f t="shared" si="34"/>
        <v>13772</v>
      </c>
      <c r="H53" s="137">
        <f t="shared" si="34"/>
        <v>13620</v>
      </c>
      <c r="I53" s="11">
        <f t="shared" si="33"/>
        <v>15539</v>
      </c>
      <c r="J53" s="11">
        <f t="shared" si="33"/>
        <v>15234</v>
      </c>
      <c r="K53" s="11">
        <f t="shared" si="33"/>
        <v>15380</v>
      </c>
      <c r="L53" s="7">
        <f t="shared" si="30"/>
        <v>3.9921678193845234E-2</v>
      </c>
      <c r="M53" s="1"/>
      <c r="N53" s="1" t="str">
        <f>A53</f>
        <v>Total LTD &amp; Deferrals</v>
      </c>
      <c r="O53" s="7" t="e">
        <f t="shared" si="31"/>
        <v>#DIV/0!</v>
      </c>
      <c r="P53" s="7">
        <f t="shared" si="31"/>
        <v>0.61190893169877403</v>
      </c>
      <c r="Q53" s="7">
        <f t="shared" si="31"/>
        <v>0.60916494000867349</v>
      </c>
      <c r="R53" s="7">
        <f t="shared" si="31"/>
        <v>0.59820632013898667</v>
      </c>
      <c r="S53" s="7">
        <f t="shared" si="31"/>
        <v>0.54193271909149343</v>
      </c>
      <c r="T53" s="7">
        <f t="shared" si="31"/>
        <v>0.57902039100273284</v>
      </c>
      <c r="U53" s="7">
        <f t="shared" si="31"/>
        <v>0.57366691938337122</v>
      </c>
      <c r="V53" s="7">
        <f t="shared" si="31"/>
        <v>0.63192354615697433</v>
      </c>
      <c r="W53" s="7">
        <f t="shared" si="31"/>
        <v>0.62963422194668317</v>
      </c>
      <c r="X53" s="7">
        <f t="shared" si="31"/>
        <v>0.61776992287917742</v>
      </c>
      <c r="Y53" s="7">
        <f t="shared" si="32"/>
        <v>0.59630006295704396</v>
      </c>
      <c r="Z53" s="189"/>
    </row>
    <row r="54" spans="1:26">
      <c r="A54" s="1"/>
      <c r="B54" s="1"/>
      <c r="C54" s="22"/>
      <c r="D54" s="137"/>
      <c r="E54" s="137"/>
      <c r="F54" s="137"/>
      <c r="G54" s="137"/>
      <c r="H54" s="137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">
        <f t="shared" ref="B55:K55" si="35">B53+B48</f>
        <v>0</v>
      </c>
      <c r="C55" s="22">
        <f t="shared" si="35"/>
        <v>15420</v>
      </c>
      <c r="D55" s="137">
        <f t="shared" si="35"/>
        <v>15466</v>
      </c>
      <c r="E55" s="137">
        <f t="shared" si="35"/>
        <v>15749</v>
      </c>
      <c r="F55" s="137">
        <f t="shared" si="35"/>
        <v>17566</v>
      </c>
      <c r="G55" s="137">
        <f t="shared" si="35"/>
        <v>17936</v>
      </c>
      <c r="H55" s="137">
        <f t="shared" si="35"/>
        <v>17841</v>
      </c>
      <c r="I55" s="11">
        <f t="shared" si="35"/>
        <v>18552</v>
      </c>
      <c r="J55" s="11">
        <f t="shared" si="35"/>
        <v>17879</v>
      </c>
      <c r="K55" s="11">
        <f t="shared" si="35"/>
        <v>18129</v>
      </c>
      <c r="L55" s="7">
        <f>RATE(5,,-F55,K55)</f>
        <v>6.3294771256589503E-3</v>
      </c>
      <c r="M55" s="1"/>
      <c r="N55" s="1" t="s">
        <v>49</v>
      </c>
      <c r="O55" s="7" t="e">
        <f t="shared" ref="O55:X55" si="36">B55/B$38</f>
        <v>#DIV/0!</v>
      </c>
      <c r="P55" s="7">
        <f t="shared" si="36"/>
        <v>0.77157868401300977</v>
      </c>
      <c r="Q55" s="7">
        <f t="shared" si="36"/>
        <v>0.74524165180937696</v>
      </c>
      <c r="R55" s="7">
        <f t="shared" si="36"/>
        <v>0.73949382542142084</v>
      </c>
      <c r="S55" s="7">
        <f t="shared" si="36"/>
        <v>0.75277480179987144</v>
      </c>
      <c r="T55" s="7">
        <f t="shared" si="36"/>
        <v>0.75408871137271394</v>
      </c>
      <c r="U55" s="7">
        <f t="shared" si="36"/>
        <v>0.75145312105130146</v>
      </c>
      <c r="V55" s="7">
        <f t="shared" si="36"/>
        <v>0.75445302968686456</v>
      </c>
      <c r="W55" s="7">
        <f t="shared" si="36"/>
        <v>0.7389543294069022</v>
      </c>
      <c r="X55" s="7">
        <f t="shared" si="36"/>
        <v>0.72818926735218514</v>
      </c>
      <c r="Y55" s="7">
        <f>SUM(F55:K55)/SUM(F$38:K$38)</f>
        <v>0.74651141874736238</v>
      </c>
      <c r="Z55" s="189"/>
    </row>
    <row r="56" spans="1:26">
      <c r="A56" s="1"/>
      <c r="B56" s="1"/>
      <c r="C56" s="22"/>
      <c r="D56" s="22"/>
      <c r="E56" s="22"/>
      <c r="F56" s="22"/>
      <c r="G56" s="22"/>
      <c r="H56" s="22"/>
      <c r="I56" s="1"/>
      <c r="J56" s="1"/>
      <c r="K56" s="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"/>
      <c r="C57" s="22"/>
      <c r="D57" s="22"/>
      <c r="E57" s="22"/>
      <c r="F57" s="22"/>
      <c r="G57" s="22"/>
      <c r="H57" s="22"/>
      <c r="I57" s="1"/>
      <c r="J57" s="1"/>
      <c r="K57" s="1"/>
      <c r="L57" s="7"/>
      <c r="M57" s="1"/>
      <c r="N57" s="1" t="s">
        <v>50</v>
      </c>
      <c r="O57" s="7" t="e">
        <f t="shared" ref="O57:X57" si="37">B57/B$38</f>
        <v>#DIV/0!</v>
      </c>
      <c r="P57" s="7">
        <f t="shared" si="37"/>
        <v>0</v>
      </c>
      <c r="Q57" s="7">
        <f t="shared" si="37"/>
        <v>0</v>
      </c>
      <c r="R57" s="7">
        <f t="shared" si="37"/>
        <v>0</v>
      </c>
      <c r="S57" s="7">
        <f t="shared" si="37"/>
        <v>0</v>
      </c>
      <c r="T57" s="7">
        <f t="shared" si="37"/>
        <v>0</v>
      </c>
      <c r="U57" s="7">
        <f t="shared" si="37"/>
        <v>0</v>
      </c>
      <c r="V57" s="7">
        <f t="shared" si="37"/>
        <v>0</v>
      </c>
      <c r="W57" s="7">
        <f t="shared" si="37"/>
        <v>0</v>
      </c>
      <c r="X57" s="7">
        <f t="shared" si="37"/>
        <v>0</v>
      </c>
      <c r="Y57" s="7">
        <f>SUM(F57:K57)/SUM(F$38:K$38)</f>
        <v>0</v>
      </c>
      <c r="Z57" s="189"/>
    </row>
    <row r="58" spans="1:26">
      <c r="A58" s="1"/>
      <c r="B58" s="1"/>
      <c r="C58" s="22"/>
      <c r="D58" s="22"/>
      <c r="E58" s="22"/>
      <c r="F58" s="22"/>
      <c r="G58" s="22"/>
      <c r="H58" s="22"/>
      <c r="I58" s="1"/>
      <c r="J58" s="1"/>
      <c r="K58" s="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"/>
      <c r="C59" s="22"/>
      <c r="D59" s="22"/>
      <c r="E59" s="22"/>
      <c r="F59" s="22"/>
      <c r="G59" s="22"/>
      <c r="H59" s="22"/>
      <c r="I59" s="1"/>
      <c r="J59" s="1"/>
      <c r="K59" s="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"/>
      <c r="C60" s="22">
        <f>4565-C61</f>
        <v>2433</v>
      </c>
      <c r="D60" s="137">
        <f>5287-D61</f>
        <v>2979</v>
      </c>
      <c r="E60" s="137">
        <f>5548-E61</f>
        <v>3165</v>
      </c>
      <c r="F60" s="137">
        <f>3483</f>
        <v>3483</v>
      </c>
      <c r="G60" s="137">
        <f>3467</f>
        <v>3467</v>
      </c>
      <c r="H60" s="137">
        <v>3111</v>
      </c>
      <c r="I60" s="11">
        <f>3175+43</f>
        <v>3218</v>
      </c>
      <c r="J60" s="11">
        <v>3168</v>
      </c>
      <c r="K60" s="11">
        <v>3431</v>
      </c>
      <c r="L60" s="7">
        <f t="shared" ref="L60:L63" si="38">RATE(5,,-F60,K60)</f>
        <v>-3.0039246640429828E-3</v>
      </c>
      <c r="M60" s="1"/>
      <c r="N60" s="1" t="str">
        <f>A60</f>
        <v>Common Stock</v>
      </c>
      <c r="O60" s="7" t="e">
        <f t="shared" ref="O60:X63" si="39">B60/B$38</f>
        <v>#DIV/0!</v>
      </c>
      <c r="P60" s="7">
        <f t="shared" si="39"/>
        <v>0.12174130597948461</v>
      </c>
      <c r="Q60" s="7">
        <f t="shared" si="39"/>
        <v>0.14354551149231437</v>
      </c>
      <c r="R60" s="7">
        <f t="shared" si="39"/>
        <v>0.14861248063107479</v>
      </c>
      <c r="S60" s="7">
        <f t="shared" si="39"/>
        <v>0.14926076708806513</v>
      </c>
      <c r="T60" s="7">
        <f t="shared" si="39"/>
        <v>0.145764137061173</v>
      </c>
      <c r="U60" s="7">
        <f t="shared" si="39"/>
        <v>0.13103361132170838</v>
      </c>
      <c r="V60" s="7">
        <f t="shared" si="39"/>
        <v>0.13086620577470517</v>
      </c>
      <c r="W60" s="7">
        <f t="shared" si="39"/>
        <v>0.13093614383137012</v>
      </c>
      <c r="X60" s="7">
        <f t="shared" si="39"/>
        <v>0.13781330334190231</v>
      </c>
      <c r="Y60" s="7">
        <f t="shared" ref="Y60:Y63" si="40">SUM(F60:K60)/SUM(F$38:K$38)</f>
        <v>0.13752309001473609</v>
      </c>
      <c r="Z60" s="189"/>
    </row>
    <row r="61" spans="1:26">
      <c r="A61" s="1" t="s">
        <v>53</v>
      </c>
      <c r="B61" s="1"/>
      <c r="C61" s="22">
        <f>2132</f>
        <v>2132</v>
      </c>
      <c r="D61" s="137">
        <f>2308</f>
        <v>2308</v>
      </c>
      <c r="E61" s="137">
        <f>2383</f>
        <v>2383</v>
      </c>
      <c r="F61" s="137">
        <f>2557-271</f>
        <v>2286</v>
      </c>
      <c r="G61" s="137">
        <f>2593-211</f>
        <v>2382</v>
      </c>
      <c r="H61" s="137">
        <v>2790</v>
      </c>
      <c r="I61" s="11">
        <f>2985-165</f>
        <v>2820</v>
      </c>
      <c r="J61" s="11">
        <f>6316-3168</f>
        <v>3148</v>
      </c>
      <c r="K61" s="11">
        <f>6767-3431</f>
        <v>3336</v>
      </c>
      <c r="L61" s="7">
        <f t="shared" si="38"/>
        <v>7.8524371119441397E-2</v>
      </c>
      <c r="M61" s="1"/>
      <c r="N61" s="1" t="str">
        <f>A61</f>
        <v>Retained Earnings</v>
      </c>
      <c r="O61" s="7" t="e">
        <f t="shared" si="39"/>
        <v>#DIV/0!</v>
      </c>
      <c r="P61" s="7">
        <f t="shared" si="39"/>
        <v>0.10668001000750563</v>
      </c>
      <c r="Q61" s="7">
        <f t="shared" si="39"/>
        <v>0.11121283669830868</v>
      </c>
      <c r="R61" s="7">
        <f t="shared" si="39"/>
        <v>0.11189369394750434</v>
      </c>
      <c r="S61" s="7">
        <f t="shared" si="39"/>
        <v>9.7964431112063419E-2</v>
      </c>
      <c r="T61" s="7">
        <f t="shared" si="39"/>
        <v>0.10014715156611309</v>
      </c>
      <c r="U61" s="7">
        <f t="shared" si="39"/>
        <v>0.11751326762699014</v>
      </c>
      <c r="V61" s="7">
        <f t="shared" si="39"/>
        <v>0.11468076453843025</v>
      </c>
      <c r="W61" s="7">
        <f t="shared" si="39"/>
        <v>0.13010952676172763</v>
      </c>
      <c r="X61" s="7">
        <f t="shared" si="39"/>
        <v>0.1339974293059126</v>
      </c>
      <c r="Y61" s="7">
        <f t="shared" si="40"/>
        <v>0.11596549123790152</v>
      </c>
      <c r="Z61" s="189"/>
    </row>
    <row r="62" spans="1:26">
      <c r="A62" s="1" t="s">
        <v>54</v>
      </c>
      <c r="B62" s="1">
        <f t="shared" ref="B62:J62" si="41">SUM(B59:B61)</f>
        <v>0</v>
      </c>
      <c r="C62" s="22">
        <f t="shared" ref="C62:H62" si="42">SUM(C59:C61)</f>
        <v>4565</v>
      </c>
      <c r="D62" s="137">
        <f t="shared" si="42"/>
        <v>5287</v>
      </c>
      <c r="E62" s="137">
        <f t="shared" si="42"/>
        <v>5548</v>
      </c>
      <c r="F62" s="137">
        <f t="shared" si="42"/>
        <v>5769</v>
      </c>
      <c r="G62" s="137">
        <f t="shared" si="42"/>
        <v>5849</v>
      </c>
      <c r="H62" s="137">
        <f t="shared" si="42"/>
        <v>5901</v>
      </c>
      <c r="I62" s="11">
        <f t="shared" si="41"/>
        <v>6038</v>
      </c>
      <c r="J62" s="11">
        <f t="shared" si="41"/>
        <v>6316</v>
      </c>
      <c r="K62" s="11">
        <f t="shared" ref="K62" si="43">SUM(K59:K61)</f>
        <v>6767</v>
      </c>
      <c r="L62" s="7">
        <f t="shared" si="38"/>
        <v>3.2426462334348788E-2</v>
      </c>
      <c r="M62" s="1"/>
      <c r="N62" s="1" t="str">
        <f>A62</f>
        <v>Total Common Equity</v>
      </c>
      <c r="O62" s="7" t="e">
        <f t="shared" si="39"/>
        <v>#DIV/0!</v>
      </c>
      <c r="P62" s="7">
        <f t="shared" si="39"/>
        <v>0.22842131598699025</v>
      </c>
      <c r="Q62" s="7">
        <f t="shared" si="39"/>
        <v>0.25475834819062304</v>
      </c>
      <c r="R62" s="7">
        <f t="shared" si="39"/>
        <v>0.26050617457857916</v>
      </c>
      <c r="S62" s="7">
        <f t="shared" si="39"/>
        <v>0.24722519820012856</v>
      </c>
      <c r="T62" s="7">
        <f t="shared" si="39"/>
        <v>0.24591128862728612</v>
      </c>
      <c r="U62" s="7">
        <f t="shared" si="39"/>
        <v>0.24854687894869851</v>
      </c>
      <c r="V62" s="7">
        <f t="shared" si="39"/>
        <v>0.24554697031313541</v>
      </c>
      <c r="W62" s="7">
        <f t="shared" si="39"/>
        <v>0.26104567059309775</v>
      </c>
      <c r="X62" s="7">
        <f t="shared" si="39"/>
        <v>0.27181073264781491</v>
      </c>
      <c r="Y62" s="7">
        <f t="shared" si="40"/>
        <v>0.25348858125263762</v>
      </c>
      <c r="Z62" s="189"/>
    </row>
    <row r="63" spans="1:26">
      <c r="A63" s="1" t="s">
        <v>55</v>
      </c>
      <c r="B63" s="1">
        <f t="shared" ref="B63:J63" si="44">B62+B55+B57</f>
        <v>0</v>
      </c>
      <c r="C63" s="22">
        <f t="shared" si="44"/>
        <v>19985</v>
      </c>
      <c r="D63" s="137">
        <f t="shared" si="44"/>
        <v>20753</v>
      </c>
      <c r="E63" s="137">
        <f t="shared" si="44"/>
        <v>21297</v>
      </c>
      <c r="F63" s="137">
        <f t="shared" si="44"/>
        <v>23335</v>
      </c>
      <c r="G63" s="137">
        <f t="shared" si="44"/>
        <v>23785</v>
      </c>
      <c r="H63" s="137">
        <f t="shared" si="44"/>
        <v>23742</v>
      </c>
      <c r="I63" s="11">
        <f t="shared" si="44"/>
        <v>24590</v>
      </c>
      <c r="J63" s="11">
        <f t="shared" si="44"/>
        <v>24195</v>
      </c>
      <c r="K63" s="11">
        <f t="shared" ref="K63" si="45">K62+K55+K57</f>
        <v>24896</v>
      </c>
      <c r="L63" s="7">
        <f t="shared" si="38"/>
        <v>1.3034775319061822E-2</v>
      </c>
      <c r="M63" s="1"/>
      <c r="N63" s="1" t="s">
        <v>55</v>
      </c>
      <c r="O63" s="7" t="e">
        <f t="shared" si="39"/>
        <v>#DIV/0!</v>
      </c>
      <c r="P63" s="7">
        <f t="shared" si="39"/>
        <v>1</v>
      </c>
      <c r="Q63" s="7">
        <f t="shared" si="39"/>
        <v>1</v>
      </c>
      <c r="R63" s="7">
        <f t="shared" si="39"/>
        <v>1</v>
      </c>
      <c r="S63" s="7">
        <f t="shared" si="39"/>
        <v>1</v>
      </c>
      <c r="T63" s="7">
        <f t="shared" si="39"/>
        <v>1</v>
      </c>
      <c r="U63" s="7">
        <f t="shared" si="39"/>
        <v>1</v>
      </c>
      <c r="V63" s="7">
        <f t="shared" si="39"/>
        <v>1</v>
      </c>
      <c r="W63" s="7">
        <f t="shared" si="39"/>
        <v>1</v>
      </c>
      <c r="X63" s="7">
        <f t="shared" si="39"/>
        <v>1</v>
      </c>
      <c r="Y63" s="7">
        <f t="shared" si="40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DTE Energy Co.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DTE Energy Co.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10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10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10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10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46">B73+1</f>
        <v>2002</v>
      </c>
      <c r="D73" s="5">
        <f t="shared" si="46"/>
        <v>2003</v>
      </c>
      <c r="E73" s="5">
        <f t="shared" si="46"/>
        <v>2004</v>
      </c>
      <c r="F73" s="5">
        <f t="shared" si="46"/>
        <v>2005</v>
      </c>
      <c r="G73" s="5">
        <f t="shared" si="46"/>
        <v>2006</v>
      </c>
      <c r="H73" s="5">
        <f t="shared" si="46"/>
        <v>2007</v>
      </c>
      <c r="I73" s="5">
        <f>H73+1</f>
        <v>2008</v>
      </c>
      <c r="J73" s="162">
        <f>+J8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47">B73</f>
        <v>2001</v>
      </c>
      <c r="P73" s="5">
        <f t="shared" si="47"/>
        <v>2002</v>
      </c>
      <c r="Q73" s="5">
        <f t="shared" si="47"/>
        <v>2003</v>
      </c>
      <c r="R73" s="5">
        <f t="shared" si="47"/>
        <v>2004</v>
      </c>
      <c r="S73" s="5">
        <f t="shared" si="47"/>
        <v>2005</v>
      </c>
      <c r="T73" s="5">
        <f t="shared" si="47"/>
        <v>2006</v>
      </c>
      <c r="U73" s="5">
        <f t="shared" si="47"/>
        <v>2007</v>
      </c>
      <c r="V73" s="5">
        <f t="shared" si="47"/>
        <v>2008</v>
      </c>
      <c r="W73" s="162">
        <f>J8</f>
        <v>2009</v>
      </c>
      <c r="X73" s="162">
        <f>K8</f>
        <v>2010</v>
      </c>
      <c r="Y73" s="10" t="s">
        <v>10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">
        <v>63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/>
      <c r="C75" s="22">
        <f>6729</f>
        <v>6729</v>
      </c>
      <c r="D75" s="137">
        <f>7005</f>
        <v>7005</v>
      </c>
      <c r="E75" s="137">
        <f>7069</f>
        <v>7069</v>
      </c>
      <c r="F75" s="137">
        <v>8094</v>
      </c>
      <c r="G75" s="137">
        <v>8159</v>
      </c>
      <c r="H75" s="137">
        <v>8475</v>
      </c>
      <c r="I75" s="136">
        <v>9329</v>
      </c>
      <c r="J75" s="136">
        <v>8014</v>
      </c>
      <c r="K75" s="136">
        <v>8557</v>
      </c>
      <c r="L75" s="7">
        <f>RATE(5,,-F75,K75)</f>
        <v>1.1187439544165428E-2</v>
      </c>
      <c r="M75" s="1"/>
      <c r="N75" s="1" t="str">
        <f>A75</f>
        <v>Electric</v>
      </c>
      <c r="O75" s="1"/>
      <c r="P75" s="1"/>
      <c r="Q75" s="1"/>
      <c r="R75" s="1"/>
      <c r="S75" s="7">
        <f t="shared" ref="S75:S76" si="48">F75/F$78</f>
        <v>1</v>
      </c>
      <c r="T75" s="7">
        <f t="shared" ref="T75:T76" si="49">G75/G$78</f>
        <v>1</v>
      </c>
      <c r="U75" s="7">
        <f t="shared" ref="U75:U76" si="50">H75/H$78</f>
        <v>1</v>
      </c>
      <c r="V75" s="7">
        <f t="shared" ref="V75:V76" si="51">I75/I$78</f>
        <v>1</v>
      </c>
      <c r="W75" s="7">
        <f t="shared" ref="W75:W76" si="52">J75/J$78</f>
        <v>1</v>
      </c>
      <c r="X75" s="7">
        <f t="shared" ref="X75:X76" si="53">K75/K$78</f>
        <v>1</v>
      </c>
      <c r="Y75" s="7">
        <f t="shared" ref="Y75:Y76" si="54">SUM(F75:K75)/SUM(F$78:K$78)</f>
        <v>1</v>
      </c>
    </row>
    <row r="76" spans="1:25">
      <c r="A76" s="1" t="s">
        <v>64</v>
      </c>
      <c r="B76" s="1"/>
      <c r="C76" s="22"/>
      <c r="D76" s="137"/>
      <c r="E76" s="137"/>
      <c r="F76" s="137"/>
      <c r="G76" s="137"/>
      <c r="H76" s="137"/>
      <c r="I76" s="136"/>
      <c r="J76" s="136"/>
      <c r="K76" s="136"/>
      <c r="L76" s="7"/>
      <c r="M76" s="1"/>
      <c r="N76" s="1" t="str">
        <f>A76</f>
        <v>Other Regulated Operations</v>
      </c>
      <c r="O76" s="7" t="e">
        <f t="shared" ref="O76:R76" si="55">B77/B$78</f>
        <v>#DIV/0!</v>
      </c>
      <c r="P76" s="7">
        <f t="shared" si="55"/>
        <v>0</v>
      </c>
      <c r="Q76" s="7">
        <f t="shared" si="55"/>
        <v>0</v>
      </c>
      <c r="R76" s="7">
        <f t="shared" si="55"/>
        <v>0</v>
      </c>
      <c r="S76" s="7">
        <f t="shared" si="48"/>
        <v>0</v>
      </c>
      <c r="T76" s="7">
        <f t="shared" si="49"/>
        <v>0</v>
      </c>
      <c r="U76" s="7">
        <f t="shared" si="50"/>
        <v>0</v>
      </c>
      <c r="V76" s="7">
        <f t="shared" si="51"/>
        <v>0</v>
      </c>
      <c r="W76" s="7">
        <f t="shared" si="52"/>
        <v>0</v>
      </c>
      <c r="X76" s="7">
        <f t="shared" si="53"/>
        <v>0</v>
      </c>
      <c r="Y76" s="7">
        <f t="shared" si="54"/>
        <v>0</v>
      </c>
    </row>
    <row r="77" spans="1:25">
      <c r="A77" s="1" t="s">
        <v>65</v>
      </c>
      <c r="B77" s="1"/>
      <c r="C77" s="22"/>
      <c r="D77" s="137"/>
      <c r="E77" s="137"/>
      <c r="F77" s="137"/>
      <c r="G77" s="137"/>
      <c r="H77" s="137"/>
      <c r="I77" s="136"/>
      <c r="J77" s="136"/>
      <c r="K77" s="136"/>
      <c r="L77" s="7"/>
      <c r="M77" s="1"/>
      <c r="N77" s="1" t="str">
        <f>A77</f>
        <v>Non-Regulated Operations</v>
      </c>
      <c r="S77" s="7">
        <f>F77/F$78</f>
        <v>0</v>
      </c>
      <c r="T77" s="7">
        <f t="shared" ref="T77:X77" si="56">G77/G$78</f>
        <v>0</v>
      </c>
      <c r="U77" s="7">
        <f t="shared" si="56"/>
        <v>0</v>
      </c>
      <c r="V77" s="7">
        <f t="shared" si="56"/>
        <v>0</v>
      </c>
      <c r="W77" s="7">
        <f t="shared" si="56"/>
        <v>0</v>
      </c>
      <c r="X77" s="7">
        <f t="shared" si="56"/>
        <v>0</v>
      </c>
      <c r="Y77" s="7">
        <f>SUM(F77:K77)/SUM(F$78:K$78)</f>
        <v>0</v>
      </c>
    </row>
    <row r="78" spans="1:25">
      <c r="A78" s="1" t="s">
        <v>67</v>
      </c>
      <c r="B78" s="1">
        <f t="shared" ref="B78:K78" si="57">SUM(B74:B77)</f>
        <v>0</v>
      </c>
      <c r="C78" s="22">
        <f t="shared" ref="C78:H78" si="58">SUM(C74:C77)</f>
        <v>6729</v>
      </c>
      <c r="D78" s="137">
        <f t="shared" si="58"/>
        <v>7005</v>
      </c>
      <c r="E78" s="137">
        <f t="shared" si="58"/>
        <v>7069</v>
      </c>
      <c r="F78" s="137">
        <f t="shared" si="58"/>
        <v>8094</v>
      </c>
      <c r="G78" s="137">
        <f t="shared" si="58"/>
        <v>8159</v>
      </c>
      <c r="H78" s="137">
        <f t="shared" si="58"/>
        <v>8475</v>
      </c>
      <c r="I78" s="11">
        <f t="shared" si="57"/>
        <v>9329</v>
      </c>
      <c r="J78" s="11">
        <f t="shared" si="57"/>
        <v>8014</v>
      </c>
      <c r="K78" s="11">
        <f t="shared" si="57"/>
        <v>8557</v>
      </c>
      <c r="L78" s="7">
        <f>RATE(5,,-F78,K78)</f>
        <v>1.1187439544165428E-2</v>
      </c>
      <c r="M78" s="1"/>
      <c r="N78" s="1" t="s">
        <v>66</v>
      </c>
      <c r="O78" s="7" t="e">
        <f>B78/B$78</f>
        <v>#DIV/0!</v>
      </c>
      <c r="P78" s="7">
        <f>C78/C$78</f>
        <v>1</v>
      </c>
      <c r="Q78" s="7">
        <f>D78/D$78</f>
        <v>1</v>
      </c>
      <c r="R78" s="7">
        <f>E78/E$78</f>
        <v>1</v>
      </c>
      <c r="S78" s="7">
        <f>F78/F$78</f>
        <v>1</v>
      </c>
      <c r="T78" s="7">
        <f>G78/G$78</f>
        <v>1</v>
      </c>
      <c r="U78" s="7">
        <f>H78/H$78</f>
        <v>1</v>
      </c>
      <c r="V78" s="7">
        <f>I78/I$78</f>
        <v>1</v>
      </c>
      <c r="W78" s="7">
        <f>J78/J$78</f>
        <v>1</v>
      </c>
      <c r="X78" s="7">
        <f>K78/K$78</f>
        <v>1</v>
      </c>
      <c r="Y78" s="7">
        <f>SUM(F78:K78)/SUM(F$78:K$78)</f>
        <v>1</v>
      </c>
    </row>
    <row r="79" spans="1:25">
      <c r="A79" s="1"/>
      <c r="B79" s="1"/>
      <c r="C79" s="22"/>
      <c r="D79" s="137"/>
      <c r="E79" s="137"/>
      <c r="F79" s="137"/>
      <c r="G79" s="137"/>
      <c r="H79" s="137"/>
      <c r="I79" s="11"/>
      <c r="J79" s="11"/>
      <c r="K79" s="1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22"/>
      <c r="D80" s="137"/>
      <c r="E80" s="137"/>
      <c r="F80" s="137"/>
      <c r="G80" s="137"/>
      <c r="H80" s="137"/>
      <c r="I80" s="11"/>
      <c r="J80" s="11"/>
      <c r="K80" s="1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6">
      <c r="A81" s="1" t="s">
        <v>69</v>
      </c>
      <c r="B81" s="1"/>
      <c r="C81" s="22">
        <f>2099</f>
        <v>2099</v>
      </c>
      <c r="D81" s="137">
        <f>2241</f>
        <v>2241</v>
      </c>
      <c r="E81" s="137">
        <f>2007</f>
        <v>2007</v>
      </c>
      <c r="F81" s="137">
        <f>3530</f>
        <v>3530</v>
      </c>
      <c r="G81" s="137">
        <f>3056</f>
        <v>3056</v>
      </c>
      <c r="H81" s="137">
        <v>3552</v>
      </c>
      <c r="I81" s="11">
        <v>4306</v>
      </c>
      <c r="J81" s="11">
        <v>3118</v>
      </c>
      <c r="K81" s="11">
        <v>3190</v>
      </c>
      <c r="L81" s="7">
        <f>RATE(5,,-F81,K81)</f>
        <v>-2.0051628481924804E-2</v>
      </c>
      <c r="M81" s="1"/>
      <c r="N81" s="1" t="str">
        <f>A81</f>
        <v xml:space="preserve">   Purchased power</v>
      </c>
      <c r="O81" s="7" t="e">
        <f t="shared" ref="O81:X87" si="59">B81/B$78</f>
        <v>#DIV/0!</v>
      </c>
      <c r="P81" s="7">
        <f t="shared" si="59"/>
        <v>0.31193342249962847</v>
      </c>
      <c r="Q81" s="7">
        <f t="shared" si="59"/>
        <v>0.31991434689507492</v>
      </c>
      <c r="R81" s="7">
        <f t="shared" si="59"/>
        <v>0.28391568821615504</v>
      </c>
      <c r="S81" s="7">
        <f t="shared" si="59"/>
        <v>0.43612552508030639</v>
      </c>
      <c r="T81" s="7">
        <f t="shared" si="59"/>
        <v>0.37455570535604854</v>
      </c>
      <c r="U81" s="7">
        <f t="shared" si="59"/>
        <v>0.41911504424778762</v>
      </c>
      <c r="V81" s="7">
        <f t="shared" si="59"/>
        <v>0.46157144388466076</v>
      </c>
      <c r="W81" s="7">
        <f t="shared" si="59"/>
        <v>0.38906912902420765</v>
      </c>
      <c r="X81" s="7">
        <f t="shared" si="59"/>
        <v>0.37279420357601961</v>
      </c>
      <c r="Y81" s="7">
        <f>SUM(F81:K81)/SUM(F$78:K$78)</f>
        <v>0.40989175950067158</v>
      </c>
    </row>
    <row r="82" spans="1:26">
      <c r="A82" s="1" t="s">
        <v>70</v>
      </c>
      <c r="B82" s="1"/>
      <c r="C82" s="22"/>
      <c r="D82" s="137"/>
      <c r="E82" s="137"/>
      <c r="F82" s="137"/>
      <c r="G82" s="137"/>
      <c r="H82" s="137"/>
      <c r="I82" s="11"/>
      <c r="J82" s="11"/>
      <c r="K82" s="11"/>
      <c r="L82" s="7"/>
      <c r="M82" s="1"/>
      <c r="N82" s="1" t="str">
        <f t="shared" ref="N82:N87" si="60">A82</f>
        <v xml:space="preserve">   Fuel</v>
      </c>
      <c r="O82" s="7" t="e">
        <f t="shared" si="59"/>
        <v>#DIV/0!</v>
      </c>
      <c r="P82" s="7">
        <f t="shared" si="59"/>
        <v>0</v>
      </c>
      <c r="Q82" s="7">
        <f t="shared" si="59"/>
        <v>0</v>
      </c>
      <c r="R82" s="7">
        <f t="shared" si="59"/>
        <v>0</v>
      </c>
      <c r="S82" s="7">
        <f t="shared" si="59"/>
        <v>0</v>
      </c>
      <c r="T82" s="7">
        <f t="shared" si="59"/>
        <v>0</v>
      </c>
      <c r="U82" s="7">
        <f t="shared" si="59"/>
        <v>0</v>
      </c>
      <c r="V82" s="7">
        <f t="shared" si="59"/>
        <v>0</v>
      </c>
      <c r="W82" s="7">
        <f t="shared" si="59"/>
        <v>0</v>
      </c>
      <c r="X82" s="7">
        <f t="shared" si="59"/>
        <v>0</v>
      </c>
      <c r="Y82" s="7">
        <f t="shared" ref="Y82:Y101" si="61">SUM(F82:K82)/SUM(F$78:K$78)</f>
        <v>0</v>
      </c>
    </row>
    <row r="83" spans="1:26">
      <c r="A83" s="1" t="s">
        <v>71</v>
      </c>
      <c r="B83" s="1"/>
      <c r="C83" s="22">
        <f>2589</f>
        <v>2589</v>
      </c>
      <c r="D83" s="137">
        <f>3055</f>
        <v>3055</v>
      </c>
      <c r="E83" s="137">
        <f>3355</f>
        <v>3355</v>
      </c>
      <c r="F83" s="137">
        <v>2625</v>
      </c>
      <c r="G83" s="137">
        <v>2677</v>
      </c>
      <c r="H83" s="137">
        <v>2892</v>
      </c>
      <c r="I83" s="11">
        <v>2694</v>
      </c>
      <c r="J83" s="11">
        <v>2372</v>
      </c>
      <c r="K83" s="11">
        <v>2578</v>
      </c>
      <c r="L83" s="7">
        <f t="shared" ref="L83:L87" si="62">RATE(5,,-F83,K83)</f>
        <v>-3.6068778377080809E-3</v>
      </c>
      <c r="M83" s="1"/>
      <c r="N83" s="1" t="str">
        <f t="shared" si="60"/>
        <v xml:space="preserve">   Other operations and maintenance</v>
      </c>
      <c r="O83" s="7" t="e">
        <f t="shared" si="59"/>
        <v>#DIV/0!</v>
      </c>
      <c r="P83" s="7">
        <f t="shared" si="59"/>
        <v>0.3847525635309853</v>
      </c>
      <c r="Q83" s="7">
        <f t="shared" si="59"/>
        <v>0.43611705924339755</v>
      </c>
      <c r="R83" s="7">
        <f t="shared" si="59"/>
        <v>0.47460744093931251</v>
      </c>
      <c r="S83" s="7">
        <f t="shared" si="59"/>
        <v>0.32431430689399554</v>
      </c>
      <c r="T83" s="7">
        <f t="shared" si="59"/>
        <v>0.32810393430567469</v>
      </c>
      <c r="U83" s="7">
        <f t="shared" si="59"/>
        <v>0.34123893805309735</v>
      </c>
      <c r="V83" s="7">
        <f t="shared" si="59"/>
        <v>0.28877693214706829</v>
      </c>
      <c r="W83" s="7">
        <f t="shared" si="59"/>
        <v>0.29598203144497132</v>
      </c>
      <c r="X83" s="7">
        <f t="shared" si="59"/>
        <v>0.3012738109150403</v>
      </c>
      <c r="Y83" s="7">
        <f t="shared" si="61"/>
        <v>0.31283084459192539</v>
      </c>
    </row>
    <row r="84" spans="1:26">
      <c r="A84" s="1" t="s">
        <v>72</v>
      </c>
      <c r="B84" s="1"/>
      <c r="C84" s="22">
        <f>737</f>
        <v>737</v>
      </c>
      <c r="D84" s="137">
        <f>685</f>
        <v>685</v>
      </c>
      <c r="E84" s="137">
        <f>739</f>
        <v>739</v>
      </c>
      <c r="F84" s="137">
        <v>810</v>
      </c>
      <c r="G84" s="137">
        <v>990</v>
      </c>
      <c r="H84" s="137">
        <v>932</v>
      </c>
      <c r="I84" s="11">
        <v>901</v>
      </c>
      <c r="J84" s="11">
        <v>1020</v>
      </c>
      <c r="K84" s="11">
        <v>1027</v>
      </c>
      <c r="L84" s="7">
        <f t="shared" si="62"/>
        <v>4.8617460694506523E-2</v>
      </c>
      <c r="M84" s="1"/>
      <c r="N84" s="1" t="str">
        <f t="shared" si="60"/>
        <v xml:space="preserve">   Depreciation and amortization</v>
      </c>
      <c r="O84" s="7" t="e">
        <f t="shared" si="59"/>
        <v>#DIV/0!</v>
      </c>
      <c r="P84" s="7">
        <f t="shared" si="59"/>
        <v>0.10952593253083667</v>
      </c>
      <c r="Q84" s="7">
        <f t="shared" si="59"/>
        <v>9.7787294789436111E-2</v>
      </c>
      <c r="R84" s="7">
        <f t="shared" si="59"/>
        <v>0.10454095345876362</v>
      </c>
      <c r="S84" s="7">
        <f t="shared" si="59"/>
        <v>0.10007412898443291</v>
      </c>
      <c r="T84" s="7">
        <f t="shared" si="59"/>
        <v>0.12133839931364138</v>
      </c>
      <c r="U84" s="7">
        <f t="shared" si="59"/>
        <v>0.10997050147492625</v>
      </c>
      <c r="V84" s="7">
        <f t="shared" si="59"/>
        <v>9.6580555257798267E-2</v>
      </c>
      <c r="W84" s="7">
        <f t="shared" si="59"/>
        <v>0.12727726478662341</v>
      </c>
      <c r="X84" s="7">
        <f t="shared" si="59"/>
        <v>0.12001869814187215</v>
      </c>
      <c r="Y84" s="7">
        <f t="shared" si="61"/>
        <v>0.11219088251560401</v>
      </c>
    </row>
    <row r="85" spans="1:26">
      <c r="A85" s="1" t="s">
        <v>73</v>
      </c>
      <c r="B85" s="1"/>
      <c r="C85" s="22">
        <f>352</f>
        <v>352</v>
      </c>
      <c r="D85" s="137">
        <f>334</f>
        <v>334</v>
      </c>
      <c r="E85" s="137">
        <f>312</f>
        <v>312</v>
      </c>
      <c r="F85" s="137">
        <v>254</v>
      </c>
      <c r="G85" s="137">
        <v>309</v>
      </c>
      <c r="H85" s="137">
        <v>357</v>
      </c>
      <c r="I85" s="11">
        <v>304</v>
      </c>
      <c r="J85" s="11">
        <v>275</v>
      </c>
      <c r="K85" s="11">
        <v>308</v>
      </c>
      <c r="L85" s="7">
        <f t="shared" si="62"/>
        <v>3.9305917353465343E-2</v>
      </c>
      <c r="M85" s="1"/>
      <c r="N85" s="1" t="str">
        <f t="shared" si="60"/>
        <v xml:space="preserve">   Taxes, other than income taxes</v>
      </c>
      <c r="O85" s="7" t="e">
        <f t="shared" si="59"/>
        <v>#DIV/0!</v>
      </c>
      <c r="P85" s="7">
        <f t="shared" si="59"/>
        <v>5.231089314905632E-2</v>
      </c>
      <c r="Q85" s="7">
        <f t="shared" si="59"/>
        <v>4.7680228408279797E-2</v>
      </c>
      <c r="R85" s="7">
        <f t="shared" si="59"/>
        <v>4.4136370066487483E-2</v>
      </c>
      <c r="S85" s="7">
        <f t="shared" si="59"/>
        <v>3.1381270076599951E-2</v>
      </c>
      <c r="T85" s="7">
        <f t="shared" si="59"/>
        <v>3.7872288270621397E-2</v>
      </c>
      <c r="U85" s="7">
        <f t="shared" si="59"/>
        <v>4.2123893805309731E-2</v>
      </c>
      <c r="V85" s="7">
        <f t="shared" si="59"/>
        <v>3.2586558044806514E-2</v>
      </c>
      <c r="W85" s="7">
        <f t="shared" si="59"/>
        <v>3.4314948839530818E-2</v>
      </c>
      <c r="X85" s="7">
        <f t="shared" si="59"/>
        <v>3.5993923103891552E-2</v>
      </c>
      <c r="Y85" s="7">
        <f t="shared" si="61"/>
        <v>3.5691712096073316E-2</v>
      </c>
    </row>
    <row r="86" spans="1:26">
      <c r="A86" s="1" t="s">
        <v>74</v>
      </c>
      <c r="B86" s="1"/>
      <c r="C86" s="22">
        <f>-42</f>
        <v>-42</v>
      </c>
      <c r="D86" s="168">
        <f>-77</f>
        <v>-77</v>
      </c>
      <c r="E86" s="168">
        <f>-219</f>
        <v>-219</v>
      </c>
      <c r="F86" s="168">
        <v>-23</v>
      </c>
      <c r="G86" s="168">
        <v>67</v>
      </c>
      <c r="H86" s="168">
        <f>-900+37</f>
        <v>-863</v>
      </c>
      <c r="I86" s="169">
        <v>-139</v>
      </c>
      <c r="J86" s="169">
        <v>-20</v>
      </c>
      <c r="K86" s="169">
        <v>-10</v>
      </c>
      <c r="L86" s="7">
        <f t="shared" si="62"/>
        <v>-0.15344645479242749</v>
      </c>
      <c r="M86" s="1"/>
      <c r="N86" s="1" t="str">
        <f t="shared" si="60"/>
        <v xml:space="preserve">   Other Operating Expenses</v>
      </c>
      <c r="O86" s="7" t="e">
        <f t="shared" si="59"/>
        <v>#DIV/0!</v>
      </c>
      <c r="P86" s="7">
        <f t="shared" si="59"/>
        <v>-6.241640659830584E-3</v>
      </c>
      <c r="Q86" s="7">
        <f t="shared" si="59"/>
        <v>-1.099214846538187E-2</v>
      </c>
      <c r="R86" s="7">
        <f t="shared" si="59"/>
        <v>-3.0980336681284481E-2</v>
      </c>
      <c r="S86" s="7">
        <f t="shared" si="59"/>
        <v>-2.8416110699283422E-3</v>
      </c>
      <c r="T86" s="7">
        <f t="shared" si="59"/>
        <v>8.2117906606201732E-3</v>
      </c>
      <c r="U86" s="7">
        <f t="shared" si="59"/>
        <v>-0.10182890855457227</v>
      </c>
      <c r="V86" s="7">
        <f t="shared" si="59"/>
        <v>-1.4899774895487191E-2</v>
      </c>
      <c r="W86" s="7">
        <f t="shared" si="59"/>
        <v>-2.4956326428749688E-3</v>
      </c>
      <c r="X86" s="7">
        <f t="shared" si="59"/>
        <v>-1.168633867009466E-3</v>
      </c>
      <c r="Y86" s="7">
        <f t="shared" si="61"/>
        <v>-1.9514892944615628E-2</v>
      </c>
    </row>
    <row r="87" spans="1:26">
      <c r="A87" s="1" t="s">
        <v>75</v>
      </c>
      <c r="B87" s="1">
        <f t="shared" ref="B87" si="63">SUM(B80:B86)</f>
        <v>0</v>
      </c>
      <c r="C87" s="22">
        <f t="shared" ref="C87:H87" si="64">SUM(C80:C86)</f>
        <v>5735</v>
      </c>
      <c r="D87" s="137">
        <f t="shared" si="64"/>
        <v>6238</v>
      </c>
      <c r="E87" s="137">
        <f t="shared" si="64"/>
        <v>6194</v>
      </c>
      <c r="F87" s="137">
        <f t="shared" si="64"/>
        <v>7196</v>
      </c>
      <c r="G87" s="137">
        <f t="shared" si="64"/>
        <v>7099</v>
      </c>
      <c r="H87" s="137">
        <f t="shared" si="64"/>
        <v>6870</v>
      </c>
      <c r="I87" s="11">
        <f>SUM(I81:I86)</f>
        <v>8066</v>
      </c>
      <c r="J87" s="11">
        <f>SUM(J81:J86)</f>
        <v>6765</v>
      </c>
      <c r="K87" s="11">
        <f>SUM(K81:K86)</f>
        <v>7093</v>
      </c>
      <c r="L87" s="7">
        <f t="shared" si="62"/>
        <v>-2.8792338065196459E-3</v>
      </c>
      <c r="M87" s="1"/>
      <c r="N87" s="1" t="str">
        <f t="shared" si="60"/>
        <v>Total Operating Expenses</v>
      </c>
      <c r="O87" s="7" t="e">
        <f t="shared" si="59"/>
        <v>#DIV/0!</v>
      </c>
      <c r="P87" s="7">
        <f t="shared" si="59"/>
        <v>0.85228117105067613</v>
      </c>
      <c r="Q87" s="7">
        <f t="shared" si="59"/>
        <v>0.89050678087080659</v>
      </c>
      <c r="R87" s="7">
        <f t="shared" si="59"/>
        <v>0.87622011599943417</v>
      </c>
      <c r="S87" s="7">
        <f t="shared" si="59"/>
        <v>0.88905361996540644</v>
      </c>
      <c r="T87" s="7">
        <f t="shared" si="59"/>
        <v>0.87008211790660617</v>
      </c>
      <c r="U87" s="7">
        <f t="shared" si="59"/>
        <v>0.81061946902654869</v>
      </c>
      <c r="V87" s="7">
        <f t="shared" si="59"/>
        <v>0.86461571443884666</v>
      </c>
      <c r="W87" s="7">
        <f t="shared" si="59"/>
        <v>0.84414774145245819</v>
      </c>
      <c r="X87" s="7">
        <f t="shared" si="59"/>
        <v>0.82891200186981417</v>
      </c>
      <c r="Y87" s="7">
        <f t="shared" si="61"/>
        <v>0.85109030575965872</v>
      </c>
    </row>
    <row r="88" spans="1:26">
      <c r="A88" s="1" t="s">
        <v>76</v>
      </c>
      <c r="B88" s="1"/>
      <c r="C88" s="22"/>
      <c r="D88" s="137"/>
      <c r="E88" s="137"/>
      <c r="F88" s="137"/>
      <c r="G88" s="137"/>
      <c r="H88" s="137"/>
      <c r="I88" s="11"/>
      <c r="J88" s="11"/>
      <c r="K88" s="11"/>
      <c r="L88" s="7"/>
      <c r="M88" s="1"/>
      <c r="Y88" s="7"/>
    </row>
    <row r="89" spans="1:26">
      <c r="A89" s="1" t="s">
        <v>77</v>
      </c>
      <c r="B89" s="1"/>
      <c r="C89" s="22"/>
      <c r="D89" s="168"/>
      <c r="E89" s="168"/>
      <c r="F89" s="168"/>
      <c r="G89" s="168"/>
      <c r="H89" s="168"/>
      <c r="I89" s="169"/>
      <c r="J89" s="169"/>
      <c r="K89" s="169"/>
      <c r="L89" s="164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7"/>
    </row>
    <row r="90" spans="1:26">
      <c r="A90" s="1" t="s">
        <v>78</v>
      </c>
      <c r="B90" s="1">
        <f t="shared" ref="B90:H90" si="65">B78-B87</f>
        <v>0</v>
      </c>
      <c r="C90" s="22">
        <f t="shared" si="65"/>
        <v>994</v>
      </c>
      <c r="D90" s="137">
        <f t="shared" si="65"/>
        <v>767</v>
      </c>
      <c r="E90" s="137">
        <f t="shared" si="65"/>
        <v>875</v>
      </c>
      <c r="F90" s="137">
        <f t="shared" si="65"/>
        <v>898</v>
      </c>
      <c r="G90" s="137">
        <f t="shared" si="65"/>
        <v>1060</v>
      </c>
      <c r="H90" s="137">
        <f t="shared" si="65"/>
        <v>1605</v>
      </c>
      <c r="I90" s="11">
        <f>I78-I87+I88</f>
        <v>1263</v>
      </c>
      <c r="J90" s="11">
        <f>J78-J87</f>
        <v>1249</v>
      </c>
      <c r="K90" s="11">
        <f>K78-K87</f>
        <v>1464</v>
      </c>
      <c r="L90" s="7">
        <f>RATE(5,,-F90,K90)</f>
        <v>0.10268876074487124</v>
      </c>
      <c r="M90" s="1"/>
      <c r="N90" s="1" t="str">
        <f>A88</f>
        <v xml:space="preserve">  Electric Earnings from Operations</v>
      </c>
      <c r="O90" s="7" t="e">
        <f t="shared" ref="O90:X90" si="66">B90/B$78</f>
        <v>#DIV/0!</v>
      </c>
      <c r="P90" s="7">
        <f t="shared" si="66"/>
        <v>0.14771882894932381</v>
      </c>
      <c r="Q90" s="7">
        <f t="shared" si="66"/>
        <v>0.10949321912919344</v>
      </c>
      <c r="R90" s="7">
        <f t="shared" si="66"/>
        <v>0.12377988400056585</v>
      </c>
      <c r="S90" s="7">
        <f t="shared" si="66"/>
        <v>0.11094638003459352</v>
      </c>
      <c r="T90" s="7">
        <f t="shared" si="66"/>
        <v>0.1299178820933938</v>
      </c>
      <c r="U90" s="7">
        <f t="shared" si="66"/>
        <v>0.18938053097345134</v>
      </c>
      <c r="V90" s="7">
        <f t="shared" si="66"/>
        <v>0.13538428556115339</v>
      </c>
      <c r="W90" s="7">
        <f t="shared" si="66"/>
        <v>0.15585225854754181</v>
      </c>
      <c r="X90" s="7">
        <f t="shared" si="66"/>
        <v>0.17108799813018583</v>
      </c>
      <c r="Y90" s="7">
        <f t="shared" si="61"/>
        <v>0.14890969424034131</v>
      </c>
    </row>
    <row r="91" spans="1:26">
      <c r="A91" s="1"/>
      <c r="B91" s="1"/>
      <c r="C91" s="22"/>
      <c r="D91" s="137"/>
      <c r="E91" s="137"/>
      <c r="F91" s="137"/>
      <c r="G91" s="137"/>
      <c r="H91" s="137"/>
      <c r="I91" s="11"/>
      <c r="J91" s="11"/>
      <c r="K91" s="1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</row>
    <row r="92" spans="1:26">
      <c r="A92" s="1" t="s">
        <v>79</v>
      </c>
      <c r="B92" s="1"/>
      <c r="C92" s="22">
        <f>569</f>
        <v>569</v>
      </c>
      <c r="D92" s="137">
        <f>545</f>
        <v>545</v>
      </c>
      <c r="E92" s="137">
        <f>516</f>
        <v>516</v>
      </c>
      <c r="F92" s="137">
        <v>518</v>
      </c>
      <c r="G92" s="137">
        <v>525</v>
      </c>
      <c r="H92" s="137">
        <v>533</v>
      </c>
      <c r="I92" s="11">
        <v>503</v>
      </c>
      <c r="J92" s="11">
        <v>545</v>
      </c>
      <c r="K92" s="11">
        <v>549</v>
      </c>
      <c r="L92" s="7">
        <f t="shared" ref="L92:L96" si="67">RATE(5,,-F92,K92)</f>
        <v>1.1692468549092864E-2</v>
      </c>
      <c r="M92" s="1"/>
      <c r="N92" s="1" t="str">
        <f>A92</f>
        <v xml:space="preserve">   Interest expense (net)</v>
      </c>
      <c r="O92" s="7" t="e">
        <f t="shared" ref="O92:X96" si="68">B92/B$78</f>
        <v>#DIV/0!</v>
      </c>
      <c r="P92" s="7">
        <f t="shared" si="68"/>
        <v>8.4559369891514344E-2</v>
      </c>
      <c r="Q92" s="7">
        <f t="shared" si="68"/>
        <v>7.7801570306923626E-2</v>
      </c>
      <c r="R92" s="7">
        <f t="shared" si="68"/>
        <v>7.2994765879190834E-2</v>
      </c>
      <c r="S92" s="7">
        <f t="shared" si="68"/>
        <v>6.3998023227081785E-2</v>
      </c>
      <c r="T92" s="7">
        <f t="shared" si="68"/>
        <v>6.434612084814316E-2</v>
      </c>
      <c r="U92" s="7">
        <f t="shared" si="68"/>
        <v>6.2890855457227141E-2</v>
      </c>
      <c r="V92" s="7">
        <f t="shared" si="68"/>
        <v>5.3917890449137099E-2</v>
      </c>
      <c r="W92" s="7">
        <f t="shared" si="68"/>
        <v>6.8005989518342899E-2</v>
      </c>
      <c r="X92" s="7">
        <f t="shared" si="68"/>
        <v>6.4157999298819685E-2</v>
      </c>
      <c r="Y92" s="7">
        <f t="shared" si="61"/>
        <v>6.2672829264438651E-2</v>
      </c>
    </row>
    <row r="93" spans="1:26">
      <c r="A93" s="1" t="s">
        <v>80</v>
      </c>
      <c r="B93" s="1"/>
      <c r="C93" s="22">
        <f>-29</f>
        <v>-29</v>
      </c>
      <c r="D93" s="137">
        <f>-37</f>
        <v>-37</v>
      </c>
      <c r="E93" s="137">
        <f>-55</f>
        <v>-55</v>
      </c>
      <c r="F93" s="137">
        <v>-22</v>
      </c>
      <c r="G93" s="137">
        <v>-26</v>
      </c>
      <c r="H93" s="137">
        <v>-25</v>
      </c>
      <c r="I93" s="11">
        <v>-19</v>
      </c>
      <c r="J93" s="11">
        <v>-19</v>
      </c>
      <c r="K93" s="11">
        <v>-12</v>
      </c>
      <c r="L93" s="7">
        <f t="shared" si="67"/>
        <v>-0.11416728965524092</v>
      </c>
      <c r="M93" s="1"/>
      <c r="N93" s="1" t="str">
        <f>A93</f>
        <v xml:space="preserve">   Interest income</v>
      </c>
      <c r="O93" s="7" t="e">
        <f t="shared" si="68"/>
        <v>#DIV/0!</v>
      </c>
      <c r="P93" s="7">
        <f t="shared" si="68"/>
        <v>-4.3097042651211179E-3</v>
      </c>
      <c r="Q93" s="7">
        <f t="shared" si="68"/>
        <v>-5.2819414703783015E-3</v>
      </c>
      <c r="R93" s="7">
        <f t="shared" si="68"/>
        <v>-7.7804498514641388E-3</v>
      </c>
      <c r="S93" s="7">
        <f t="shared" si="68"/>
        <v>-2.7180627625401532E-3</v>
      </c>
      <c r="T93" s="7">
        <f t="shared" si="68"/>
        <v>-3.1866650324794705E-3</v>
      </c>
      <c r="U93" s="7">
        <f t="shared" si="68"/>
        <v>-2.9498525073746312E-3</v>
      </c>
      <c r="V93" s="7">
        <f t="shared" si="68"/>
        <v>-2.0366598778004071E-3</v>
      </c>
      <c r="W93" s="7">
        <f t="shared" si="68"/>
        <v>-2.3708510107312204E-3</v>
      </c>
      <c r="X93" s="7">
        <f t="shared" si="68"/>
        <v>-1.4023606404113592E-3</v>
      </c>
      <c r="Y93" s="7">
        <f t="shared" si="61"/>
        <v>-2.4294856601090307E-3</v>
      </c>
    </row>
    <row r="94" spans="1:26">
      <c r="A94" s="1" t="s">
        <v>81</v>
      </c>
      <c r="B94" s="1"/>
      <c r="C94" s="22">
        <f>-45</f>
        <v>-45</v>
      </c>
      <c r="D94" s="137">
        <f>-110</f>
        <v>-110</v>
      </c>
      <c r="E94" s="137">
        <v>-81</v>
      </c>
      <c r="F94" s="137">
        <v>-68</v>
      </c>
      <c r="G94" s="137">
        <v>-61</v>
      </c>
      <c r="H94" s="137">
        <v>-93</v>
      </c>
      <c r="I94" s="11">
        <v>-104</v>
      </c>
      <c r="J94" s="11">
        <v>-102</v>
      </c>
      <c r="K94" s="11">
        <v>-78</v>
      </c>
      <c r="L94" s="7">
        <f t="shared" si="67"/>
        <v>2.7820174604833055E-2</v>
      </c>
      <c r="M94" s="1"/>
      <c r="N94" s="1" t="str">
        <f>A94</f>
        <v xml:space="preserve">   Loss (Gain) on Sale of Assets</v>
      </c>
      <c r="O94" s="7" t="e">
        <f t="shared" si="68"/>
        <v>#DIV/0!</v>
      </c>
      <c r="P94" s="7">
        <f t="shared" si="68"/>
        <v>-6.6874721355327689E-3</v>
      </c>
      <c r="Q94" s="7">
        <f t="shared" si="68"/>
        <v>-1.5703069236259814E-2</v>
      </c>
      <c r="R94" s="7">
        <f t="shared" si="68"/>
        <v>-1.1458480690338096E-2</v>
      </c>
      <c r="S94" s="7">
        <f t="shared" si="68"/>
        <v>-8.401284902396838E-3</v>
      </c>
      <c r="T94" s="7">
        <f t="shared" si="68"/>
        <v>-7.4764064223556805E-3</v>
      </c>
      <c r="U94" s="7">
        <f t="shared" si="68"/>
        <v>-1.0973451327433627E-2</v>
      </c>
      <c r="V94" s="7">
        <f t="shared" si="68"/>
        <v>-1.1148033015328546E-2</v>
      </c>
      <c r="W94" s="7">
        <f t="shared" si="68"/>
        <v>-1.2727726478662341E-2</v>
      </c>
      <c r="X94" s="7">
        <f t="shared" si="68"/>
        <v>-9.1153441626738337E-3</v>
      </c>
      <c r="Y94" s="7">
        <f t="shared" si="61"/>
        <v>-9.9944694635379638E-3</v>
      </c>
    </row>
    <row r="95" spans="1:26">
      <c r="A95" s="1" t="s">
        <v>157</v>
      </c>
      <c r="B95" s="1"/>
      <c r="C95" s="22">
        <f>34</f>
        <v>34</v>
      </c>
      <c r="D95" s="168">
        <f>82</f>
        <v>82</v>
      </c>
      <c r="E95" s="168">
        <f>67</f>
        <v>67</v>
      </c>
      <c r="F95" s="168">
        <v>55</v>
      </c>
      <c r="G95" s="168">
        <v>86</v>
      </c>
      <c r="H95" s="168">
        <v>35</v>
      </c>
      <c r="I95" s="169">
        <v>64</v>
      </c>
      <c r="J95" s="169">
        <v>43</v>
      </c>
      <c r="K95" s="169">
        <v>55</v>
      </c>
      <c r="L95" s="7">
        <f t="shared" si="67"/>
        <v>5.3271825118500163E-17</v>
      </c>
      <c r="M95" s="1"/>
      <c r="N95" s="1" t="str">
        <f>A95</f>
        <v xml:space="preserve">   Other (Income) Expense</v>
      </c>
      <c r="O95" s="7" t="e">
        <f t="shared" si="68"/>
        <v>#DIV/0!</v>
      </c>
      <c r="P95" s="7">
        <f t="shared" si="68"/>
        <v>5.0527567246247589E-3</v>
      </c>
      <c r="Q95" s="7">
        <f t="shared" si="68"/>
        <v>1.1705924339757316E-2</v>
      </c>
      <c r="R95" s="7">
        <f t="shared" si="68"/>
        <v>9.478002546329042E-3</v>
      </c>
      <c r="S95" s="7">
        <f t="shared" si="68"/>
        <v>6.7951569063503829E-3</v>
      </c>
      <c r="T95" s="7">
        <f t="shared" si="68"/>
        <v>1.0540507415124403E-2</v>
      </c>
      <c r="U95" s="7">
        <f t="shared" si="68"/>
        <v>4.1297935103244837E-3</v>
      </c>
      <c r="V95" s="7">
        <f t="shared" si="68"/>
        <v>6.8603280094329507E-3</v>
      </c>
      <c r="W95" s="7">
        <f t="shared" si="68"/>
        <v>5.3656101821811832E-3</v>
      </c>
      <c r="X95" s="7">
        <f t="shared" si="68"/>
        <v>6.427486268552063E-3</v>
      </c>
      <c r="Y95" s="7">
        <f t="shared" si="61"/>
        <v>6.6761475863158729E-3</v>
      </c>
    </row>
    <row r="96" spans="1:26">
      <c r="A96" s="1" t="s">
        <v>83</v>
      </c>
      <c r="B96" s="1">
        <f t="shared" ref="B96:K96" si="69">SUM(B92:B95)</f>
        <v>0</v>
      </c>
      <c r="C96" s="22">
        <f t="shared" ref="C96:H96" si="70">SUM(C92:C95)</f>
        <v>529</v>
      </c>
      <c r="D96" s="137">
        <f t="shared" si="70"/>
        <v>480</v>
      </c>
      <c r="E96" s="137">
        <f t="shared" si="70"/>
        <v>447</v>
      </c>
      <c r="F96" s="137">
        <f t="shared" si="70"/>
        <v>483</v>
      </c>
      <c r="G96" s="137">
        <f t="shared" si="70"/>
        <v>524</v>
      </c>
      <c r="H96" s="137">
        <f t="shared" si="70"/>
        <v>450</v>
      </c>
      <c r="I96" s="11">
        <f t="shared" si="69"/>
        <v>444</v>
      </c>
      <c r="J96" s="11">
        <f t="shared" si="69"/>
        <v>467</v>
      </c>
      <c r="K96" s="11">
        <f t="shared" si="69"/>
        <v>514</v>
      </c>
      <c r="L96" s="7">
        <f t="shared" si="67"/>
        <v>1.2519037570460982E-2</v>
      </c>
      <c r="M96" s="1"/>
      <c r="N96" s="1" t="str">
        <f>A96</f>
        <v>Total Other Income/Expense</v>
      </c>
      <c r="O96" s="7" t="e">
        <f t="shared" si="68"/>
        <v>#DIV/0!</v>
      </c>
      <c r="P96" s="7">
        <f t="shared" si="68"/>
        <v>7.8614950215485216E-2</v>
      </c>
      <c r="Q96" s="7">
        <f t="shared" si="68"/>
        <v>6.852248394004283E-2</v>
      </c>
      <c r="R96" s="7">
        <f t="shared" si="68"/>
        <v>6.3233837883717642E-2</v>
      </c>
      <c r="S96" s="7">
        <f t="shared" si="68"/>
        <v>5.9673832468495183E-2</v>
      </c>
      <c r="T96" s="7">
        <f t="shared" si="68"/>
        <v>6.4223556808432405E-2</v>
      </c>
      <c r="U96" s="7">
        <f t="shared" si="68"/>
        <v>5.3097345132743362E-2</v>
      </c>
      <c r="V96" s="7">
        <f t="shared" si="68"/>
        <v>4.7593525565441094E-2</v>
      </c>
      <c r="W96" s="7">
        <f t="shared" si="68"/>
        <v>5.8273022211130523E-2</v>
      </c>
      <c r="X96" s="7">
        <f t="shared" si="68"/>
        <v>6.0067780764286552E-2</v>
      </c>
      <c r="Y96" s="7">
        <f t="shared" si="61"/>
        <v>5.6925021727107526E-2</v>
      </c>
      <c r="Z96" s="30"/>
    </row>
    <row r="97" spans="1:26">
      <c r="A97" s="1"/>
      <c r="B97" s="1"/>
      <c r="C97" s="22"/>
      <c r="D97" s="137"/>
      <c r="E97" s="137"/>
      <c r="F97" s="137"/>
      <c r="G97" s="137"/>
      <c r="H97" s="137"/>
      <c r="I97" s="11"/>
      <c r="J97" s="11"/>
      <c r="K97" s="1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  <c r="Z97" s="30"/>
    </row>
    <row r="98" spans="1:26">
      <c r="A98" s="1" t="s">
        <v>84</v>
      </c>
      <c r="B98" s="1">
        <f t="shared" ref="B98:H98" si="71">B90-B96</f>
        <v>0</v>
      </c>
      <c r="C98" s="22">
        <f t="shared" si="71"/>
        <v>465</v>
      </c>
      <c r="D98" s="137">
        <f t="shared" si="71"/>
        <v>287</v>
      </c>
      <c r="E98" s="137">
        <f t="shared" si="71"/>
        <v>428</v>
      </c>
      <c r="F98" s="137">
        <f t="shared" si="71"/>
        <v>415</v>
      </c>
      <c r="G98" s="137">
        <f t="shared" si="71"/>
        <v>536</v>
      </c>
      <c r="H98" s="137">
        <f t="shared" si="71"/>
        <v>1155</v>
      </c>
      <c r="I98" s="11">
        <f>I90-I96</f>
        <v>819</v>
      </c>
      <c r="J98" s="11">
        <f>J90-J96</f>
        <v>782</v>
      </c>
      <c r="K98" s="11">
        <f>K90-K96</f>
        <v>950</v>
      </c>
      <c r="L98" s="7">
        <f t="shared" ref="L98:L101" si="72">RATE(5,,-F98,K98)</f>
        <v>0.18014426900492131</v>
      </c>
      <c r="M98" s="1"/>
      <c r="N98" s="1" t="s">
        <v>84</v>
      </c>
      <c r="O98" s="7" t="e">
        <f t="shared" ref="O98:X101" si="73">B98/B$78</f>
        <v>#DIV/0!</v>
      </c>
      <c r="P98" s="7">
        <f t="shared" si="73"/>
        <v>6.9103878733838608E-2</v>
      </c>
      <c r="Q98" s="7">
        <f t="shared" si="73"/>
        <v>4.0970735189150606E-2</v>
      </c>
      <c r="R98" s="7">
        <f t="shared" si="73"/>
        <v>6.0546046116848211E-2</v>
      </c>
      <c r="S98" s="7">
        <f t="shared" si="73"/>
        <v>5.1272547566098343E-2</v>
      </c>
      <c r="T98" s="7">
        <f t="shared" si="73"/>
        <v>6.5694325284961386E-2</v>
      </c>
      <c r="U98" s="7">
        <f t="shared" si="73"/>
        <v>0.13628318584070798</v>
      </c>
      <c r="V98" s="7">
        <f t="shared" si="73"/>
        <v>8.77907599957123E-2</v>
      </c>
      <c r="W98" s="7">
        <f t="shared" si="73"/>
        <v>9.7579236336411274E-2</v>
      </c>
      <c r="X98" s="7">
        <f t="shared" si="73"/>
        <v>0.11102021736589926</v>
      </c>
      <c r="Y98" s="7">
        <f t="shared" si="61"/>
        <v>9.1984672513233778E-2</v>
      </c>
      <c r="Z98" s="30"/>
    </row>
    <row r="99" spans="1:26">
      <c r="A99" s="1" t="s">
        <v>85</v>
      </c>
      <c r="B99" s="1"/>
      <c r="C99" s="22">
        <f>-37-46</f>
        <v>-83</v>
      </c>
      <c r="D99" s="137">
        <f>-91-27</f>
        <v>-118</v>
      </c>
      <c r="E99" s="137">
        <f>-212+33</f>
        <v>-179</v>
      </c>
      <c r="F99" s="137">
        <f>-281+3</f>
        <v>-278</v>
      </c>
      <c r="G99" s="137">
        <f>1+208-251</f>
        <v>-42</v>
      </c>
      <c r="H99" s="137">
        <f>4+4-188</f>
        <v>-180</v>
      </c>
      <c r="I99" s="11">
        <v>15</v>
      </c>
      <c r="J99" s="11">
        <v>-3</v>
      </c>
      <c r="K99" s="11">
        <v>-9</v>
      </c>
      <c r="L99" s="7">
        <f t="shared" si="72"/>
        <v>-0.49645354517232909</v>
      </c>
      <c r="M99" s="1"/>
      <c r="N99" s="1" t="str">
        <f>A99</f>
        <v>Extraordinary Items</v>
      </c>
      <c r="O99" s="7" t="e">
        <f t="shared" si="73"/>
        <v>#DIV/0!</v>
      </c>
      <c r="P99" s="7">
        <f t="shared" si="73"/>
        <v>-1.2334670827760439E-2</v>
      </c>
      <c r="Q99" s="7">
        <f t="shared" si="73"/>
        <v>-1.6845110635260528E-2</v>
      </c>
      <c r="R99" s="7">
        <f t="shared" si="73"/>
        <v>-2.532182769840147E-2</v>
      </c>
      <c r="S99" s="7">
        <f t="shared" si="73"/>
        <v>-3.4346429453916479E-2</v>
      </c>
      <c r="T99" s="7">
        <f t="shared" si="73"/>
        <v>-5.1476896678514525E-3</v>
      </c>
      <c r="U99" s="7">
        <f t="shared" si="73"/>
        <v>-2.1238938053097345E-2</v>
      </c>
      <c r="V99" s="7">
        <f t="shared" si="73"/>
        <v>1.607889377210848E-3</v>
      </c>
      <c r="W99" s="7">
        <f t="shared" si="73"/>
        <v>-3.7434489643124529E-4</v>
      </c>
      <c r="X99" s="7">
        <f t="shared" si="73"/>
        <v>-1.0517704803085194E-3</v>
      </c>
      <c r="Y99" s="7">
        <f t="shared" si="61"/>
        <v>-9.8167022201153514E-3</v>
      </c>
      <c r="Z99" s="30"/>
    </row>
    <row r="100" spans="1:26">
      <c r="A100" s="1" t="s">
        <v>86</v>
      </c>
      <c r="B100" s="1"/>
      <c r="C100" s="22">
        <f>-84</f>
        <v>-84</v>
      </c>
      <c r="D100" s="137">
        <v>-116</v>
      </c>
      <c r="E100" s="137">
        <f>176</f>
        <v>176</v>
      </c>
      <c r="F100" s="137">
        <f>202</f>
        <v>202</v>
      </c>
      <c r="G100" s="137">
        <f>146-1</f>
        <v>145</v>
      </c>
      <c r="H100" s="137">
        <v>364</v>
      </c>
      <c r="I100" s="11">
        <v>288</v>
      </c>
      <c r="J100" s="11">
        <v>247</v>
      </c>
      <c r="K100" s="11">
        <v>311</v>
      </c>
      <c r="L100" s="7">
        <f t="shared" si="72"/>
        <v>9.0138816757614162E-2</v>
      </c>
      <c r="M100" s="1"/>
      <c r="N100" s="1" t="str">
        <f>A100</f>
        <v>Income Taxes</v>
      </c>
      <c r="O100" s="7" t="e">
        <f t="shared" si="73"/>
        <v>#DIV/0!</v>
      </c>
      <c r="P100" s="7">
        <f t="shared" si="73"/>
        <v>-1.2483281319661168E-2</v>
      </c>
      <c r="Q100" s="7">
        <f t="shared" si="73"/>
        <v>-1.6559600285510349E-2</v>
      </c>
      <c r="R100" s="7">
        <f t="shared" si="73"/>
        <v>2.4897439524685247E-2</v>
      </c>
      <c r="S100" s="7">
        <f t="shared" si="73"/>
        <v>2.4956758092414134E-2</v>
      </c>
      <c r="T100" s="7">
        <f t="shared" si="73"/>
        <v>1.7771785758058586E-2</v>
      </c>
      <c r="U100" s="7">
        <f t="shared" si="73"/>
        <v>4.2949852507374632E-2</v>
      </c>
      <c r="V100" s="7">
        <f t="shared" si="73"/>
        <v>3.0871476042448279E-2</v>
      </c>
      <c r="W100" s="7">
        <f t="shared" si="73"/>
        <v>3.0821063139505864E-2</v>
      </c>
      <c r="X100" s="7">
        <f t="shared" si="73"/>
        <v>3.6344513263994391E-2</v>
      </c>
      <c r="Y100" s="7">
        <f t="shared" si="61"/>
        <v>3.0753733112111874E-2</v>
      </c>
      <c r="Z100" s="30"/>
    </row>
    <row r="101" spans="1:26">
      <c r="A101" s="1" t="s">
        <v>87</v>
      </c>
      <c r="B101" s="1">
        <f t="shared" ref="B101" si="74">B98+B99-B100</f>
        <v>0</v>
      </c>
      <c r="C101" s="22">
        <f t="shared" ref="C101:H101" si="75">C98-C99-C100</f>
        <v>632</v>
      </c>
      <c r="D101" s="137">
        <f t="shared" si="75"/>
        <v>521</v>
      </c>
      <c r="E101" s="137">
        <f t="shared" si="75"/>
        <v>431</v>
      </c>
      <c r="F101" s="137">
        <f t="shared" si="75"/>
        <v>491</v>
      </c>
      <c r="G101" s="137">
        <f>G98-G99-G100</f>
        <v>433</v>
      </c>
      <c r="H101" s="137">
        <f t="shared" si="75"/>
        <v>971</v>
      </c>
      <c r="I101" s="11">
        <f>I98+I99-I100</f>
        <v>546</v>
      </c>
      <c r="J101" s="11">
        <f>J98+J99-J100</f>
        <v>532</v>
      </c>
      <c r="K101" s="11">
        <f>K98+K99-K100</f>
        <v>630</v>
      </c>
      <c r="L101" s="7">
        <f t="shared" si="72"/>
        <v>5.1118818506880791E-2</v>
      </c>
      <c r="M101" s="1"/>
      <c r="N101" s="1" t="s">
        <v>87</v>
      </c>
      <c r="O101" s="7" t="e">
        <f t="shared" si="73"/>
        <v>#DIV/0!</v>
      </c>
      <c r="P101" s="7">
        <f t="shared" si="73"/>
        <v>9.3921830881260215E-2</v>
      </c>
      <c r="Q101" s="7">
        <f t="shared" si="73"/>
        <v>7.4375446109921486E-2</v>
      </c>
      <c r="R101" s="7">
        <f t="shared" si="73"/>
        <v>6.0970434290564438E-2</v>
      </c>
      <c r="S101" s="7">
        <f t="shared" si="73"/>
        <v>6.0662218927600695E-2</v>
      </c>
      <c r="T101" s="7">
        <f t="shared" si="73"/>
        <v>5.3070229194754258E-2</v>
      </c>
      <c r="U101" s="7">
        <f t="shared" si="73"/>
        <v>0.11457227138643068</v>
      </c>
      <c r="V101" s="7">
        <f t="shared" si="73"/>
        <v>5.8527173330474865E-2</v>
      </c>
      <c r="W101" s="7">
        <f t="shared" si="73"/>
        <v>6.6383828300474165E-2</v>
      </c>
      <c r="X101" s="7">
        <f t="shared" si="73"/>
        <v>7.362393362159636E-2</v>
      </c>
      <c r="Y101" s="7">
        <f t="shared" si="61"/>
        <v>7.1166153116852329E-2</v>
      </c>
      <c r="Z101" s="30"/>
    </row>
    <row r="102" spans="1:26">
      <c r="A102" s="1"/>
      <c r="B102" s="1"/>
      <c r="C102" s="22"/>
      <c r="D102" s="137"/>
      <c r="E102" s="137"/>
      <c r="F102" s="137"/>
      <c r="G102" s="137"/>
      <c r="H102" s="137"/>
      <c r="I102" s="11"/>
      <c r="J102" s="11"/>
      <c r="K102" s="1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  <c r="Z102" s="30"/>
    </row>
    <row r="103" spans="1:26">
      <c r="A103" s="1" t="s">
        <v>88</v>
      </c>
      <c r="B103" s="1"/>
      <c r="C103" s="23"/>
      <c r="D103" s="137"/>
      <c r="E103" s="137"/>
      <c r="F103" s="137"/>
      <c r="G103" s="137"/>
      <c r="H103" s="137"/>
      <c r="I103" s="11"/>
      <c r="J103" s="11"/>
      <c r="K103" s="11"/>
      <c r="L103" s="7"/>
      <c r="M103" s="1"/>
      <c r="N103" s="1" t="s">
        <v>89</v>
      </c>
      <c r="O103" s="7" t="e">
        <f t="shared" ref="O103:X104" si="76">B103/B$101</f>
        <v>#DIV/0!</v>
      </c>
      <c r="P103" s="7">
        <f t="shared" si="76"/>
        <v>0</v>
      </c>
      <c r="Q103" s="7">
        <f t="shared" si="76"/>
        <v>0</v>
      </c>
      <c r="R103" s="7">
        <f t="shared" si="76"/>
        <v>0</v>
      </c>
      <c r="S103" s="7">
        <f t="shared" si="76"/>
        <v>0</v>
      </c>
      <c r="T103" s="7">
        <f t="shared" si="76"/>
        <v>0</v>
      </c>
      <c r="U103" s="7">
        <f t="shared" si="76"/>
        <v>0</v>
      </c>
      <c r="V103" s="7">
        <f t="shared" si="76"/>
        <v>0</v>
      </c>
      <c r="W103" s="7">
        <f t="shared" si="76"/>
        <v>0</v>
      </c>
      <c r="X103" s="7">
        <f t="shared" si="76"/>
        <v>0</v>
      </c>
      <c r="Y103" s="7">
        <f>SUM(F103:K103)/SUM(F$101:K$101)</f>
        <v>0</v>
      </c>
      <c r="Z103" s="30"/>
    </row>
    <row r="104" spans="1:26">
      <c r="A104" s="1" t="s">
        <v>90</v>
      </c>
      <c r="B104" s="1"/>
      <c r="C104" s="24">
        <f>2.06</f>
        <v>2.06</v>
      </c>
      <c r="D104" s="137">
        <v>346</v>
      </c>
      <c r="E104" s="137">
        <v>354</v>
      </c>
      <c r="F104" s="137">
        <v>360</v>
      </c>
      <c r="G104" s="137">
        <v>365</v>
      </c>
      <c r="H104" s="137">
        <v>364</v>
      </c>
      <c r="I104" s="11">
        <v>344</v>
      </c>
      <c r="J104" s="11">
        <v>348</v>
      </c>
      <c r="K104" s="11">
        <v>360</v>
      </c>
      <c r="L104" s="7">
        <f>RATE(5,,-F104,K104)</f>
        <v>2.3254214630151167E-16</v>
      </c>
      <c r="M104" s="1"/>
      <c r="N104" s="1" t="s">
        <v>91</v>
      </c>
      <c r="O104" s="7" t="e">
        <f t="shared" si="76"/>
        <v>#DIV/0!</v>
      </c>
      <c r="P104" s="7">
        <f t="shared" si="76"/>
        <v>3.2594936708860759E-3</v>
      </c>
      <c r="Q104" s="7">
        <f t="shared" si="76"/>
        <v>0.66410748560460653</v>
      </c>
      <c r="R104" s="7">
        <f t="shared" si="76"/>
        <v>0.82134570765661252</v>
      </c>
      <c r="S104" s="7">
        <f t="shared" si="76"/>
        <v>0.73319755600814662</v>
      </c>
      <c r="T104" s="7">
        <f t="shared" si="76"/>
        <v>0.84295612009237875</v>
      </c>
      <c r="U104" s="7">
        <f t="shared" si="76"/>
        <v>0.37487126673532439</v>
      </c>
      <c r="V104" s="7">
        <f t="shared" si="76"/>
        <v>0.63003663003663002</v>
      </c>
      <c r="W104" s="7">
        <f>J104/J$101</f>
        <v>0.65413533834586468</v>
      </c>
      <c r="X104" s="7">
        <f>K104/K$101</f>
        <v>0.5714285714285714</v>
      </c>
      <c r="Y104" s="7">
        <f>SUM(F104:K104)/SUM(F$101:K$101)</f>
        <v>0.59422703302803215</v>
      </c>
      <c r="Z104" s="30"/>
    </row>
    <row r="105" spans="1:26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6">
      <c r="A109" s="2" t="str">
        <f>A3</f>
        <v>DTE Energy Co.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6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6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77">O8</f>
        <v>2001</v>
      </c>
      <c r="C114" s="5">
        <f t="shared" si="77"/>
        <v>2002</v>
      </c>
      <c r="D114" s="5">
        <f t="shared" si="77"/>
        <v>2003</v>
      </c>
      <c r="E114" s="5">
        <f t="shared" si="77"/>
        <v>2004</v>
      </c>
      <c r="F114" s="5">
        <f t="shared" si="77"/>
        <v>2005</v>
      </c>
      <c r="G114" s="5">
        <f t="shared" si="77"/>
        <v>2006</v>
      </c>
      <c r="H114" s="5">
        <f>U8</f>
        <v>2007</v>
      </c>
      <c r="I114" s="5">
        <f>V8</f>
        <v>2008</v>
      </c>
      <c r="J114" s="5">
        <f t="shared" ref="J114:K114" si="78">W8</f>
        <v>2009</v>
      </c>
      <c r="K114" s="5">
        <f t="shared" si="78"/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 t="e">
        <f t="shared" ref="B117:G117" si="79">B15/B48</f>
        <v>#DIV/0!</v>
      </c>
      <c r="C117" s="1">
        <f t="shared" si="79"/>
        <v>0.86618614854277654</v>
      </c>
      <c r="D117" s="1">
        <f t="shared" si="79"/>
        <v>0.96033994334277617</v>
      </c>
      <c r="E117" s="1">
        <f t="shared" si="79"/>
        <v>0.99567962778331676</v>
      </c>
      <c r="F117" s="1">
        <f t="shared" si="79"/>
        <v>0.95162601626016263</v>
      </c>
      <c r="G117" s="1">
        <f t="shared" si="79"/>
        <v>0.95124879923150818</v>
      </c>
      <c r="H117" s="1">
        <f>H15/H48</f>
        <v>0.94551054252546785</v>
      </c>
      <c r="I117" s="1">
        <f>I15/I48</f>
        <v>1.1045469631596416</v>
      </c>
      <c r="J117" s="1">
        <f>J15/J48</f>
        <v>1.0877126654064273</v>
      </c>
      <c r="K117" s="1">
        <f>K15/K48</f>
        <v>1.1520552928337577</v>
      </c>
      <c r="L117" s="12">
        <f>AVERAGE(F117:K117)</f>
        <v>1.0321167132361608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 t="e">
        <f t="shared" ref="B118:G118" si="80">(B11+B12)/B48</f>
        <v>#DIV/0!</v>
      </c>
      <c r="C118" s="1">
        <f t="shared" si="80"/>
        <v>0.56565340018802879</v>
      </c>
      <c r="D118" s="1">
        <f t="shared" si="80"/>
        <v>0.6076487252124646</v>
      </c>
      <c r="E118" s="1">
        <f t="shared" si="80"/>
        <v>0.60584911930874041</v>
      </c>
      <c r="F118" s="1">
        <f t="shared" si="80"/>
        <v>0.52947154471544711</v>
      </c>
      <c r="G118" s="1">
        <f t="shared" si="80"/>
        <v>0.53554274735830931</v>
      </c>
      <c r="H118" s="1">
        <f>(H11+H12)/H48</f>
        <v>0.57687751717602465</v>
      </c>
      <c r="I118" s="1">
        <f>(I11+I12)/I48</f>
        <v>0.66511782276800535</v>
      </c>
      <c r="J118" s="1">
        <f>(J11+J12)/J48</f>
        <v>0.67712665406427219</v>
      </c>
      <c r="K118" s="1">
        <f>(K11+K12)/K48</f>
        <v>0.72026191342306289</v>
      </c>
      <c r="L118" s="12">
        <f t="shared" ref="L118:L119" si="81">AVERAGE(F118:K118)</f>
        <v>0.61739969991752031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>
        <f t="shared" ref="C119:I119" si="82">365*(((B12+C12)/2)/((B78+C78)/2))</f>
        <v>77.838460395303912</v>
      </c>
      <c r="D119" s="1">
        <f t="shared" si="82"/>
        <v>78.825542449395655</v>
      </c>
      <c r="E119" s="1">
        <f t="shared" si="82"/>
        <v>82.263748756572397</v>
      </c>
      <c r="F119" s="1">
        <f t="shared" si="82"/>
        <v>97.153597573039633</v>
      </c>
      <c r="G119" s="1">
        <f t="shared" si="82"/>
        <v>97.285424229373035</v>
      </c>
      <c r="H119" s="1">
        <f t="shared" si="82"/>
        <v>90.163821089335102</v>
      </c>
      <c r="I119" s="1">
        <f t="shared" si="82"/>
        <v>82.086048079083355</v>
      </c>
      <c r="J119" s="1">
        <f>365*((I12+J12)/2)/((I78+J78*(2))/2)</f>
        <v>50.193437709508224</v>
      </c>
      <c r="K119" s="1">
        <f>365*((J12+K12)/2)/((J78+K78*(2))/2)</f>
        <v>50.113419293218719</v>
      </c>
      <c r="L119" s="12">
        <f t="shared" si="81"/>
        <v>77.832624662259676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 t="e">
        <f t="shared" ref="B122:I122" si="83">B62/B55</f>
        <v>#DIV/0!</v>
      </c>
      <c r="C122" s="1">
        <f t="shared" si="83"/>
        <v>0.29604409857328146</v>
      </c>
      <c r="D122" s="1">
        <f t="shared" si="83"/>
        <v>0.34184663132031551</v>
      </c>
      <c r="E122" s="1">
        <f t="shared" si="83"/>
        <v>0.35227633500539718</v>
      </c>
      <c r="F122" s="1">
        <f t="shared" si="83"/>
        <v>0.32841853580781055</v>
      </c>
      <c r="G122" s="1">
        <f t="shared" si="83"/>
        <v>0.32610392506690455</v>
      </c>
      <c r="H122" s="1">
        <f t="shared" si="83"/>
        <v>0.33075500252228013</v>
      </c>
      <c r="I122" s="1">
        <f t="shared" si="83"/>
        <v>0.32546356188012077</v>
      </c>
      <c r="J122" s="1">
        <f>J62/J55</f>
        <v>0.3532636053470552</v>
      </c>
      <c r="K122" s="1">
        <f>K62/K55</f>
        <v>0.37326934745435492</v>
      </c>
      <c r="L122" s="12">
        <f t="shared" ref="L122:L125" si="84">AVERAGE(F122:K122)</f>
        <v>0.3395456630130877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 t="e">
        <f t="shared" ref="B123:I123" si="85">B62/B53</f>
        <v>#DIV/0!</v>
      </c>
      <c r="C123" s="1">
        <f t="shared" si="85"/>
        <v>0.37329299206803501</v>
      </c>
      <c r="D123" s="1">
        <f t="shared" si="85"/>
        <v>0.41820914412276539</v>
      </c>
      <c r="E123" s="1">
        <f t="shared" si="85"/>
        <v>0.43547880690737834</v>
      </c>
      <c r="F123" s="1">
        <f t="shared" si="85"/>
        <v>0.45619168116400444</v>
      </c>
      <c r="G123" s="1">
        <f t="shared" si="85"/>
        <v>0.42470229451060121</v>
      </c>
      <c r="H123" s="1">
        <f t="shared" si="85"/>
        <v>0.43325991189427315</v>
      </c>
      <c r="I123" s="1">
        <f t="shared" si="85"/>
        <v>0.38857069309479375</v>
      </c>
      <c r="J123" s="1">
        <f>J62/J53</f>
        <v>0.41459892346068006</v>
      </c>
      <c r="K123" s="1">
        <f>K62/K53</f>
        <v>0.43998699609882963</v>
      </c>
      <c r="L123" s="12">
        <f t="shared" si="84"/>
        <v>0.42621841670386368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 t="e">
        <f t="shared" ref="B124:I124" si="86">B62/B26</f>
        <v>#DIV/0!</v>
      </c>
      <c r="C124" s="1">
        <f t="shared" si="86"/>
        <v>0.43302978561942707</v>
      </c>
      <c r="D124" s="1">
        <f t="shared" si="86"/>
        <v>0.51210771018984891</v>
      </c>
      <c r="E124" s="1">
        <f t="shared" si="86"/>
        <v>0.52883423887141356</v>
      </c>
      <c r="F124" s="1">
        <f t="shared" si="86"/>
        <v>0.53268698060941833</v>
      </c>
      <c r="G124" s="1">
        <f t="shared" si="86"/>
        <v>0.510785084272116</v>
      </c>
      <c r="H124" s="1">
        <f t="shared" si="86"/>
        <v>0.51726858345021043</v>
      </c>
      <c r="I124" s="1">
        <f t="shared" si="86"/>
        <v>0.49366364156651132</v>
      </c>
      <c r="J124" s="1">
        <f>J62/J26</f>
        <v>0.5080846271418229</v>
      </c>
      <c r="K124" s="1">
        <f>K62/K26</f>
        <v>0.52085899014778325</v>
      </c>
      <c r="L124" s="12">
        <f t="shared" si="84"/>
        <v>0.5138913178646437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87">(B98+B92)/B92</f>
        <v>#DIV/0!</v>
      </c>
      <c r="C125" s="1">
        <f t="shared" si="87"/>
        <v>1.8172231985940246</v>
      </c>
      <c r="D125" s="1">
        <f t="shared" si="87"/>
        <v>1.526605504587156</v>
      </c>
      <c r="E125" s="1">
        <f t="shared" si="87"/>
        <v>1.8294573643410852</v>
      </c>
      <c r="F125" s="1">
        <f t="shared" si="87"/>
        <v>1.8011583011583012</v>
      </c>
      <c r="G125" s="1">
        <f t="shared" si="87"/>
        <v>2.0209523809523811</v>
      </c>
      <c r="H125" s="1">
        <f t="shared" si="87"/>
        <v>3.1669793621013134</v>
      </c>
      <c r="I125" s="1">
        <f t="shared" si="87"/>
        <v>2.6282306163021869</v>
      </c>
      <c r="J125" s="1">
        <f>(J98+J92)/J92</f>
        <v>2.4348623853211011</v>
      </c>
      <c r="K125" s="1">
        <f>(K98+K92)/K92</f>
        <v>2.7304189435336976</v>
      </c>
      <c r="L125" s="12">
        <f t="shared" si="84"/>
        <v>2.4637669982281634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>
        <f t="shared" ref="C128:E128" si="88">(C101+(C92*(1-(C100/C98))))/((B38+C38)/2)</f>
        <v>0.13047656710274641</v>
      </c>
      <c r="D128" s="7">
        <f t="shared" si="88"/>
        <v>6.3148841162776748E-2</v>
      </c>
      <c r="E128" s="7">
        <f t="shared" si="88"/>
        <v>3.4949492704501754E-2</v>
      </c>
      <c r="F128" s="7">
        <f>(F101+(F92*(1-(F100/F98))))/((E38+F38)/2)</f>
        <v>3.3915803022090157E-2</v>
      </c>
      <c r="G128" s="7">
        <f t="shared" ref="G128:K128" si="89">(G101+(G92*(1-(G100/G98))))/((F38+G38)/2)</f>
        <v>3.4633945087803764E-2</v>
      </c>
      <c r="H128" s="7">
        <f t="shared" si="89"/>
        <v>5.6221694717707507E-2</v>
      </c>
      <c r="I128" s="7">
        <f t="shared" si="89"/>
        <v>3.6088756067238228E-2</v>
      </c>
      <c r="J128" s="7">
        <f t="shared" si="89"/>
        <v>3.7095748950127488E-2</v>
      </c>
      <c r="K128" s="7">
        <f t="shared" si="89"/>
        <v>4.0711117591497641E-2</v>
      </c>
      <c r="L128" s="7">
        <f>AVERAGE(F128:K128)</f>
        <v>3.9777844239410796E-2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>
        <f t="shared" ref="C129:E129" si="90">(C101+(C92*(1-(C100/C98))))/((B50+C50+B57+C57+B62+C62)/2)</f>
        <v>0.21083232483411926</v>
      </c>
      <c r="D129" s="7">
        <f t="shared" si="90"/>
        <v>0.10158574835291419</v>
      </c>
      <c r="E129" s="7">
        <f t="shared" si="90"/>
        <v>5.6285950525633816E-2</v>
      </c>
      <c r="F129" s="7">
        <f>(F101+(F92*(1-(F100/F98))))/((E42+F42+E50+F50+E57+F57+E62+F62)/2)</f>
        <v>5.5635479288515428E-2</v>
      </c>
      <c r="G129" s="7">
        <f t="shared" ref="G129:K129" si="91">(G101+(G92*(1-(G100/G98))))/((F42+G42+F50+G50+F57+G57+F62+G62)/2)</f>
        <v>5.9960741174167373E-2</v>
      </c>
      <c r="H129" s="7">
        <f t="shared" si="91"/>
        <v>9.8953763835443645E-2</v>
      </c>
      <c r="I129" s="7">
        <f t="shared" si="91"/>
        <v>6.3503176839180039E-2</v>
      </c>
      <c r="J129" s="7">
        <f t="shared" si="91"/>
        <v>6.3503267335671604E-2</v>
      </c>
      <c r="K129" s="7">
        <f t="shared" si="91"/>
        <v>6.8589109536831991E-2</v>
      </c>
      <c r="L129" s="7">
        <f t="shared" ref="L129:L130" si="92">AVERAGE(F129:K129)</f>
        <v>6.8357589668301674E-2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 t="e">
        <f>(B101-B103)/((B62)/1)</f>
        <v>#DIV/0!</v>
      </c>
      <c r="C130" s="7">
        <f t="shared" ref="C130:F130" si="93">(C101-C103)/((C62+B62)/2)</f>
        <v>0.2768893756845564</v>
      </c>
      <c r="D130" s="7">
        <f t="shared" si="93"/>
        <v>0.10576532683719042</v>
      </c>
      <c r="E130" s="7">
        <f t="shared" si="93"/>
        <v>7.9556991232118138E-2</v>
      </c>
      <c r="F130" s="7">
        <f t="shared" si="93"/>
        <v>8.6772112750728991E-2</v>
      </c>
      <c r="G130" s="7">
        <f t="shared" ref="G130" si="94">(G101-G103)/((G62+F62)/2)</f>
        <v>7.4539507660526763E-2</v>
      </c>
      <c r="H130" s="7">
        <f t="shared" ref="H130" si="95">(H101-H103)/((H62+G62)/2)</f>
        <v>0.16527659574468084</v>
      </c>
      <c r="I130" s="7">
        <f t="shared" ref="I130" si="96">(I101-I103)/((I62+H62)/2)</f>
        <v>9.1464946812965908E-2</v>
      </c>
      <c r="J130" s="7">
        <f t="shared" ref="J130" si="97">(J101-J103)/((J62+I62)/2)</f>
        <v>8.6125951108952561E-2</v>
      </c>
      <c r="K130" s="7">
        <f t="shared" ref="K130" si="98">(K101-K103)/((K62+J62)/2)</f>
        <v>9.6308186195826651E-2</v>
      </c>
      <c r="L130" s="7">
        <f t="shared" si="92"/>
        <v>0.10008121671228028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 t="e">
        <f>B78/B11</f>
        <v>#DIV/0!</v>
      </c>
      <c r="C133" s="1">
        <f t="shared" ref="C133:G133" si="99">C78/((B11+C11)/2)</f>
        <v>36.372972972972974</v>
      </c>
      <c r="D133" s="1">
        <f t="shared" si="99"/>
        <v>25.243243243243242</v>
      </c>
      <c r="E133" s="1">
        <f t="shared" si="99"/>
        <v>38.52316076294278</v>
      </c>
      <c r="F133" s="1">
        <f t="shared" si="99"/>
        <v>41.295918367346935</v>
      </c>
      <c r="G133" s="1">
        <f t="shared" si="99"/>
        <v>32.441351888667995</v>
      </c>
      <c r="H133" s="1">
        <f t="shared" ref="H133" si="100">H78/((G11+H11)/2)</f>
        <v>30.485611510791365</v>
      </c>
      <c r="I133" s="1">
        <f t="shared" ref="I133" si="101">I78/((H11+I11)/2)</f>
        <v>42.891954022988507</v>
      </c>
      <c r="J133" s="1">
        <f t="shared" ref="J133" si="102">J78/((I11+J11)/2)</f>
        <v>52.038961038961041</v>
      </c>
      <c r="K133" s="1">
        <f t="shared" ref="K133" si="103">K78/((J11+K11)/2)</f>
        <v>53.31464174454829</v>
      </c>
      <c r="L133" s="12">
        <f t="shared" ref="L133:L137" si="104">AVERAGE(F133:K133)</f>
        <v>42.078073095550685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 t="e">
        <f>B78/B12</f>
        <v>#DIV/0!</v>
      </c>
      <c r="C134" s="1">
        <f t="shared" ref="C134:G134" si="105">C78/((B12+C12)/2)</f>
        <v>9.378397212543554</v>
      </c>
      <c r="D134" s="1">
        <f t="shared" si="105"/>
        <v>4.7235333782872555</v>
      </c>
      <c r="E134" s="1">
        <f t="shared" si="105"/>
        <v>4.4571248423707441</v>
      </c>
      <c r="F134" s="1">
        <f t="shared" si="105"/>
        <v>4.0109018830525276</v>
      </c>
      <c r="G134" s="1">
        <f t="shared" si="105"/>
        <v>3.7668513388734994</v>
      </c>
      <c r="H134" s="1">
        <f t="shared" ref="H134" si="106">H78/((G12+H12)/2)</f>
        <v>4.1250912630810417</v>
      </c>
      <c r="I134" s="1">
        <f t="shared" ref="I134" si="107">I78/((H12+I12)/2)</f>
        <v>4.6598401598401598</v>
      </c>
      <c r="J134" s="1">
        <f t="shared" ref="J134" si="108">J78/((I12+J12)/2)</f>
        <v>4.5965012905075993</v>
      </c>
      <c r="K134" s="1">
        <f t="shared" ref="K134" si="109">K78/((J12+K12)/2)</f>
        <v>4.9605797101449278</v>
      </c>
      <c r="L134" s="12">
        <f t="shared" si="104"/>
        <v>4.3532942742499596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 t="e">
        <f>B78/(B15-B48)</f>
        <v>#DIV/0!</v>
      </c>
      <c r="C135" s="1">
        <f t="shared" ref="C135:G135" si="110">C78/((B15+C15-B48-C48)/2)</f>
        <v>-31.517564402810304</v>
      </c>
      <c r="D135" s="1">
        <f t="shared" si="110"/>
        <v>-25.992578849721706</v>
      </c>
      <c r="E135" s="1">
        <f t="shared" si="110"/>
        <v>-113.104</v>
      </c>
      <c r="F135" s="1">
        <f t="shared" si="110"/>
        <v>-64.494023904382473</v>
      </c>
      <c r="G135" s="1">
        <f t="shared" si="110"/>
        <v>-37.002267573696145</v>
      </c>
      <c r="H135" s="1">
        <f t="shared" ref="H135" si="111">H78/((G15+H15-G48-H48)/2)</f>
        <v>-39.145496535796767</v>
      </c>
      <c r="I135" s="1">
        <f t="shared" ref="I135" si="112">I78/((H15+I15-H48-I48)/2)</f>
        <v>219.50588235294117</v>
      </c>
      <c r="J135" s="1">
        <f t="shared" ref="J135" si="113">J78/((I15+J15-I48-J48)/2)</f>
        <v>29.301645338208409</v>
      </c>
      <c r="K135" s="1">
        <f t="shared" ref="K135" si="114">K78/((J15+K15-J48-K48)/2)</f>
        <v>26.329230769230769</v>
      </c>
      <c r="L135" s="12">
        <f t="shared" si="104"/>
        <v>22.415828407750826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 t="e">
        <f>B78/(B26)</f>
        <v>#DIV/0!</v>
      </c>
      <c r="C136" s="1">
        <f t="shared" ref="C136:G136" si="115">C78/((B26+C26)/2)</f>
        <v>1.2766078542970973</v>
      </c>
      <c r="D136" s="1">
        <f t="shared" si="115"/>
        <v>0.67142720214703344</v>
      </c>
      <c r="E136" s="1">
        <f t="shared" si="115"/>
        <v>0.67922171510929619</v>
      </c>
      <c r="F136" s="1">
        <f t="shared" si="115"/>
        <v>0.75925144224004504</v>
      </c>
      <c r="G136" s="1">
        <f t="shared" si="115"/>
        <v>0.73237287374893412</v>
      </c>
      <c r="H136" s="1">
        <f t="shared" ref="H136" si="116">H78/((G26+H26)/2)</f>
        <v>0.74150225294194849</v>
      </c>
      <c r="I136" s="1">
        <f t="shared" ref="I136" si="117">I78/((H26+I26)/2)</f>
        <v>0.78928888700875677</v>
      </c>
      <c r="J136" s="1">
        <f t="shared" ref="J136" si="118">J78/((I26+J26)/2)</f>
        <v>0.64990673911280517</v>
      </c>
      <c r="K136" s="1">
        <f t="shared" ref="K136" si="119">K78/((J26+K26)/2)</f>
        <v>0.67316996420564057</v>
      </c>
      <c r="L136" s="12">
        <f t="shared" si="104"/>
        <v>0.72424869320968843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 t="e">
        <f>B78/B38</f>
        <v>#DIV/0!</v>
      </c>
      <c r="C137" s="1">
        <f t="shared" ref="C137:G137" si="120">C78/((B38+C38)/2)</f>
        <v>0.67340505379034277</v>
      </c>
      <c r="D137" s="1">
        <f t="shared" si="120"/>
        <v>0.34390495360596984</v>
      </c>
      <c r="E137" s="1">
        <f t="shared" si="120"/>
        <v>0.33621878715814507</v>
      </c>
      <c r="F137" s="1">
        <f t="shared" si="120"/>
        <v>0.36269940849614624</v>
      </c>
      <c r="G137" s="1">
        <f t="shared" si="120"/>
        <v>0.34630730050933783</v>
      </c>
      <c r="H137" s="1">
        <f t="shared" ref="H137" si="121">H78/((G38+H38)/2)</f>
        <v>0.35663938392913502</v>
      </c>
      <c r="I137" s="1">
        <f t="shared" ref="I137" si="122">I78/((H38+I38)/2)</f>
        <v>0.38603823553753208</v>
      </c>
      <c r="J137" s="1">
        <f t="shared" ref="J137" si="123">J78/((I38+J38)/2)</f>
        <v>0.32854360971610125</v>
      </c>
      <c r="K137" s="1">
        <f t="shared" ref="K137" si="124">K78/((J38+K38)/2)</f>
        <v>0.34861787292986496</v>
      </c>
      <c r="L137" s="12">
        <f t="shared" si="104"/>
        <v>0.35480763518635289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 t="e">
        <f t="shared" ref="B145:K145" si="125">(B$42+B$50)/(B$42+B$50+B$57+B$62)</f>
        <v>#DIV/0!</v>
      </c>
      <c r="C145" s="7">
        <f t="shared" si="125"/>
        <v>0.65897206036157174</v>
      </c>
      <c r="D145" s="7">
        <f t="shared" si="125"/>
        <v>0.60641703268071168</v>
      </c>
      <c r="E145" s="7">
        <f t="shared" si="125"/>
        <v>0.59408838162130528</v>
      </c>
      <c r="F145" s="7">
        <f t="shared" si="125"/>
        <v>0.57392909896602662</v>
      </c>
      <c r="G145" s="7">
        <f>(G$42+G$50)/(G$42+G$50+G$57+G$62)</f>
        <v>0.57234773707684439</v>
      </c>
      <c r="H145" s="7">
        <f t="shared" si="125"/>
        <v>0.55718144979738859</v>
      </c>
      <c r="I145" s="7">
        <f t="shared" si="125"/>
        <v>0.57301463828583554</v>
      </c>
      <c r="J145" s="7">
        <f t="shared" si="125"/>
        <v>0.56007522462910075</v>
      </c>
      <c r="K145" s="7">
        <f t="shared" si="125"/>
        <v>0.54218253162844188</v>
      </c>
      <c r="L145" s="7">
        <f t="shared" ref="L145:L148" si="126">AVERAGE(F145:K145)</f>
        <v>0.56312178006393976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 t="e">
        <f t="shared" ref="B146:K146" si="127">B$57/(B$42+B$50+B$57+B$62)</f>
        <v>#DIV/0!</v>
      </c>
      <c r="C146" s="7">
        <f t="shared" si="127"/>
        <v>0</v>
      </c>
      <c r="D146" s="7">
        <f t="shared" si="127"/>
        <v>0</v>
      </c>
      <c r="E146" s="7">
        <f t="shared" si="127"/>
        <v>0</v>
      </c>
      <c r="F146" s="7">
        <f t="shared" si="127"/>
        <v>0</v>
      </c>
      <c r="G146" s="7">
        <f>G$57/(G$42+G$50+G$57+G$62)</f>
        <v>0</v>
      </c>
      <c r="H146" s="7">
        <f t="shared" si="127"/>
        <v>0</v>
      </c>
      <c r="I146" s="7">
        <f t="shared" si="127"/>
        <v>0</v>
      </c>
      <c r="J146" s="7">
        <f t="shared" si="127"/>
        <v>0</v>
      </c>
      <c r="K146" s="7">
        <f t="shared" si="127"/>
        <v>0</v>
      </c>
      <c r="L146" s="7">
        <f t="shared" si="126"/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 t="e">
        <f t="shared" ref="B147:K147" si="128">B$62/(B$42+B$50+B$57+B$62)</f>
        <v>#DIV/0!</v>
      </c>
      <c r="C147" s="16">
        <f t="shared" si="128"/>
        <v>0.3410279396384282</v>
      </c>
      <c r="D147" s="16">
        <f t="shared" si="128"/>
        <v>0.39358296731928832</v>
      </c>
      <c r="E147" s="16">
        <f t="shared" si="128"/>
        <v>0.40591161837869477</v>
      </c>
      <c r="F147" s="16">
        <f t="shared" si="128"/>
        <v>0.42607090103397344</v>
      </c>
      <c r="G147" s="16">
        <f>G$62/(G$42+G$50+G$57+G$62)</f>
        <v>0.42765226292315567</v>
      </c>
      <c r="H147" s="16">
        <f t="shared" si="128"/>
        <v>0.44281855020261146</v>
      </c>
      <c r="I147" s="16">
        <f t="shared" si="128"/>
        <v>0.42698536171416451</v>
      </c>
      <c r="J147" s="16">
        <f t="shared" si="128"/>
        <v>0.43992477537089919</v>
      </c>
      <c r="K147" s="16">
        <f t="shared" si="128"/>
        <v>0.45781746837155807</v>
      </c>
      <c r="L147" s="7">
        <f t="shared" si="126"/>
        <v>0.43687821993606035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 t="e">
        <f>SUM(B145:B147)</f>
        <v>#DIV/0!</v>
      </c>
      <c r="C148" s="7">
        <f t="shared" ref="C148:J148" si="129">SUM(C145:C147)</f>
        <v>1</v>
      </c>
      <c r="D148" s="7">
        <f t="shared" si="129"/>
        <v>1</v>
      </c>
      <c r="E148" s="7">
        <f t="shared" si="129"/>
        <v>1</v>
      </c>
      <c r="F148" s="7">
        <f t="shared" si="129"/>
        <v>1</v>
      </c>
      <c r="G148" s="7">
        <f t="shared" si="129"/>
        <v>1</v>
      </c>
      <c r="H148" s="7">
        <f t="shared" si="129"/>
        <v>1</v>
      </c>
      <c r="I148" s="7">
        <f t="shared" si="129"/>
        <v>1</v>
      </c>
      <c r="J148" s="7">
        <f t="shared" si="129"/>
        <v>1</v>
      </c>
      <c r="K148" s="7">
        <f t="shared" ref="K148" si="130">SUM(K145:K147)</f>
        <v>1</v>
      </c>
      <c r="L148" s="7">
        <f t="shared" si="126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 t="e">
        <f t="shared" ref="B151:K151" si="131">B$43/(B$43+B$42+B$50+B$57+B$62)</f>
        <v>#DIV/0!</v>
      </c>
      <c r="C151" s="7">
        <f t="shared" si="131"/>
        <v>0.03</v>
      </c>
      <c r="D151" s="7">
        <f t="shared" si="131"/>
        <v>2.6805766862276318E-2</v>
      </c>
      <c r="E151" s="7">
        <f t="shared" si="131"/>
        <v>2.8640466207092603E-2</v>
      </c>
      <c r="F151" s="7">
        <f t="shared" si="131"/>
        <v>6.5110819581578397E-2</v>
      </c>
      <c r="G151" s="7">
        <f>G$43/(G$43+G$42+G$50+G$57+G$62)</f>
        <v>7.6377633711507298E-2</v>
      </c>
      <c r="H151" s="7">
        <f t="shared" si="131"/>
        <v>7.5225537820957672E-2</v>
      </c>
      <c r="I151" s="7">
        <f t="shared" si="131"/>
        <v>4.9983204568357406E-2</v>
      </c>
      <c r="J151" s="7">
        <f t="shared" si="131"/>
        <v>2.2269136475074912E-2</v>
      </c>
      <c r="K151" s="7">
        <f t="shared" si="131"/>
        <v>1.0046212577858147E-2</v>
      </c>
      <c r="L151" s="7">
        <f t="shared" ref="L151:L155" si="132">AVERAGE(F151:K151)</f>
        <v>4.9835424122555629E-2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 t="e">
        <f t="shared" ref="B152:K152" si="133">(B$42+B$50)/(B$43+B$42+B$50+B$57+B$62)</f>
        <v>#DIV/0!</v>
      </c>
      <c r="C152" s="7">
        <f t="shared" si="133"/>
        <v>0.63920289855072465</v>
      </c>
      <c r="D152" s="7">
        <f t="shared" si="133"/>
        <v>0.59016155908135914</v>
      </c>
      <c r="E152" s="7">
        <f t="shared" si="133"/>
        <v>0.57707341340345386</v>
      </c>
      <c r="F152" s="7">
        <f t="shared" si="133"/>
        <v>0.53656010495063178</v>
      </c>
      <c r="G152" s="7">
        <f>(G$42+G$50)/(G$43+G$42+G$50+G$57+G$62)</f>
        <v>0.52863317125877907</v>
      </c>
      <c r="H152" s="7">
        <f t="shared" si="133"/>
        <v>0.51526717557251911</v>
      </c>
      <c r="I152" s="7">
        <f t="shared" si="133"/>
        <v>0.54437353039973124</v>
      </c>
      <c r="J152" s="7">
        <f t="shared" si="133"/>
        <v>0.54760283301552715</v>
      </c>
      <c r="K152" s="7">
        <f t="shared" si="133"/>
        <v>0.5367356506597013</v>
      </c>
      <c r="L152" s="7">
        <f t="shared" si="132"/>
        <v>0.5348620776428149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 t="e">
        <f t="shared" ref="B153:K153" si="134">B$57/(B$43+B$42+B$50+B$57+B$62)</f>
        <v>#DIV/0!</v>
      </c>
      <c r="C153" s="7">
        <f t="shared" si="134"/>
        <v>0</v>
      </c>
      <c r="D153" s="7">
        <f t="shared" si="134"/>
        <v>0</v>
      </c>
      <c r="E153" s="7">
        <f t="shared" si="134"/>
        <v>0</v>
      </c>
      <c r="F153" s="7">
        <f t="shared" si="134"/>
        <v>0</v>
      </c>
      <c r="G153" s="7">
        <f>G$57/(G$43+G$42+G$50+G$57+G$62)</f>
        <v>0</v>
      </c>
      <c r="H153" s="7">
        <f t="shared" si="134"/>
        <v>0</v>
      </c>
      <c r="I153" s="7">
        <f t="shared" si="134"/>
        <v>0</v>
      </c>
      <c r="J153" s="7">
        <f t="shared" si="134"/>
        <v>0</v>
      </c>
      <c r="K153" s="7">
        <f t="shared" si="134"/>
        <v>0</v>
      </c>
      <c r="L153" s="7">
        <f t="shared" si="132"/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 t="e">
        <f t="shared" ref="B154:K154" si="135">B$62/(B$43+B$42+B$50+B$57+B$62)</f>
        <v>#DIV/0!</v>
      </c>
      <c r="C154" s="16">
        <f t="shared" si="135"/>
        <v>0.33079710144927538</v>
      </c>
      <c r="D154" s="16">
        <f t="shared" si="135"/>
        <v>0.38303267405636454</v>
      </c>
      <c r="E154" s="16">
        <f t="shared" si="135"/>
        <v>0.39428612038945349</v>
      </c>
      <c r="F154" s="16">
        <f t="shared" si="135"/>
        <v>0.39832907546778984</v>
      </c>
      <c r="G154" s="16">
        <f>G$62/(G$43+G$42+G$50+G$57+G$62)</f>
        <v>0.39498919502971369</v>
      </c>
      <c r="H154" s="16">
        <f t="shared" si="135"/>
        <v>0.40950728660652325</v>
      </c>
      <c r="I154" s="16">
        <f t="shared" si="135"/>
        <v>0.40564326503191134</v>
      </c>
      <c r="J154" s="16">
        <f t="shared" si="135"/>
        <v>0.43012803050939796</v>
      </c>
      <c r="K154" s="16">
        <f t="shared" si="135"/>
        <v>0.45321813676244055</v>
      </c>
      <c r="L154" s="7">
        <f t="shared" si="132"/>
        <v>0.41530249823462939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 t="e">
        <f>SUM(B151:B154)</f>
        <v>#DIV/0!</v>
      </c>
      <c r="C155" s="7">
        <f t="shared" ref="C155:J155" si="136">SUM(C151:C154)</f>
        <v>1</v>
      </c>
      <c r="D155" s="7">
        <f t="shared" si="136"/>
        <v>1</v>
      </c>
      <c r="E155" s="7">
        <f t="shared" si="136"/>
        <v>1</v>
      </c>
      <c r="F155" s="7">
        <f t="shared" si="136"/>
        <v>1</v>
      </c>
      <c r="G155" s="7">
        <f t="shared" si="136"/>
        <v>1</v>
      </c>
      <c r="H155" s="7">
        <f t="shared" si="136"/>
        <v>1</v>
      </c>
      <c r="I155" s="7">
        <f t="shared" si="136"/>
        <v>1</v>
      </c>
      <c r="J155" s="7">
        <f t="shared" si="136"/>
        <v>1</v>
      </c>
      <c r="K155" s="7">
        <f t="shared" ref="K155" si="137">SUM(K151:K154)</f>
        <v>1</v>
      </c>
      <c r="L155" s="7">
        <f t="shared" si="132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Z161"/>
  <sheetViews>
    <sheetView topLeftCell="K70" workbookViewId="0">
      <selection activeCell="X90" sqref="X90"/>
    </sheetView>
  </sheetViews>
  <sheetFormatPr defaultRowHeight="15"/>
  <cols>
    <col min="1" max="1" width="31" customWidth="1"/>
    <col min="2" max="5" width="9.140625" hidden="1" customWidth="1"/>
    <col min="12" max="12" width="11.28515625" customWidth="1"/>
    <col min="14" max="14" width="31.5703125" customWidth="1"/>
    <col min="15" max="18" width="0" hidden="1" customWidth="1"/>
    <col min="25" max="25" width="11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2</v>
      </c>
    </row>
    <row r="3" spans="1:26">
      <c r="A3" s="2" t="s">
        <v>184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Edison International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"/>
      <c r="C11" s="22"/>
      <c r="D11" s="137"/>
      <c r="E11" s="137"/>
      <c r="F11" s="137">
        <f>1893+60</f>
        <v>1953</v>
      </c>
      <c r="G11" s="137">
        <f>1795+59</f>
        <v>1854</v>
      </c>
      <c r="H11" s="137">
        <f>1441+3</f>
        <v>1444</v>
      </c>
      <c r="I11" s="11">
        <f>3916+7</f>
        <v>3923</v>
      </c>
      <c r="J11" s="11">
        <v>1673</v>
      </c>
      <c r="K11" s="11">
        <v>1389</v>
      </c>
      <c r="L11" s="7">
        <f>RATE(5,,-F11,K11)</f>
        <v>-6.58857432055555E-2</v>
      </c>
      <c r="M11" s="1"/>
      <c r="N11" s="1" t="str">
        <f>A11</f>
        <v>Cash &amp; Equivalents</v>
      </c>
      <c r="O11" s="7" t="e">
        <f t="shared" ref="O11:X15" si="2">B11/B$38</f>
        <v>#DIV/0!</v>
      </c>
      <c r="P11" s="7" t="e">
        <f t="shared" si="2"/>
        <v>#DIV/0!</v>
      </c>
      <c r="Q11" s="7" t="e">
        <f t="shared" si="2"/>
        <v>#DIV/0!</v>
      </c>
      <c r="R11" s="7" t="e">
        <f t="shared" si="2"/>
        <v>#DIV/0!</v>
      </c>
      <c r="S11" s="7">
        <f t="shared" si="2"/>
        <v>5.6135207381219278E-2</v>
      </c>
      <c r="T11" s="7">
        <f t="shared" si="2"/>
        <v>5.1129312484487467E-2</v>
      </c>
      <c r="U11" s="7">
        <f t="shared" si="2"/>
        <v>3.8443107395772322E-2</v>
      </c>
      <c r="V11" s="7">
        <f t="shared" si="2"/>
        <v>8.7930068362658292E-2</v>
      </c>
      <c r="W11" s="7">
        <f t="shared" si="2"/>
        <v>4.036772512305762E-2</v>
      </c>
      <c r="X11" s="7">
        <f t="shared" si="2"/>
        <v>3.0507357786075117E-2</v>
      </c>
      <c r="Y11" s="7">
        <f>SUM(F11:K11)/SUM(F$38:K$38)</f>
        <v>5.0940246374941198E-2</v>
      </c>
      <c r="Z11" s="189"/>
    </row>
    <row r="12" spans="1:26">
      <c r="A12" s="1" t="s">
        <v>13</v>
      </c>
      <c r="B12" s="1"/>
      <c r="C12" s="22"/>
      <c r="D12" s="137"/>
      <c r="E12" s="137"/>
      <c r="F12" s="137">
        <v>1220</v>
      </c>
      <c r="G12" s="137">
        <v>1014</v>
      </c>
      <c r="H12" s="137">
        <v>1033</v>
      </c>
      <c r="I12" s="11">
        <v>1006</v>
      </c>
      <c r="J12" s="11">
        <v>1017</v>
      </c>
      <c r="K12" s="11">
        <v>931</v>
      </c>
      <c r="L12" s="7">
        <f t="shared" ref="L12:L15" si="3">RATE(5,,-F12,K12)</f>
        <v>-5.2633616563131938E-2</v>
      </c>
      <c r="M12" s="1"/>
      <c r="N12" s="1" t="str">
        <f>A12</f>
        <v>Accounts Receivable</v>
      </c>
      <c r="O12" s="7" t="e">
        <f t="shared" si="2"/>
        <v>#DIV/0!</v>
      </c>
      <c r="P12" s="7" t="e">
        <f t="shared" si="2"/>
        <v>#DIV/0!</v>
      </c>
      <c r="Q12" s="7" t="e">
        <f t="shared" si="2"/>
        <v>#DIV/0!</v>
      </c>
      <c r="R12" s="7" t="e">
        <f t="shared" si="2"/>
        <v>#DIV/0!</v>
      </c>
      <c r="S12" s="7">
        <f t="shared" si="2"/>
        <v>3.5066540197177434E-2</v>
      </c>
      <c r="T12" s="7">
        <f t="shared" si="2"/>
        <v>2.7963928187308678E-2</v>
      </c>
      <c r="U12" s="7">
        <f t="shared" si="2"/>
        <v>2.7501198019274798E-2</v>
      </c>
      <c r="V12" s="7">
        <f t="shared" si="2"/>
        <v>2.2548470245433151E-2</v>
      </c>
      <c r="W12" s="7">
        <f t="shared" si="2"/>
        <v>2.4539137148923848E-2</v>
      </c>
      <c r="X12" s="7">
        <f t="shared" si="2"/>
        <v>2.0448056226663739E-2</v>
      </c>
      <c r="Y12" s="7">
        <f t="shared" ref="Y12:Y15" si="4">SUM(F12:K12)/SUM(F$38:K$38)</f>
        <v>2.5898927157445992E-2</v>
      </c>
      <c r="Z12" s="189"/>
    </row>
    <row r="13" spans="1:26">
      <c r="A13" s="1" t="s">
        <v>14</v>
      </c>
      <c r="B13" s="6"/>
      <c r="C13" s="22"/>
      <c r="D13" s="137"/>
      <c r="E13" s="137"/>
      <c r="F13" s="137">
        <f>80+261</f>
        <v>341</v>
      </c>
      <c r="G13" s="137">
        <f>270+122</f>
        <v>392</v>
      </c>
      <c r="H13" s="137">
        <f>316+116</f>
        <v>432</v>
      </c>
      <c r="I13" s="11">
        <f>163+390</f>
        <v>553</v>
      </c>
      <c r="J13" s="11">
        <v>533</v>
      </c>
      <c r="K13" s="11">
        <v>568</v>
      </c>
      <c r="L13" s="7">
        <f t="shared" si="3"/>
        <v>0.1074363929521813</v>
      </c>
      <c r="M13" s="1"/>
      <c r="N13" s="1" t="str">
        <f>A13</f>
        <v>Material, Supplies, Fuel</v>
      </c>
      <c r="O13" s="7" t="e">
        <f t="shared" si="2"/>
        <v>#DIV/0!</v>
      </c>
      <c r="P13" s="7" t="e">
        <f t="shared" si="2"/>
        <v>#DIV/0!</v>
      </c>
      <c r="Q13" s="7" t="e">
        <f t="shared" si="2"/>
        <v>#DIV/0!</v>
      </c>
      <c r="R13" s="7" t="e">
        <f t="shared" si="2"/>
        <v>#DIV/0!</v>
      </c>
      <c r="S13" s="7">
        <f t="shared" si="2"/>
        <v>9.8013854157684467E-3</v>
      </c>
      <c r="T13" s="7">
        <f t="shared" si="2"/>
        <v>1.0810512672016768E-2</v>
      </c>
      <c r="U13" s="7">
        <f t="shared" si="2"/>
        <v>1.1500985038070391E-2</v>
      </c>
      <c r="V13" s="7">
        <f t="shared" si="2"/>
        <v>1.2394934439089992E-2</v>
      </c>
      <c r="W13" s="7">
        <f t="shared" si="2"/>
        <v>1.2860727728983688E-2</v>
      </c>
      <c r="X13" s="7">
        <f t="shared" si="2"/>
        <v>1.2475291016911926E-2</v>
      </c>
      <c r="Y13" s="7">
        <f t="shared" si="4"/>
        <v>1.173590671223923E-2</v>
      </c>
      <c r="Z13" s="189"/>
    </row>
    <row r="14" spans="1:26">
      <c r="A14" s="1" t="s">
        <v>15</v>
      </c>
      <c r="B14" s="6"/>
      <c r="C14" s="22"/>
      <c r="D14" s="137"/>
      <c r="E14" s="137"/>
      <c r="F14" s="137">
        <f>5959-3514</f>
        <v>2445</v>
      </c>
      <c r="G14" s="137">
        <v>2222</v>
      </c>
      <c r="H14" s="137">
        <v>1356</v>
      </c>
      <c r="I14" s="11">
        <f>7353-5482</f>
        <v>1871</v>
      </c>
      <c r="J14" s="11">
        <f>347+33+357+69+125+120+156</f>
        <v>1207</v>
      </c>
      <c r="K14" s="170">
        <f>442+390+133+2+65+378+124</f>
        <v>1534</v>
      </c>
      <c r="L14" s="7">
        <f t="shared" si="3"/>
        <v>-8.9019041772764887E-2</v>
      </c>
      <c r="M14" s="1"/>
      <c r="N14" s="1" t="str">
        <f>A14</f>
        <v>Other Current Assets</v>
      </c>
      <c r="O14" s="7" t="e">
        <f t="shared" si="2"/>
        <v>#DIV/0!</v>
      </c>
      <c r="P14" s="7" t="e">
        <f t="shared" si="2"/>
        <v>#DIV/0!</v>
      </c>
      <c r="Q14" s="7" t="e">
        <f t="shared" si="2"/>
        <v>#DIV/0!</v>
      </c>
      <c r="R14" s="7" t="e">
        <f t="shared" si="2"/>
        <v>#DIV/0!</v>
      </c>
      <c r="S14" s="7">
        <f t="shared" si="2"/>
        <v>7.0276795723031818E-2</v>
      </c>
      <c r="T14" s="7">
        <f t="shared" si="2"/>
        <v>6.1277957033727695E-2</v>
      </c>
      <c r="U14" s="7">
        <f t="shared" si="2"/>
        <v>3.6100314147276505E-2</v>
      </c>
      <c r="V14" s="7">
        <f t="shared" si="2"/>
        <v>4.1936568418693268E-2</v>
      </c>
      <c r="W14" s="7">
        <f t="shared" si="2"/>
        <v>2.9123636714602837E-2</v>
      </c>
      <c r="X14" s="7">
        <f t="shared" si="2"/>
        <v>3.3692071161871291E-2</v>
      </c>
      <c r="Y14" s="7">
        <f t="shared" si="4"/>
        <v>4.4275050686294511E-2</v>
      </c>
      <c r="Z14" s="189"/>
    </row>
    <row r="15" spans="1:26">
      <c r="A15" s="1" t="s">
        <v>16</v>
      </c>
      <c r="B15" s="1">
        <f>SUM(B10:B14)</f>
        <v>0</v>
      </c>
      <c r="C15" s="22">
        <f t="shared" ref="C15:K15" si="5">SUM(C10:C14)</f>
        <v>0</v>
      </c>
      <c r="D15" s="137">
        <f t="shared" si="5"/>
        <v>0</v>
      </c>
      <c r="E15" s="137">
        <f t="shared" si="5"/>
        <v>0</v>
      </c>
      <c r="F15" s="137">
        <f t="shared" si="5"/>
        <v>5959</v>
      </c>
      <c r="G15" s="137">
        <f t="shared" si="5"/>
        <v>5482</v>
      </c>
      <c r="H15" s="137">
        <f t="shared" si="5"/>
        <v>4265</v>
      </c>
      <c r="I15" s="11">
        <f t="shared" si="5"/>
        <v>7353</v>
      </c>
      <c r="J15" s="11">
        <f>SUM(J10:J14)</f>
        <v>4430</v>
      </c>
      <c r="K15" s="11">
        <f t="shared" si="5"/>
        <v>4422</v>
      </c>
      <c r="L15" s="7">
        <f t="shared" si="3"/>
        <v>-5.7917209123949674E-2</v>
      </c>
      <c r="M15" s="1"/>
      <c r="N15" s="1" t="str">
        <f>A15</f>
        <v>Total Current Assets</v>
      </c>
      <c r="O15" s="7" t="e">
        <f t="shared" si="2"/>
        <v>#DIV/0!</v>
      </c>
      <c r="P15" s="7" t="e">
        <f t="shared" si="2"/>
        <v>#DIV/0!</v>
      </c>
      <c r="Q15" s="7" t="e">
        <f t="shared" si="2"/>
        <v>#DIV/0!</v>
      </c>
      <c r="R15" s="7" t="e">
        <f t="shared" si="2"/>
        <v>#DIV/0!</v>
      </c>
      <c r="S15" s="7">
        <f t="shared" si="2"/>
        <v>0.17127992871719697</v>
      </c>
      <c r="T15" s="7">
        <f t="shared" si="2"/>
        <v>0.15118171037754061</v>
      </c>
      <c r="U15" s="7">
        <f t="shared" si="2"/>
        <v>0.11354560460039402</v>
      </c>
      <c r="V15" s="7">
        <f t="shared" si="2"/>
        <v>0.16481004146587472</v>
      </c>
      <c r="W15" s="7">
        <f t="shared" si="2"/>
        <v>0.106891226715568</v>
      </c>
      <c r="X15" s="7">
        <f t="shared" si="2"/>
        <v>9.712277619152207E-2</v>
      </c>
      <c r="Y15" s="7">
        <f t="shared" si="4"/>
        <v>0.13285013093092093</v>
      </c>
      <c r="Z15" s="189"/>
    </row>
    <row r="16" spans="1:26">
      <c r="A16" s="1"/>
      <c r="B16" s="1"/>
      <c r="C16" s="22"/>
      <c r="D16" s="137"/>
      <c r="E16" s="137"/>
      <c r="F16" s="137"/>
      <c r="G16" s="137"/>
      <c r="H16" s="137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"/>
      <c r="C17" s="22"/>
      <c r="D17" s="137"/>
      <c r="E17" s="137"/>
      <c r="F17" s="137"/>
      <c r="G17" s="137"/>
      <c r="H17" s="137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"/>
      <c r="C18" s="22"/>
      <c r="D18" s="137"/>
      <c r="E18" s="137"/>
      <c r="F18" s="137">
        <f>16760+1370</f>
        <v>18130</v>
      </c>
      <c r="G18" s="137">
        <f>17606+1465</f>
        <v>19071</v>
      </c>
      <c r="H18" s="137">
        <f>18940+1767</f>
        <v>20707</v>
      </c>
      <c r="I18" s="11">
        <f>20006+1819</f>
        <v>21825</v>
      </c>
      <c r="J18" s="136">
        <f>19192+2743+2946</f>
        <v>24881</v>
      </c>
      <c r="K18" s="136">
        <f>20689+3371+3377</f>
        <v>27437</v>
      </c>
      <c r="L18" s="7">
        <f>RATE(5,,-F18,K18)</f>
        <v>8.6395014208302201E-2</v>
      </c>
      <c r="M18" s="1"/>
      <c r="N18" s="1" t="str">
        <f>A18</f>
        <v xml:space="preserve">  Domestic Electric Plant in Service</v>
      </c>
      <c r="O18" s="7" t="e">
        <f t="shared" ref="O18:X22" si="6">B18/B$38</f>
        <v>#DIV/0!</v>
      </c>
      <c r="P18" s="7" t="e">
        <f t="shared" si="6"/>
        <v>#DIV/0!</v>
      </c>
      <c r="Q18" s="7" t="e">
        <f t="shared" si="6"/>
        <v>#DIV/0!</v>
      </c>
      <c r="R18" s="7" t="e">
        <f t="shared" si="6"/>
        <v>#DIV/0!</v>
      </c>
      <c r="S18" s="7">
        <f t="shared" si="6"/>
        <v>0.52111178178264494</v>
      </c>
      <c r="T18" s="7">
        <f t="shared" si="6"/>
        <v>0.5259369570613055</v>
      </c>
      <c r="U18" s="7">
        <f t="shared" si="6"/>
        <v>0.55127522496139714</v>
      </c>
      <c r="V18" s="7">
        <f t="shared" si="6"/>
        <v>0.48918525159699655</v>
      </c>
      <c r="W18" s="7">
        <f t="shared" si="6"/>
        <v>0.60035228259820483</v>
      </c>
      <c r="X18" s="7">
        <f t="shared" si="6"/>
        <v>0.60261366132220517</v>
      </c>
      <c r="Y18" s="7">
        <f t="shared" ref="Y18:Y22" si="7">SUM(F18:K18)/SUM(F$38:K$38)</f>
        <v>0.54974750523515525</v>
      </c>
      <c r="Z18" s="189"/>
    </row>
    <row r="19" spans="1:26">
      <c r="A19" s="1" t="s">
        <v>19</v>
      </c>
      <c r="B19" s="1"/>
      <c r="C19" s="22"/>
      <c r="D19" s="137"/>
      <c r="E19" s="137"/>
      <c r="F19" s="137">
        <v>956</v>
      </c>
      <c r="G19" s="137">
        <v>1486</v>
      </c>
      <c r="H19" s="137">
        <v>1693</v>
      </c>
      <c r="I19" s="11">
        <v>2454</v>
      </c>
      <c r="J19" s="136">
        <v>2701</v>
      </c>
      <c r="K19" s="136">
        <v>3291</v>
      </c>
      <c r="L19" s="7"/>
      <c r="M19" s="1"/>
      <c r="N19" s="1" t="str">
        <f>A19</f>
        <v xml:space="preserve">  Electric Construction Work in Progress</v>
      </c>
      <c r="O19" s="7" t="e">
        <f t="shared" si="6"/>
        <v>#DIV/0!</v>
      </c>
      <c r="P19" s="7" t="e">
        <f t="shared" si="6"/>
        <v>#DIV/0!</v>
      </c>
      <c r="Q19" s="7" t="e">
        <f t="shared" si="6"/>
        <v>#DIV/0!</v>
      </c>
      <c r="R19" s="7" t="e">
        <f t="shared" si="6"/>
        <v>#DIV/0!</v>
      </c>
      <c r="S19" s="7">
        <f t="shared" si="6"/>
        <v>2.7478370843034117E-2</v>
      </c>
      <c r="T19" s="7">
        <f t="shared" si="6"/>
        <v>4.0980667935247232E-2</v>
      </c>
      <c r="U19" s="7">
        <f t="shared" si="6"/>
        <v>4.5072147382993449E-2</v>
      </c>
      <c r="V19" s="7">
        <f t="shared" si="6"/>
        <v>5.5003922447607309E-2</v>
      </c>
      <c r="W19" s="7">
        <f t="shared" si="6"/>
        <v>6.5172280667889201E-2</v>
      </c>
      <c r="X19" s="7">
        <f t="shared" si="6"/>
        <v>7.2282011860311884E-2</v>
      </c>
      <c r="Y19" s="7">
        <f t="shared" si="7"/>
        <v>5.237653151709179E-2</v>
      </c>
      <c r="Z19" s="189"/>
    </row>
    <row r="20" spans="1:26">
      <c r="A20" s="9" t="s">
        <v>20</v>
      </c>
      <c r="B20" s="1"/>
      <c r="C20" s="22"/>
      <c r="D20" s="137"/>
      <c r="E20" s="137"/>
      <c r="F20" s="137"/>
      <c r="G20" s="137"/>
      <c r="H20" s="137"/>
      <c r="I20" s="11"/>
      <c r="J20" s="136"/>
      <c r="K20" s="136"/>
      <c r="L20" s="7"/>
      <c r="M20" s="1"/>
      <c r="N20" s="1" t="str">
        <f>A20</f>
        <v>Other Regulated PP &amp; E</v>
      </c>
      <c r="O20" s="7" t="e">
        <f t="shared" si="6"/>
        <v>#DIV/0!</v>
      </c>
      <c r="P20" s="7" t="e">
        <f t="shared" si="6"/>
        <v>#DIV/0!</v>
      </c>
      <c r="Q20" s="7" t="e">
        <f t="shared" si="6"/>
        <v>#DIV/0!</v>
      </c>
      <c r="R20" s="7" t="e">
        <f>E20/E$38</f>
        <v>#DIV/0!</v>
      </c>
      <c r="S20" s="7">
        <f t="shared" si="6"/>
        <v>0</v>
      </c>
      <c r="T20" s="7">
        <f t="shared" si="6"/>
        <v>0</v>
      </c>
      <c r="U20" s="7">
        <f t="shared" si="6"/>
        <v>0</v>
      </c>
      <c r="V20" s="7">
        <f t="shared" si="6"/>
        <v>0</v>
      </c>
      <c r="W20" s="7">
        <f t="shared" si="6"/>
        <v>0</v>
      </c>
      <c r="X20" s="7">
        <f t="shared" si="6"/>
        <v>0</v>
      </c>
      <c r="Y20" s="7">
        <f t="shared" si="7"/>
        <v>0</v>
      </c>
      <c r="Z20" s="189"/>
    </row>
    <row r="21" spans="1:26">
      <c r="A21" s="1" t="s">
        <v>21</v>
      </c>
      <c r="B21" s="1"/>
      <c r="C21" s="22"/>
      <c r="D21" s="137"/>
      <c r="E21" s="137"/>
      <c r="F21" s="137">
        <v>146</v>
      </c>
      <c r="G21" s="137">
        <v>177</v>
      </c>
      <c r="H21" s="137">
        <v>177</v>
      </c>
      <c r="I21" s="11">
        <v>260</v>
      </c>
      <c r="J21" s="136"/>
      <c r="K21" s="136"/>
      <c r="L21" s="7"/>
      <c r="M21" s="1"/>
      <c r="N21" s="1" t="str">
        <f>A21</f>
        <v>Other PP&amp;E</v>
      </c>
      <c r="O21" s="7" t="e">
        <f t="shared" si="6"/>
        <v>#DIV/0!</v>
      </c>
      <c r="P21" s="7" t="e">
        <f t="shared" si="6"/>
        <v>#DIV/0!</v>
      </c>
      <c r="Q21" s="7" t="e">
        <f t="shared" si="6"/>
        <v>#DIV/0!</v>
      </c>
      <c r="R21" s="7" t="e">
        <f>E21/E$38</f>
        <v>#DIV/0!</v>
      </c>
      <c r="S21" s="7">
        <f t="shared" si="6"/>
        <v>4.1964875973671354E-3</v>
      </c>
      <c r="T21" s="7">
        <f t="shared" si="6"/>
        <v>4.8812774054769591E-3</v>
      </c>
      <c r="U21" s="7">
        <f t="shared" si="6"/>
        <v>4.7122091475427291E-3</v>
      </c>
      <c r="V21" s="7">
        <f t="shared" si="6"/>
        <v>5.8276364451417687E-3</v>
      </c>
      <c r="W21" s="7">
        <f t="shared" si="6"/>
        <v>0</v>
      </c>
      <c r="X21" s="7">
        <f t="shared" si="6"/>
        <v>0</v>
      </c>
      <c r="Y21" s="7">
        <f t="shared" si="7"/>
        <v>3.1639904580708818E-3</v>
      </c>
      <c r="Z21" s="189"/>
    </row>
    <row r="22" spans="1:26">
      <c r="A22" s="1" t="s">
        <v>22</v>
      </c>
      <c r="B22" s="1">
        <f t="shared" ref="B22:K22" si="8">SUM(B18:B21)</f>
        <v>0</v>
      </c>
      <c r="C22" s="22">
        <f t="shared" si="8"/>
        <v>0</v>
      </c>
      <c r="D22" s="137">
        <f t="shared" si="8"/>
        <v>0</v>
      </c>
      <c r="E22" s="137">
        <f t="shared" si="8"/>
        <v>0</v>
      </c>
      <c r="F22" s="137">
        <f t="shared" si="8"/>
        <v>19232</v>
      </c>
      <c r="G22" s="137">
        <f t="shared" si="8"/>
        <v>20734</v>
      </c>
      <c r="H22" s="137">
        <f t="shared" si="8"/>
        <v>22577</v>
      </c>
      <c r="I22" s="11">
        <f t="shared" si="8"/>
        <v>24539</v>
      </c>
      <c r="J22" s="11">
        <f t="shared" si="8"/>
        <v>27582</v>
      </c>
      <c r="K22" s="11">
        <f t="shared" si="8"/>
        <v>30728</v>
      </c>
      <c r="L22" s="7">
        <f>RATE(5,,-F22,K22)</f>
        <v>9.8251913883545386E-2</v>
      </c>
      <c r="M22" s="1"/>
      <c r="N22" s="1" t="s">
        <v>23</v>
      </c>
      <c r="O22" s="7" t="e">
        <f t="shared" si="6"/>
        <v>#DIV/0!</v>
      </c>
      <c r="P22" s="7" t="e">
        <f t="shared" si="6"/>
        <v>#DIV/0!</v>
      </c>
      <c r="Q22" s="7" t="e">
        <f t="shared" si="6"/>
        <v>#DIV/0!</v>
      </c>
      <c r="R22" s="7" t="e">
        <f>E22/E$38</f>
        <v>#DIV/0!</v>
      </c>
      <c r="S22" s="7">
        <f t="shared" si="6"/>
        <v>0.55278664022304624</v>
      </c>
      <c r="T22" s="7">
        <f t="shared" si="6"/>
        <v>0.57179890240202969</v>
      </c>
      <c r="U22" s="7">
        <f t="shared" si="6"/>
        <v>0.60105958149193339</v>
      </c>
      <c r="V22" s="7">
        <f t="shared" si="6"/>
        <v>0.5500168104897456</v>
      </c>
      <c r="W22" s="7">
        <f t="shared" si="6"/>
        <v>0.66552456326609399</v>
      </c>
      <c r="X22" s="7">
        <f t="shared" si="6"/>
        <v>0.67489567318251698</v>
      </c>
      <c r="Y22" s="7">
        <f t="shared" si="7"/>
        <v>0.60528802721031794</v>
      </c>
      <c r="Z22" s="189"/>
    </row>
    <row r="23" spans="1:26">
      <c r="A23" s="1"/>
      <c r="B23" s="1"/>
      <c r="C23" s="22"/>
      <c r="D23" s="137"/>
      <c r="E23" s="137"/>
      <c r="F23" s="137"/>
      <c r="G23" s="137"/>
      <c r="H23" s="137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"/>
      <c r="C24" s="22"/>
      <c r="D24" s="137"/>
      <c r="E24" s="137"/>
      <c r="F24" s="137">
        <v>4763</v>
      </c>
      <c r="G24" s="137">
        <v>4821</v>
      </c>
      <c r="H24" s="137">
        <v>5174</v>
      </c>
      <c r="I24" s="11">
        <v>5570</v>
      </c>
      <c r="J24" s="11">
        <v>5921</v>
      </c>
      <c r="K24" s="11">
        <v>6319</v>
      </c>
      <c r="L24" s="7">
        <f>RATE(5,,-F24,K24)</f>
        <v>5.8165394998986514E-2</v>
      </c>
      <c r="M24" s="2"/>
      <c r="N24" s="1" t="str">
        <f>A24</f>
        <v>Accumulated Depreciation &amp; Amort.</v>
      </c>
      <c r="O24" s="7" t="e">
        <f t="shared" ref="O24:X24" si="9">B24/B$38</f>
        <v>#DIV/0!</v>
      </c>
      <c r="P24" s="7" t="e">
        <f t="shared" si="9"/>
        <v>#DIV/0!</v>
      </c>
      <c r="Q24" s="7" t="e">
        <f t="shared" si="9"/>
        <v>#DIV/0!</v>
      </c>
      <c r="R24" s="7" t="e">
        <f t="shared" si="9"/>
        <v>#DIV/0!</v>
      </c>
      <c r="S24" s="7">
        <f t="shared" si="9"/>
        <v>0.13690322209766895</v>
      </c>
      <c r="T24" s="7">
        <f t="shared" si="9"/>
        <v>0.13295275916273683</v>
      </c>
      <c r="U24" s="7">
        <f t="shared" si="9"/>
        <v>0.13774559395133379</v>
      </c>
      <c r="V24" s="7">
        <f t="shared" si="9"/>
        <v>0.12484590384399866</v>
      </c>
      <c r="W24" s="7">
        <f t="shared" si="9"/>
        <v>0.14286748383360678</v>
      </c>
      <c r="X24" s="7">
        <f t="shared" si="9"/>
        <v>0.13878761256314517</v>
      </c>
      <c r="Y24" s="7">
        <f>SUM(F24:K24)/SUM(F$38:K$38)</f>
        <v>0.13558531741901642</v>
      </c>
      <c r="Z24" s="189"/>
    </row>
    <row r="25" spans="1:26">
      <c r="A25" s="1"/>
      <c r="B25" s="1"/>
      <c r="C25" s="22"/>
      <c r="D25" s="137"/>
      <c r="E25" s="137"/>
      <c r="F25" s="137"/>
      <c r="G25" s="137"/>
      <c r="H25" s="137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">
        <f t="shared" ref="B26:K26" si="10">B22-B24</f>
        <v>0</v>
      </c>
      <c r="C26" s="22">
        <f t="shared" si="10"/>
        <v>0</v>
      </c>
      <c r="D26" s="137">
        <f t="shared" si="10"/>
        <v>0</v>
      </c>
      <c r="E26" s="137">
        <f t="shared" si="10"/>
        <v>0</v>
      </c>
      <c r="F26" s="137">
        <f t="shared" si="10"/>
        <v>14469</v>
      </c>
      <c r="G26" s="137">
        <f t="shared" si="10"/>
        <v>15913</v>
      </c>
      <c r="H26" s="137">
        <f t="shared" si="10"/>
        <v>17403</v>
      </c>
      <c r="I26" s="137">
        <f t="shared" si="10"/>
        <v>18969</v>
      </c>
      <c r="J26" s="137">
        <f t="shared" si="10"/>
        <v>21661</v>
      </c>
      <c r="K26" s="137">
        <f t="shared" si="10"/>
        <v>24409</v>
      </c>
      <c r="L26" s="7">
        <f>RATE(5,,-F26,K26)</f>
        <v>0.11025386612895562</v>
      </c>
      <c r="M26" s="1"/>
      <c r="N26" s="1" t="s">
        <v>23</v>
      </c>
      <c r="O26" s="7" t="e">
        <f t="shared" ref="O26:X26" si="11">B26/B$38</f>
        <v>#DIV/0!</v>
      </c>
      <c r="P26" s="7" t="e">
        <f t="shared" si="11"/>
        <v>#DIV/0!</v>
      </c>
      <c r="Q26" s="7" t="e">
        <f t="shared" si="11"/>
        <v>#DIV/0!</v>
      </c>
      <c r="R26" s="7" t="e">
        <f t="shared" si="11"/>
        <v>#DIV/0!</v>
      </c>
      <c r="S26" s="7">
        <f t="shared" si="11"/>
        <v>0.41588341812537727</v>
      </c>
      <c r="T26" s="7">
        <f t="shared" si="11"/>
        <v>0.43884614323929289</v>
      </c>
      <c r="U26" s="7">
        <f t="shared" si="11"/>
        <v>0.46331398754059955</v>
      </c>
      <c r="V26" s="7">
        <f t="shared" si="11"/>
        <v>0.42517090664574697</v>
      </c>
      <c r="W26" s="7">
        <f t="shared" si="11"/>
        <v>0.52265707943248718</v>
      </c>
      <c r="X26" s="7">
        <f t="shared" si="11"/>
        <v>0.53610806061937188</v>
      </c>
      <c r="Y26" s="7">
        <f>SUM(F26:K26)/SUM(F$38:K$38)</f>
        <v>0.46970270979130152</v>
      </c>
      <c r="Z26" s="189"/>
    </row>
    <row r="27" spans="1:26">
      <c r="A27" s="1"/>
      <c r="B27" s="1"/>
      <c r="C27" s="22"/>
      <c r="D27" s="137"/>
      <c r="E27" s="137"/>
      <c r="F27" s="137"/>
      <c r="G27" s="137"/>
      <c r="H27" s="137"/>
      <c r="I27" s="11"/>
      <c r="J27" s="11"/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"/>
      <c r="C28" s="22"/>
      <c r="D28" s="137"/>
      <c r="E28" s="137"/>
      <c r="F28" s="137"/>
      <c r="G28" s="137"/>
      <c r="H28" s="137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"/>
      <c r="C29" s="22"/>
      <c r="D29" s="137"/>
      <c r="E29" s="137"/>
      <c r="F29" s="137">
        <v>3013</v>
      </c>
      <c r="G29" s="137">
        <v>2818</v>
      </c>
      <c r="H29" s="137">
        <v>2721</v>
      </c>
      <c r="I29" s="11">
        <v>5414</v>
      </c>
      <c r="J29" s="11">
        <v>4139</v>
      </c>
      <c r="K29" s="11">
        <v>4347</v>
      </c>
      <c r="L29" s="7">
        <f t="shared" ref="L29:L35" si="12">RATE(5,,-F29,K29)</f>
        <v>7.606399875934193E-2</v>
      </c>
      <c r="M29" s="1"/>
      <c r="N29" s="1" t="s">
        <v>27</v>
      </c>
      <c r="O29" s="7" t="e">
        <f t="shared" ref="O29:X36" si="13">B29/B$38</f>
        <v>#DIV/0!</v>
      </c>
      <c r="P29" s="7" t="e">
        <f t="shared" si="13"/>
        <v>#DIV/0!</v>
      </c>
      <c r="Q29" s="7" t="e">
        <f t="shared" si="13"/>
        <v>#DIV/0!</v>
      </c>
      <c r="R29" s="7" t="e">
        <f t="shared" si="13"/>
        <v>#DIV/0!</v>
      </c>
      <c r="S29" s="7">
        <f t="shared" si="13"/>
        <v>8.6602857060734104E-2</v>
      </c>
      <c r="T29" s="7">
        <f t="shared" si="13"/>
        <v>7.7714348749345033E-2</v>
      </c>
      <c r="U29" s="7">
        <f t="shared" si="13"/>
        <v>7.2440232149512812E-2</v>
      </c>
      <c r="V29" s="7">
        <f t="shared" si="13"/>
        <v>0.12134932197691359</v>
      </c>
      <c r="W29" s="7">
        <f t="shared" si="13"/>
        <v>9.9869703696554388E-2</v>
      </c>
      <c r="X29" s="7">
        <f t="shared" si="13"/>
        <v>9.5475510652317158E-2</v>
      </c>
      <c r="Y29" s="7">
        <f t="shared" ref="Y29:Y36" si="14">SUM(F29:K29)/SUM(F$38:K$38)</f>
        <v>9.3470939163957156E-2</v>
      </c>
      <c r="Z29" s="189"/>
    </row>
    <row r="30" spans="1:26">
      <c r="A30" s="1" t="s">
        <v>28</v>
      </c>
      <c r="B30" s="1"/>
      <c r="C30" s="22"/>
      <c r="D30" s="137"/>
      <c r="E30" s="137"/>
      <c r="F30" s="137">
        <f>34791-33850</f>
        <v>941</v>
      </c>
      <c r="G30" s="137">
        <f>4432-2818-556</f>
        <v>1058</v>
      </c>
      <c r="H30" s="137">
        <f>4769-2721-716</f>
        <v>1332</v>
      </c>
      <c r="I30" s="11">
        <f>7610-878-5414</f>
        <v>1318</v>
      </c>
      <c r="J30" s="11">
        <v>1117</v>
      </c>
      <c r="K30" s="11">
        <v>1128</v>
      </c>
      <c r="L30" s="7">
        <f t="shared" si="12"/>
        <v>3.6916762570425511E-2</v>
      </c>
      <c r="M30" s="1"/>
      <c r="N30" s="1" t="str">
        <f>A30</f>
        <v>Intangible Assets-net</v>
      </c>
      <c r="O30" s="7" t="e">
        <f t="shared" si="13"/>
        <v>#DIV/0!</v>
      </c>
      <c r="P30" s="7" t="e">
        <f t="shared" si="13"/>
        <v>#DIV/0!</v>
      </c>
      <c r="Q30" s="7" t="e">
        <f t="shared" si="13"/>
        <v>#DIV/0!</v>
      </c>
      <c r="R30" s="7" t="e">
        <f t="shared" si="13"/>
        <v>#DIV/0!</v>
      </c>
      <c r="S30" s="7">
        <f t="shared" si="13"/>
        <v>2.7047224857003248E-2</v>
      </c>
      <c r="T30" s="7">
        <f t="shared" si="13"/>
        <v>2.9177353079065663E-2</v>
      </c>
      <c r="U30" s="7">
        <f t="shared" si="13"/>
        <v>3.5461370534050372E-2</v>
      </c>
      <c r="V30" s="7">
        <f t="shared" si="13"/>
        <v>2.9541633979603271E-2</v>
      </c>
      <c r="W30" s="7">
        <f t="shared" si="13"/>
        <v>2.6952031657175947E-2</v>
      </c>
      <c r="X30" s="7">
        <f t="shared" si="13"/>
        <v>2.4774873709641994E-2</v>
      </c>
      <c r="Y30" s="7">
        <f t="shared" si="14"/>
        <v>2.8700723970974552E-2</v>
      </c>
      <c r="Z30" s="189"/>
    </row>
    <row r="31" spans="1:26">
      <c r="A31" s="1" t="s">
        <v>29</v>
      </c>
      <c r="B31" s="1"/>
      <c r="C31" s="22"/>
      <c r="D31" s="137"/>
      <c r="E31" s="137"/>
      <c r="F31" s="137"/>
      <c r="G31" s="137"/>
      <c r="H31" s="137"/>
      <c r="I31" s="11"/>
      <c r="J31" s="11"/>
      <c r="K31" s="11"/>
      <c r="L31" s="7"/>
      <c r="M31" s="1"/>
      <c r="N31" s="1" t="str">
        <f t="shared" ref="N31:N36" si="15">A31</f>
        <v>Finance Assets</v>
      </c>
      <c r="O31" s="7" t="e">
        <f t="shared" si="13"/>
        <v>#DIV/0!</v>
      </c>
      <c r="P31" s="7" t="e">
        <f t="shared" si="13"/>
        <v>#DIV/0!</v>
      </c>
      <c r="Q31" s="7" t="e">
        <f t="shared" si="13"/>
        <v>#DIV/0!</v>
      </c>
      <c r="R31" s="7" t="e">
        <f t="shared" si="13"/>
        <v>#DIV/0!</v>
      </c>
      <c r="S31" s="7">
        <f t="shared" si="13"/>
        <v>0</v>
      </c>
      <c r="T31" s="7">
        <f t="shared" si="13"/>
        <v>0</v>
      </c>
      <c r="U31" s="7">
        <f t="shared" si="13"/>
        <v>0</v>
      </c>
      <c r="V31" s="7">
        <f t="shared" si="13"/>
        <v>0</v>
      </c>
      <c r="W31" s="7">
        <f t="shared" si="13"/>
        <v>0</v>
      </c>
      <c r="X31" s="7">
        <f t="shared" si="13"/>
        <v>0</v>
      </c>
      <c r="Y31" s="7">
        <f t="shared" si="14"/>
        <v>0</v>
      </c>
      <c r="Z31" s="189"/>
    </row>
    <row r="32" spans="1:26">
      <c r="A32" s="1" t="s">
        <v>30</v>
      </c>
      <c r="B32" s="1"/>
      <c r="C32" s="22"/>
      <c r="D32" s="137"/>
      <c r="E32" s="137"/>
      <c r="F32" s="137">
        <v>10014</v>
      </c>
      <c r="G32" s="137">
        <v>10434</v>
      </c>
      <c r="H32" s="137">
        <v>11125</v>
      </c>
      <c r="I32" s="11">
        <v>10683</v>
      </c>
      <c r="J32" s="11">
        <f>3607+5452</f>
        <v>9059</v>
      </c>
      <c r="K32" s="11">
        <f>4262+5775</f>
        <v>10037</v>
      </c>
      <c r="L32" s="7">
        <f t="shared" si="12"/>
        <v>4.5893546345238443E-4</v>
      </c>
      <c r="M32" s="1"/>
      <c r="N32" s="1" t="str">
        <f t="shared" si="15"/>
        <v xml:space="preserve">Investments </v>
      </c>
      <c r="O32" s="7" t="e">
        <f t="shared" si="13"/>
        <v>#DIV/0!</v>
      </c>
      <c r="P32" s="7" t="e">
        <f t="shared" si="13"/>
        <v>#DIV/0!</v>
      </c>
      <c r="Q32" s="7" t="e">
        <f t="shared" si="13"/>
        <v>#DIV/0!</v>
      </c>
      <c r="R32" s="7" t="e">
        <f t="shared" si="13"/>
        <v>#DIV/0!</v>
      </c>
      <c r="S32" s="7">
        <f t="shared" si="13"/>
        <v>0.28783306027420885</v>
      </c>
      <c r="T32" s="7">
        <f t="shared" si="13"/>
        <v>0.28774716637709935</v>
      </c>
      <c r="U32" s="7">
        <f t="shared" si="13"/>
        <v>0.29617698738086362</v>
      </c>
      <c r="V32" s="7">
        <f t="shared" si="13"/>
        <v>0.23944861593634428</v>
      </c>
      <c r="W32" s="7">
        <f t="shared" si="13"/>
        <v>0.21858411350255766</v>
      </c>
      <c r="X32" s="7">
        <f t="shared" si="13"/>
        <v>0.22044805622666375</v>
      </c>
      <c r="Y32" s="7">
        <f t="shared" si="14"/>
        <v>0.25541729287311149</v>
      </c>
      <c r="Z32" s="189"/>
    </row>
    <row r="33" spans="1:26">
      <c r="A33" s="1" t="s">
        <v>31</v>
      </c>
      <c r="B33" s="1"/>
      <c r="C33" s="22"/>
      <c r="D33" s="137"/>
      <c r="E33" s="137"/>
      <c r="F33" s="137">
        <v>395</v>
      </c>
      <c r="G33" s="137">
        <v>556</v>
      </c>
      <c r="H33" s="137">
        <v>716</v>
      </c>
      <c r="I33" s="11">
        <v>878</v>
      </c>
      <c r="J33" s="11">
        <v>1038</v>
      </c>
      <c r="K33" s="11">
        <v>1187</v>
      </c>
      <c r="L33" s="7">
        <f t="shared" si="12"/>
        <v>0.24615115591565689</v>
      </c>
      <c r="M33" s="1"/>
      <c r="N33" s="1" t="str">
        <f t="shared" si="15"/>
        <v>Deferred Charges and Other</v>
      </c>
      <c r="O33" s="7" t="e">
        <f t="shared" si="13"/>
        <v>#DIV/0!</v>
      </c>
      <c r="P33" s="7" t="e">
        <f t="shared" si="13"/>
        <v>#DIV/0!</v>
      </c>
      <c r="Q33" s="7" t="e">
        <f t="shared" si="13"/>
        <v>#DIV/0!</v>
      </c>
      <c r="R33" s="7" t="e">
        <f t="shared" si="13"/>
        <v>#DIV/0!</v>
      </c>
      <c r="S33" s="7">
        <f t="shared" si="13"/>
        <v>1.1353510965479579E-2</v>
      </c>
      <c r="T33" s="7">
        <f t="shared" si="13"/>
        <v>1.5333278177656435E-2</v>
      </c>
      <c r="U33" s="7">
        <f t="shared" si="13"/>
        <v>1.906181779457963E-2</v>
      </c>
      <c r="V33" s="7">
        <f t="shared" si="13"/>
        <v>1.9679479995517203E-2</v>
      </c>
      <c r="W33" s="7">
        <f t="shared" si="13"/>
        <v>2.5045844995656791E-2</v>
      </c>
      <c r="X33" s="7">
        <f t="shared" si="13"/>
        <v>2.6070722600483199E-2</v>
      </c>
      <c r="Y33" s="7">
        <f t="shared" si="14"/>
        <v>1.9858203269734351E-2</v>
      </c>
      <c r="Z33" s="189"/>
    </row>
    <row r="34" spans="1:26">
      <c r="A34" s="1" t="s">
        <v>32</v>
      </c>
      <c r="B34" s="1">
        <f t="shared" ref="B34" si="16">SUM(B29:B33)</f>
        <v>0</v>
      </c>
      <c r="C34" s="22">
        <f t="shared" ref="C34:H34" si="17">SUM(C29:C33)</f>
        <v>0</v>
      </c>
      <c r="D34" s="137">
        <f t="shared" si="17"/>
        <v>0</v>
      </c>
      <c r="E34" s="137">
        <f t="shared" si="17"/>
        <v>0</v>
      </c>
      <c r="F34" s="137">
        <f t="shared" si="17"/>
        <v>14363</v>
      </c>
      <c r="G34" s="137">
        <f t="shared" si="17"/>
        <v>14866</v>
      </c>
      <c r="H34" s="137">
        <f t="shared" si="17"/>
        <v>15894</v>
      </c>
      <c r="I34" s="11">
        <f>SUM(I29:I33)</f>
        <v>18293</v>
      </c>
      <c r="J34" s="11">
        <f>SUM(J29:J33)</f>
        <v>15353</v>
      </c>
      <c r="K34" s="11">
        <f>SUM(K29:K33)</f>
        <v>16699</v>
      </c>
      <c r="L34" s="7">
        <f t="shared" si="12"/>
        <v>3.0597443576412364E-2</v>
      </c>
      <c r="M34" s="1"/>
      <c r="N34" s="1" t="str">
        <f t="shared" si="15"/>
        <v>Total Other Assets</v>
      </c>
      <c r="O34" s="7" t="e">
        <f t="shared" si="13"/>
        <v>#DIV/0!</v>
      </c>
      <c r="P34" s="7" t="e">
        <f t="shared" si="13"/>
        <v>#DIV/0!</v>
      </c>
      <c r="Q34" s="7" t="e">
        <f t="shared" si="13"/>
        <v>#DIV/0!</v>
      </c>
      <c r="R34" s="7" t="e">
        <f t="shared" si="13"/>
        <v>#DIV/0!</v>
      </c>
      <c r="S34" s="7">
        <f t="shared" si="13"/>
        <v>0.41283665315742579</v>
      </c>
      <c r="T34" s="7">
        <f t="shared" si="13"/>
        <v>0.40997214638316648</v>
      </c>
      <c r="U34" s="7">
        <f t="shared" si="13"/>
        <v>0.42314040785900642</v>
      </c>
      <c r="V34" s="7">
        <f t="shared" si="13"/>
        <v>0.41001905188837834</v>
      </c>
      <c r="W34" s="7">
        <f t="shared" si="13"/>
        <v>0.37045169385194482</v>
      </c>
      <c r="X34" s="7">
        <f t="shared" si="13"/>
        <v>0.36676916318910607</v>
      </c>
      <c r="Y34" s="7">
        <f t="shared" si="14"/>
        <v>0.39744715927777757</v>
      </c>
      <c r="Z34" s="189"/>
    </row>
    <row r="35" spans="1:26">
      <c r="A35" s="1" t="s">
        <v>33</v>
      </c>
      <c r="B35" s="1">
        <f t="shared" ref="B35:I35" si="18">B26+B34</f>
        <v>0</v>
      </c>
      <c r="C35" s="22">
        <f t="shared" si="18"/>
        <v>0</v>
      </c>
      <c r="D35" s="137">
        <f t="shared" si="18"/>
        <v>0</v>
      </c>
      <c r="E35" s="137">
        <f t="shared" si="18"/>
        <v>0</v>
      </c>
      <c r="F35" s="137">
        <f t="shared" si="18"/>
        <v>28832</v>
      </c>
      <c r="G35" s="137">
        <f t="shared" si="18"/>
        <v>30779</v>
      </c>
      <c r="H35" s="137">
        <f t="shared" si="18"/>
        <v>33297</v>
      </c>
      <c r="I35" s="11">
        <f t="shared" si="18"/>
        <v>37262</v>
      </c>
      <c r="J35" s="11">
        <f>J26+J34</f>
        <v>37014</v>
      </c>
      <c r="K35" s="11">
        <f>K26+K34</f>
        <v>41108</v>
      </c>
      <c r="L35" s="7">
        <f t="shared" si="12"/>
        <v>7.3520434621975619E-2</v>
      </c>
      <c r="M35" s="1"/>
      <c r="N35" s="1" t="str">
        <f t="shared" si="15"/>
        <v>Total Non-Current Assets</v>
      </c>
      <c r="O35" s="7" t="e">
        <f t="shared" si="13"/>
        <v>#DIV/0!</v>
      </c>
      <c r="P35" s="7" t="e">
        <f t="shared" si="13"/>
        <v>#DIV/0!</v>
      </c>
      <c r="Q35" s="7" t="e">
        <f t="shared" si="13"/>
        <v>#DIV/0!</v>
      </c>
      <c r="R35" s="7" t="e">
        <f t="shared" si="13"/>
        <v>#DIV/0!</v>
      </c>
      <c r="S35" s="7">
        <f t="shared" si="13"/>
        <v>0.82872007128280301</v>
      </c>
      <c r="T35" s="7">
        <f t="shared" si="13"/>
        <v>0.84881828962245942</v>
      </c>
      <c r="U35" s="7">
        <f t="shared" si="13"/>
        <v>0.88645439539960602</v>
      </c>
      <c r="V35" s="7">
        <f t="shared" si="13"/>
        <v>0.83518995853412525</v>
      </c>
      <c r="W35" s="7">
        <f t="shared" si="13"/>
        <v>0.89310877328443206</v>
      </c>
      <c r="X35" s="7">
        <f t="shared" si="13"/>
        <v>0.9028772238084779</v>
      </c>
      <c r="Y35" s="7">
        <f t="shared" si="14"/>
        <v>0.86714986906907909</v>
      </c>
      <c r="Z35" s="189"/>
    </row>
    <row r="36" spans="1:26">
      <c r="A36" s="1" t="s">
        <v>34</v>
      </c>
      <c r="B36" s="1"/>
      <c r="C36" s="22"/>
      <c r="D36" s="137"/>
      <c r="E36" s="137"/>
      <c r="F36" s="137"/>
      <c r="G36" s="137"/>
      <c r="H36" s="137"/>
      <c r="I36" s="11"/>
      <c r="J36" s="11"/>
      <c r="K36" s="11"/>
      <c r="L36" s="7"/>
      <c r="M36" s="1"/>
      <c r="N36" s="1" t="str">
        <f t="shared" si="15"/>
        <v xml:space="preserve"> Electric Assets</v>
      </c>
      <c r="O36" s="7" t="e">
        <f>B36/B$38</f>
        <v>#DIV/0!</v>
      </c>
      <c r="P36" s="7" t="e">
        <f t="shared" si="13"/>
        <v>#DIV/0!</v>
      </c>
      <c r="Q36" s="7" t="e">
        <f t="shared" si="13"/>
        <v>#DIV/0!</v>
      </c>
      <c r="R36" s="7" t="e">
        <f t="shared" si="13"/>
        <v>#DIV/0!</v>
      </c>
      <c r="S36" s="7">
        <f t="shared" si="13"/>
        <v>0</v>
      </c>
      <c r="T36" s="7">
        <f t="shared" si="13"/>
        <v>0</v>
      </c>
      <c r="U36" s="7">
        <f t="shared" si="13"/>
        <v>0</v>
      </c>
      <c r="V36" s="7">
        <f t="shared" si="13"/>
        <v>0</v>
      </c>
      <c r="W36" s="7">
        <f t="shared" si="13"/>
        <v>0</v>
      </c>
      <c r="X36" s="7">
        <f t="shared" si="13"/>
        <v>0</v>
      </c>
      <c r="Y36" s="7">
        <f t="shared" si="14"/>
        <v>0</v>
      </c>
      <c r="Z36" s="189"/>
    </row>
    <row r="37" spans="1:26">
      <c r="A37" s="1" t="s">
        <v>35</v>
      </c>
      <c r="B37" s="1"/>
      <c r="C37" s="22"/>
      <c r="D37" s="137"/>
      <c r="E37" s="137"/>
      <c r="F37" s="137"/>
      <c r="G37" s="137"/>
      <c r="H37" s="137"/>
      <c r="I37" s="11"/>
      <c r="J37" s="11"/>
      <c r="K37" s="11"/>
      <c r="L37" s="7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89"/>
    </row>
    <row r="38" spans="1:26">
      <c r="A38" s="1" t="s">
        <v>36</v>
      </c>
      <c r="B38" s="1">
        <f t="shared" ref="B38:K38" si="19">B15+B26+B34</f>
        <v>0</v>
      </c>
      <c r="C38" s="22">
        <f t="shared" si="19"/>
        <v>0</v>
      </c>
      <c r="D38" s="137">
        <f t="shared" si="19"/>
        <v>0</v>
      </c>
      <c r="E38" s="137">
        <f t="shared" si="19"/>
        <v>0</v>
      </c>
      <c r="F38" s="137">
        <f t="shared" si="19"/>
        <v>34791</v>
      </c>
      <c r="G38" s="137">
        <f t="shared" si="19"/>
        <v>36261</v>
      </c>
      <c r="H38" s="137">
        <f t="shared" si="19"/>
        <v>37562</v>
      </c>
      <c r="I38" s="11">
        <f t="shared" si="19"/>
        <v>44615</v>
      </c>
      <c r="J38" s="11">
        <f t="shared" si="19"/>
        <v>41444</v>
      </c>
      <c r="K38" s="11">
        <f t="shared" si="19"/>
        <v>45530</v>
      </c>
      <c r="L38" s="7">
        <f>RATE(5,,-F38,K38)</f>
        <v>5.5276210266568919E-2</v>
      </c>
      <c r="M38" s="1"/>
      <c r="N38" s="1" t="s">
        <v>36</v>
      </c>
      <c r="O38" s="7" t="e">
        <f t="shared" ref="O38:X38" si="20">B38/B$38</f>
        <v>#DIV/0!</v>
      </c>
      <c r="P38" s="7" t="e">
        <f t="shared" si="20"/>
        <v>#DIV/0!</v>
      </c>
      <c r="Q38" s="7" t="e">
        <f t="shared" si="20"/>
        <v>#DIV/0!</v>
      </c>
      <c r="R38" s="7" t="e">
        <f t="shared" si="20"/>
        <v>#DIV/0!</v>
      </c>
      <c r="S38" s="7">
        <f t="shared" si="20"/>
        <v>1</v>
      </c>
      <c r="T38" s="7">
        <f t="shared" si="20"/>
        <v>1</v>
      </c>
      <c r="U38" s="7">
        <f t="shared" si="20"/>
        <v>1</v>
      </c>
      <c r="V38" s="7">
        <f t="shared" si="20"/>
        <v>1</v>
      </c>
      <c r="W38" s="7">
        <f t="shared" si="20"/>
        <v>1</v>
      </c>
      <c r="X38" s="7">
        <f t="shared" si="20"/>
        <v>1</v>
      </c>
      <c r="Y38" s="7">
        <f>SUM(F38:K38)/SUM(F$38:K$38)</f>
        <v>1</v>
      </c>
      <c r="Z38" s="189"/>
    </row>
    <row r="39" spans="1:26">
      <c r="A39" s="1"/>
      <c r="B39" s="1"/>
      <c r="C39" s="22"/>
      <c r="D39" s="137"/>
      <c r="E39" s="137"/>
      <c r="F39" s="137"/>
      <c r="G39" s="137"/>
      <c r="H39" s="137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"/>
      <c r="C40" s="22"/>
      <c r="D40" s="137"/>
      <c r="E40" s="137"/>
      <c r="F40" s="137"/>
      <c r="G40" s="137"/>
      <c r="H40" s="137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"/>
      <c r="C41" s="22"/>
      <c r="D41" s="137"/>
      <c r="E41" s="137"/>
      <c r="F41" s="137"/>
      <c r="G41" s="137"/>
      <c r="H41" s="137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"/>
      <c r="C42" s="22"/>
      <c r="D42" s="137"/>
      <c r="E42" s="137"/>
      <c r="F42" s="137">
        <v>745</v>
      </c>
      <c r="G42" s="137">
        <v>488</v>
      </c>
      <c r="H42" s="137">
        <v>18</v>
      </c>
      <c r="I42" s="11">
        <v>174</v>
      </c>
      <c r="J42" s="11">
        <v>377</v>
      </c>
      <c r="K42" s="11">
        <v>48</v>
      </c>
      <c r="L42" s="7">
        <f t="shared" ref="L42:L44" si="21">RATE(5,,-F42,K42)</f>
        <v>-0.42214750479996782</v>
      </c>
      <c r="M42" s="1"/>
      <c r="N42" s="1" t="str">
        <f t="shared" ref="N42:N47" si="22">A42</f>
        <v>Current Maturities LTD</v>
      </c>
      <c r="O42" s="7" t="e">
        <f t="shared" ref="O42:X48" si="23">B42/B$38</f>
        <v>#DIV/0!</v>
      </c>
      <c r="P42" s="7" t="e">
        <f t="shared" si="23"/>
        <v>#DIV/0!</v>
      </c>
      <c r="Q42" s="7" t="e">
        <f t="shared" si="23"/>
        <v>#DIV/0!</v>
      </c>
      <c r="R42" s="7" t="e">
        <f t="shared" si="23"/>
        <v>#DIV/0!</v>
      </c>
      <c r="S42" s="7">
        <f t="shared" si="23"/>
        <v>2.1413583972866548E-2</v>
      </c>
      <c r="T42" s="7">
        <f t="shared" si="23"/>
        <v>1.3457985163122915E-2</v>
      </c>
      <c r="U42" s="7">
        <f t="shared" si="23"/>
        <v>4.7920770991959961E-4</v>
      </c>
      <c r="V42" s="7">
        <f t="shared" si="23"/>
        <v>3.9000336209794912E-3</v>
      </c>
      <c r="W42" s="7">
        <f t="shared" si="23"/>
        <v>9.0966122961104144E-3</v>
      </c>
      <c r="X42" s="7">
        <f t="shared" si="23"/>
        <v>1.0542499450911487E-3</v>
      </c>
      <c r="Y42" s="7">
        <f t="shared" ref="Y42:Y48" si="24">SUM(F42:K42)/SUM(F$38:K$38)</f>
        <v>7.7018188781988565E-3</v>
      </c>
      <c r="Z42" s="189"/>
    </row>
    <row r="43" spans="1:26">
      <c r="A43" s="1" t="s">
        <v>39</v>
      </c>
      <c r="B43" s="1"/>
      <c r="C43" s="22"/>
      <c r="D43" s="137"/>
      <c r="E43" s="137"/>
      <c r="F43" s="137"/>
      <c r="G43" s="137"/>
      <c r="H43" s="137">
        <v>500</v>
      </c>
      <c r="I43" s="11">
        <v>2143</v>
      </c>
      <c r="J43" s="11">
        <v>82</v>
      </c>
      <c r="K43" s="11">
        <v>115</v>
      </c>
      <c r="L43" s="7"/>
      <c r="M43" s="1"/>
      <c r="N43" s="1" t="str">
        <f t="shared" si="22"/>
        <v>Notes Payable and Commercial Paper</v>
      </c>
      <c r="O43" s="7" t="e">
        <f t="shared" si="23"/>
        <v>#DIV/0!</v>
      </c>
      <c r="P43" s="7" t="e">
        <f t="shared" si="23"/>
        <v>#DIV/0!</v>
      </c>
      <c r="Q43" s="7" t="e">
        <f t="shared" si="23"/>
        <v>#DIV/0!</v>
      </c>
      <c r="R43" s="7" t="e">
        <f t="shared" si="23"/>
        <v>#DIV/0!</v>
      </c>
      <c r="S43" s="7">
        <f t="shared" si="23"/>
        <v>0</v>
      </c>
      <c r="T43" s="7">
        <f t="shared" si="23"/>
        <v>0</v>
      </c>
      <c r="U43" s="7">
        <f t="shared" si="23"/>
        <v>1.3311325275544433E-2</v>
      </c>
      <c r="V43" s="7">
        <f t="shared" si="23"/>
        <v>4.8033172699764655E-2</v>
      </c>
      <c r="W43" s="7">
        <f t="shared" si="23"/>
        <v>1.9785734967667215E-3</v>
      </c>
      <c r="X43" s="7">
        <f t="shared" si="23"/>
        <v>2.5258071601142102E-3</v>
      </c>
      <c r="Y43" s="7">
        <f t="shared" si="24"/>
        <v>1.1823332764370137E-2</v>
      </c>
      <c r="Z43" s="189"/>
    </row>
    <row r="44" spans="1:26">
      <c r="A44" s="1" t="s">
        <v>40</v>
      </c>
      <c r="B44" s="1"/>
      <c r="C44" s="22"/>
      <c r="D44" s="137"/>
      <c r="E44" s="137"/>
      <c r="F44" s="137">
        <v>961</v>
      </c>
      <c r="G44" s="137">
        <v>926</v>
      </c>
      <c r="H44" s="137">
        <v>979</v>
      </c>
      <c r="I44" s="11">
        <v>1031</v>
      </c>
      <c r="J44" s="11">
        <v>1347</v>
      </c>
      <c r="K44" s="11">
        <v>1362</v>
      </c>
      <c r="L44" s="7">
        <f t="shared" si="21"/>
        <v>7.2236887677512782E-2</v>
      </c>
      <c r="M44" s="1"/>
      <c r="N44" s="1" t="str">
        <f t="shared" si="22"/>
        <v>Accounts Payable</v>
      </c>
      <c r="O44" s="7" t="e">
        <f t="shared" si="23"/>
        <v>#DIV/0!</v>
      </c>
      <c r="P44" s="7" t="e">
        <f t="shared" si="23"/>
        <v>#DIV/0!</v>
      </c>
      <c r="Q44" s="7" t="e">
        <f t="shared" si="23"/>
        <v>#DIV/0!</v>
      </c>
      <c r="R44" s="7" t="e">
        <f t="shared" si="23"/>
        <v>#DIV/0!</v>
      </c>
      <c r="S44" s="7">
        <f t="shared" si="23"/>
        <v>2.7622086171711073E-2</v>
      </c>
      <c r="T44" s="7">
        <f t="shared" si="23"/>
        <v>2.5537078403794711E-2</v>
      </c>
      <c r="U44" s="7">
        <f t="shared" si="23"/>
        <v>2.6063574889516002E-2</v>
      </c>
      <c r="V44" s="7">
        <f t="shared" si="23"/>
        <v>2.3108819903619859E-2</v>
      </c>
      <c r="W44" s="7">
        <f t="shared" si="23"/>
        <v>3.2501689026155779E-2</v>
      </c>
      <c r="X44" s="7">
        <f t="shared" si="23"/>
        <v>2.9914342191961343E-2</v>
      </c>
      <c r="Y44" s="7">
        <f t="shared" si="24"/>
        <v>2.7501738113179269E-2</v>
      </c>
      <c r="Z44" s="189"/>
    </row>
    <row r="45" spans="1:26">
      <c r="A45" s="1" t="s">
        <v>41</v>
      </c>
      <c r="B45" s="1"/>
      <c r="C45" s="22"/>
      <c r="D45" s="137"/>
      <c r="E45" s="137"/>
      <c r="F45" s="137"/>
      <c r="G45" s="137"/>
      <c r="H45" s="137"/>
      <c r="I45" s="11"/>
      <c r="J45" s="11"/>
      <c r="K45" s="11"/>
      <c r="L45" s="7"/>
      <c r="M45" s="1"/>
      <c r="N45" s="1" t="str">
        <f t="shared" si="22"/>
        <v>Payable to Affiliates</v>
      </c>
      <c r="O45" s="7" t="e">
        <f t="shared" si="23"/>
        <v>#DIV/0!</v>
      </c>
      <c r="P45" s="7" t="e">
        <f t="shared" si="23"/>
        <v>#DIV/0!</v>
      </c>
      <c r="Q45" s="7" t="e">
        <f t="shared" si="23"/>
        <v>#DIV/0!</v>
      </c>
      <c r="R45" s="7" t="e">
        <f t="shared" si="23"/>
        <v>#DIV/0!</v>
      </c>
      <c r="S45" s="7">
        <f t="shared" si="23"/>
        <v>0</v>
      </c>
      <c r="T45" s="7">
        <f t="shared" si="23"/>
        <v>0</v>
      </c>
      <c r="U45" s="7">
        <f t="shared" si="23"/>
        <v>0</v>
      </c>
      <c r="V45" s="7">
        <f t="shared" si="23"/>
        <v>0</v>
      </c>
      <c r="W45" s="7">
        <f t="shared" si="23"/>
        <v>0</v>
      </c>
      <c r="X45" s="7">
        <f t="shared" si="23"/>
        <v>0</v>
      </c>
      <c r="Y45" s="7">
        <f t="shared" si="24"/>
        <v>0</v>
      </c>
      <c r="Z45" s="189"/>
    </row>
    <row r="46" spans="1:26">
      <c r="A46" s="1" t="s">
        <v>42</v>
      </c>
      <c r="B46" s="1"/>
      <c r="C46" s="22"/>
      <c r="D46" s="137"/>
      <c r="E46" s="137"/>
      <c r="F46" s="137">
        <f>4959-2387</f>
        <v>2572</v>
      </c>
      <c r="G46" s="137">
        <f>4303-2414</f>
        <v>1889</v>
      </c>
      <c r="H46" s="137">
        <f>4280-2516</f>
        <v>1764</v>
      </c>
      <c r="I46" s="11">
        <f>6697-4459</f>
        <v>2238</v>
      </c>
      <c r="J46" s="11">
        <v>1097</v>
      </c>
      <c r="K46" s="11">
        <v>1429</v>
      </c>
      <c r="L46" s="7">
        <f t="shared" ref="L46:L48" si="25">RATE(5,,-F46,K46)</f>
        <v>-0.11089663708890282</v>
      </c>
      <c r="M46" s="1"/>
      <c r="N46" s="1" t="str">
        <f t="shared" si="22"/>
        <v>Other Payables and Accrued Expenses</v>
      </c>
      <c r="O46" s="7" t="e">
        <f t="shared" si="23"/>
        <v>#DIV/0!</v>
      </c>
      <c r="P46" s="7" t="e">
        <f t="shared" si="23"/>
        <v>#DIV/0!</v>
      </c>
      <c r="Q46" s="7" t="e">
        <f t="shared" si="23"/>
        <v>#DIV/0!</v>
      </c>
      <c r="R46" s="7" t="e">
        <f t="shared" si="23"/>
        <v>#DIV/0!</v>
      </c>
      <c r="S46" s="7">
        <f t="shared" si="23"/>
        <v>7.392716507142652E-2</v>
      </c>
      <c r="T46" s="7">
        <f t="shared" si="23"/>
        <v>5.209453683020325E-2</v>
      </c>
      <c r="U46" s="7">
        <f t="shared" si="23"/>
        <v>4.6962355572120758E-2</v>
      </c>
      <c r="V46" s="7">
        <f t="shared" si="23"/>
        <v>5.0162501400874145E-2</v>
      </c>
      <c r="W46" s="7">
        <f t="shared" si="23"/>
        <v>2.6469452755525529E-2</v>
      </c>
      <c r="X46" s="7">
        <f t="shared" si="23"/>
        <v>3.1385899406984406E-2</v>
      </c>
      <c r="Y46" s="7">
        <f t="shared" si="24"/>
        <v>4.574880413650121E-2</v>
      </c>
      <c r="Z46" s="189"/>
    </row>
    <row r="47" spans="1:26">
      <c r="A47" s="1" t="s">
        <v>43</v>
      </c>
      <c r="B47" s="1"/>
      <c r="C47" s="22"/>
      <c r="D47" s="137"/>
      <c r="E47" s="137"/>
      <c r="F47" s="137">
        <v>681</v>
      </c>
      <c r="G47" s="137">
        <v>1000</v>
      </c>
      <c r="H47" s="137">
        <v>1019</v>
      </c>
      <c r="I47" s="11">
        <v>1111</v>
      </c>
      <c r="J47" s="11">
        <v>884</v>
      </c>
      <c r="K47" s="11">
        <v>998</v>
      </c>
      <c r="L47" s="7">
        <f t="shared" si="25"/>
        <v>7.9435472724146444E-2</v>
      </c>
      <c r="M47" s="1"/>
      <c r="N47" s="1" t="str">
        <f t="shared" si="22"/>
        <v xml:space="preserve">Other </v>
      </c>
      <c r="O47" s="7" t="e">
        <f t="shared" si="23"/>
        <v>#DIV/0!</v>
      </c>
      <c r="P47" s="7" t="e">
        <f t="shared" si="23"/>
        <v>#DIV/0!</v>
      </c>
      <c r="Q47" s="7" t="e">
        <f t="shared" si="23"/>
        <v>#DIV/0!</v>
      </c>
      <c r="R47" s="7" t="e">
        <f t="shared" si="23"/>
        <v>#DIV/0!</v>
      </c>
      <c r="S47" s="7">
        <f t="shared" si="23"/>
        <v>1.9574027765801499E-2</v>
      </c>
      <c r="T47" s="7">
        <f t="shared" si="23"/>
        <v>2.7577838449022365E-2</v>
      </c>
      <c r="U47" s="7">
        <f t="shared" si="23"/>
        <v>2.7128480911559553E-2</v>
      </c>
      <c r="V47" s="7">
        <f t="shared" si="23"/>
        <v>2.4901938809817326E-2</v>
      </c>
      <c r="W47" s="7">
        <f t="shared" si="23"/>
        <v>2.1329987452948559E-2</v>
      </c>
      <c r="X47" s="7">
        <f t="shared" si="23"/>
        <v>2.1919613441686799E-2</v>
      </c>
      <c r="Y47" s="7">
        <f t="shared" si="24"/>
        <v>2.3700786418154644E-2</v>
      </c>
      <c r="Z47" s="189"/>
    </row>
    <row r="48" spans="1:26">
      <c r="A48" s="1" t="s">
        <v>44</v>
      </c>
      <c r="B48" s="1">
        <f t="shared" ref="B48:K48" si="26">SUM(B41:B47)</f>
        <v>0</v>
      </c>
      <c r="C48" s="22">
        <f t="shared" ref="C48:H48" si="27">SUM(C41:C47)</f>
        <v>0</v>
      </c>
      <c r="D48" s="137">
        <f t="shared" si="27"/>
        <v>0</v>
      </c>
      <c r="E48" s="137">
        <f t="shared" si="27"/>
        <v>0</v>
      </c>
      <c r="F48" s="137">
        <f t="shared" si="27"/>
        <v>4959</v>
      </c>
      <c r="G48" s="137">
        <f t="shared" si="27"/>
        <v>4303</v>
      </c>
      <c r="H48" s="137">
        <f t="shared" si="27"/>
        <v>4280</v>
      </c>
      <c r="I48" s="11">
        <f t="shared" si="26"/>
        <v>6697</v>
      </c>
      <c r="J48" s="11">
        <f t="shared" si="26"/>
        <v>3787</v>
      </c>
      <c r="K48" s="11">
        <f t="shared" si="26"/>
        <v>3952</v>
      </c>
      <c r="L48" s="7">
        <f t="shared" si="25"/>
        <v>-4.4381463085226648E-2</v>
      </c>
      <c r="M48" s="1"/>
      <c r="N48" s="1" t="s">
        <v>44</v>
      </c>
      <c r="O48" s="7" t="e">
        <f t="shared" si="23"/>
        <v>#DIV/0!</v>
      </c>
      <c r="P48" s="7" t="e">
        <f t="shared" si="23"/>
        <v>#DIV/0!</v>
      </c>
      <c r="Q48" s="7" t="e">
        <f t="shared" si="23"/>
        <v>#DIV/0!</v>
      </c>
      <c r="R48" s="7" t="e">
        <f t="shared" si="23"/>
        <v>#DIV/0!</v>
      </c>
      <c r="S48" s="7">
        <f t="shared" si="23"/>
        <v>0.14253686298180565</v>
      </c>
      <c r="T48" s="7">
        <f t="shared" si="23"/>
        <v>0.11866743884614324</v>
      </c>
      <c r="U48" s="7">
        <f t="shared" si="23"/>
        <v>0.11394494435866034</v>
      </c>
      <c r="V48" s="7">
        <f t="shared" si="23"/>
        <v>0.15010646643505549</v>
      </c>
      <c r="W48" s="7">
        <f t="shared" si="23"/>
        <v>9.1376315027506996E-2</v>
      </c>
      <c r="X48" s="7">
        <f t="shared" si="23"/>
        <v>8.6799912145837904E-2</v>
      </c>
      <c r="Y48" s="7">
        <f t="shared" si="24"/>
        <v>0.11647648031040411</v>
      </c>
      <c r="Z48" s="189"/>
    </row>
    <row r="49" spans="1:26">
      <c r="A49" s="1"/>
      <c r="B49" s="1"/>
      <c r="C49" s="22"/>
      <c r="D49" s="137"/>
      <c r="E49" s="137"/>
      <c r="F49" s="137"/>
      <c r="G49" s="137"/>
      <c r="H49" s="137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"/>
      <c r="C50" s="22"/>
      <c r="D50" s="137"/>
      <c r="E50" s="137"/>
      <c r="F50" s="137">
        <v>8833</v>
      </c>
      <c r="G50" s="137">
        <v>9101</v>
      </c>
      <c r="H50" s="137">
        <v>9016</v>
      </c>
      <c r="I50" s="11">
        <v>10950</v>
      </c>
      <c r="J50" s="11">
        <v>10437</v>
      </c>
      <c r="K50" s="11">
        <v>12371</v>
      </c>
      <c r="L50" s="7">
        <f t="shared" ref="L50:L53" si="28">RATE(5,,-F50,K50)</f>
        <v>6.9693397718150155E-2</v>
      </c>
      <c r="M50" s="1"/>
      <c r="N50" s="1" t="str">
        <f>A50</f>
        <v>Long-Term Debt</v>
      </c>
      <c r="O50" s="7" t="e">
        <f t="shared" ref="O50:X53" si="29">B50/B$38</f>
        <v>#DIV/0!</v>
      </c>
      <c r="P50" s="7" t="e">
        <f t="shared" si="29"/>
        <v>#DIV/0!</v>
      </c>
      <c r="Q50" s="7" t="e">
        <f t="shared" si="29"/>
        <v>#DIV/0!</v>
      </c>
      <c r="R50" s="7" t="e">
        <f t="shared" si="29"/>
        <v>#DIV/0!</v>
      </c>
      <c r="S50" s="7">
        <f t="shared" si="29"/>
        <v>0.25388749964071167</v>
      </c>
      <c r="T50" s="7">
        <f t="shared" si="29"/>
        <v>0.25098590772455254</v>
      </c>
      <c r="U50" s="7">
        <f t="shared" si="29"/>
        <v>0.24002981736861723</v>
      </c>
      <c r="V50" s="7">
        <f t="shared" si="29"/>
        <v>0.24543315028577833</v>
      </c>
      <c r="W50" s="7">
        <f t="shared" si="29"/>
        <v>0.25183379982627158</v>
      </c>
      <c r="X50" s="7">
        <f t="shared" si="29"/>
        <v>0.27171095980672083</v>
      </c>
      <c r="Y50" s="7">
        <f t="shared" ref="Y50:Y53" si="30">SUM(F50:K50)/SUM(F$38:K$38)</f>
        <v>0.2527362272744304</v>
      </c>
      <c r="Z50" s="189"/>
    </row>
    <row r="51" spans="1:26">
      <c r="A51" s="1" t="s">
        <v>46</v>
      </c>
      <c r="B51" s="1"/>
      <c r="C51" s="22"/>
      <c r="D51" s="137"/>
      <c r="E51" s="137"/>
      <c r="F51" s="137">
        <v>5256</v>
      </c>
      <c r="G51" s="137">
        <v>5297</v>
      </c>
      <c r="H51" s="137">
        <v>5196</v>
      </c>
      <c r="I51" s="11">
        <v>5717</v>
      </c>
      <c r="J51" s="11">
        <v>4334</v>
      </c>
      <c r="K51" s="11">
        <v>5625</v>
      </c>
      <c r="L51" s="7">
        <f t="shared" si="28"/>
        <v>1.3662625545083953E-2</v>
      </c>
      <c r="M51" s="1"/>
      <c r="N51" s="1" t="str">
        <f>A51</f>
        <v>Deferred Income Taxes</v>
      </c>
      <c r="O51" s="7" t="e">
        <f t="shared" si="29"/>
        <v>#DIV/0!</v>
      </c>
      <c r="P51" s="7" t="e">
        <f t="shared" si="29"/>
        <v>#DIV/0!</v>
      </c>
      <c r="Q51" s="7" t="e">
        <f t="shared" si="29"/>
        <v>#DIV/0!</v>
      </c>
      <c r="R51" s="7" t="e">
        <f t="shared" si="29"/>
        <v>#DIV/0!</v>
      </c>
      <c r="S51" s="7">
        <f t="shared" si="29"/>
        <v>0.15107355350521687</v>
      </c>
      <c r="T51" s="7">
        <f t="shared" si="29"/>
        <v>0.14607981026447148</v>
      </c>
      <c r="U51" s="7">
        <f t="shared" si="29"/>
        <v>0.13833129226345775</v>
      </c>
      <c r="V51" s="7">
        <f t="shared" si="29"/>
        <v>0.1281407598341365</v>
      </c>
      <c r="W51" s="7">
        <f t="shared" si="29"/>
        <v>0.10457484798764598</v>
      </c>
      <c r="X51" s="7">
        <f t="shared" si="29"/>
        <v>0.12354491544036898</v>
      </c>
      <c r="Y51" s="7">
        <f t="shared" si="30"/>
        <v>0.13082684229589139</v>
      </c>
      <c r="Z51" s="189"/>
    </row>
    <row r="52" spans="1:26">
      <c r="A52" s="1" t="s">
        <v>47</v>
      </c>
      <c r="B52" s="1"/>
      <c r="C52" s="22"/>
      <c r="D52" s="137"/>
      <c r="E52" s="137"/>
      <c r="F52" s="137">
        <f>27156-19048</f>
        <v>8108</v>
      </c>
      <c r="G52" s="137">
        <f>27366-18701</f>
        <v>8665</v>
      </c>
      <c r="H52" s="137">
        <f>27908-18492</f>
        <v>9416</v>
      </c>
      <c r="I52" s="11">
        <f>33906-23364</f>
        <v>10542</v>
      </c>
      <c r="J52" s="11">
        <v>11880</v>
      </c>
      <c r="K52" s="11">
        <v>12088</v>
      </c>
      <c r="L52" s="7">
        <f t="shared" si="28"/>
        <v>8.3148848280164361E-2</v>
      </c>
      <c r="M52" s="1"/>
      <c r="N52" s="1" t="str">
        <f>A52</f>
        <v>Other Deferred Credits</v>
      </c>
      <c r="O52" s="7" t="e">
        <f t="shared" si="29"/>
        <v>#DIV/0!</v>
      </c>
      <c r="P52" s="7" t="e">
        <f t="shared" si="29"/>
        <v>#DIV/0!</v>
      </c>
      <c r="Q52" s="7" t="e">
        <f t="shared" si="29"/>
        <v>#DIV/0!</v>
      </c>
      <c r="R52" s="7" t="e">
        <f t="shared" si="29"/>
        <v>#DIV/0!</v>
      </c>
      <c r="S52" s="7">
        <f t="shared" si="29"/>
        <v>0.23304877698255297</v>
      </c>
      <c r="T52" s="7">
        <f t="shared" si="29"/>
        <v>0.2389619701607788</v>
      </c>
      <c r="U52" s="7">
        <f t="shared" si="29"/>
        <v>0.25067887758905277</v>
      </c>
      <c r="V52" s="7">
        <f t="shared" si="29"/>
        <v>0.23628824386417124</v>
      </c>
      <c r="W52" s="7">
        <f t="shared" si="29"/>
        <v>0.28665186758034938</v>
      </c>
      <c r="X52" s="7">
        <f t="shared" si="29"/>
        <v>0.26549527783878762</v>
      </c>
      <c r="Y52" s="7">
        <f t="shared" si="30"/>
        <v>0.25269875896637428</v>
      </c>
      <c r="Z52" s="189"/>
    </row>
    <row r="53" spans="1:26">
      <c r="A53" s="1" t="s">
        <v>48</v>
      </c>
      <c r="B53" s="1">
        <f t="shared" ref="B53:K53" si="31">SUM(B50:B52)</f>
        <v>0</v>
      </c>
      <c r="C53" s="22">
        <f t="shared" si="31"/>
        <v>0</v>
      </c>
      <c r="D53" s="137">
        <f t="shared" si="31"/>
        <v>0</v>
      </c>
      <c r="E53" s="137">
        <f t="shared" si="31"/>
        <v>0</v>
      </c>
      <c r="F53" s="137">
        <f t="shared" si="31"/>
        <v>22197</v>
      </c>
      <c r="G53" s="137">
        <f t="shared" si="31"/>
        <v>23063</v>
      </c>
      <c r="H53" s="137">
        <f t="shared" si="31"/>
        <v>23628</v>
      </c>
      <c r="I53" s="11">
        <f t="shared" si="31"/>
        <v>27209</v>
      </c>
      <c r="J53" s="11">
        <f t="shared" si="31"/>
        <v>26651</v>
      </c>
      <c r="K53" s="11">
        <f t="shared" si="31"/>
        <v>30084</v>
      </c>
      <c r="L53" s="7">
        <f t="shared" si="28"/>
        <v>6.2694075967747204E-2</v>
      </c>
      <c r="M53" s="1"/>
      <c r="N53" s="1" t="str">
        <f>A53</f>
        <v>Total LTD &amp; Deferrals</v>
      </c>
      <c r="O53" s="7" t="e">
        <f t="shared" si="29"/>
        <v>#DIV/0!</v>
      </c>
      <c r="P53" s="7" t="e">
        <f t="shared" si="29"/>
        <v>#DIV/0!</v>
      </c>
      <c r="Q53" s="7" t="e">
        <f t="shared" si="29"/>
        <v>#DIV/0!</v>
      </c>
      <c r="R53" s="7" t="e">
        <f t="shared" si="29"/>
        <v>#DIV/0!</v>
      </c>
      <c r="S53" s="7">
        <f t="shared" si="29"/>
        <v>0.63800983012848156</v>
      </c>
      <c r="T53" s="7">
        <f t="shared" si="29"/>
        <v>0.63602768814980282</v>
      </c>
      <c r="U53" s="7">
        <f t="shared" si="29"/>
        <v>0.62903998722112775</v>
      </c>
      <c r="V53" s="7">
        <f t="shared" si="29"/>
        <v>0.60986215398408605</v>
      </c>
      <c r="W53" s="7">
        <f t="shared" si="29"/>
        <v>0.64306051539426701</v>
      </c>
      <c r="X53" s="7">
        <f t="shared" si="29"/>
        <v>0.6607511530858774</v>
      </c>
      <c r="Y53" s="7">
        <f t="shared" si="30"/>
        <v>0.63626182853669599</v>
      </c>
      <c r="Z53" s="189"/>
    </row>
    <row r="54" spans="1:26">
      <c r="A54" s="1"/>
      <c r="B54" s="1"/>
      <c r="C54" s="22"/>
      <c r="D54" s="137"/>
      <c r="E54" s="137"/>
      <c r="F54" s="137"/>
      <c r="G54" s="137"/>
      <c r="H54" s="137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">
        <f t="shared" ref="B55:K55" si="32">B53+B48</f>
        <v>0</v>
      </c>
      <c r="C55" s="22">
        <f t="shared" si="32"/>
        <v>0</v>
      </c>
      <c r="D55" s="137">
        <f t="shared" si="32"/>
        <v>0</v>
      </c>
      <c r="E55" s="137">
        <f t="shared" si="32"/>
        <v>0</v>
      </c>
      <c r="F55" s="137">
        <f t="shared" si="32"/>
        <v>27156</v>
      </c>
      <c r="G55" s="137">
        <f t="shared" si="32"/>
        <v>27366</v>
      </c>
      <c r="H55" s="137">
        <f t="shared" si="32"/>
        <v>27908</v>
      </c>
      <c r="I55" s="11">
        <f t="shared" si="32"/>
        <v>33906</v>
      </c>
      <c r="J55" s="11">
        <f t="shared" si="32"/>
        <v>30438</v>
      </c>
      <c r="K55" s="11">
        <f t="shared" si="32"/>
        <v>34036</v>
      </c>
      <c r="L55" s="7">
        <f>RATE(5,,-F55,K55)</f>
        <v>4.619958398414608E-2</v>
      </c>
      <c r="M55" s="1"/>
      <c r="N55" s="1" t="s">
        <v>49</v>
      </c>
      <c r="O55" s="7" t="e">
        <f t="shared" ref="O55:X55" si="33">B55/B$38</f>
        <v>#DIV/0!</v>
      </c>
      <c r="P55" s="7" t="e">
        <f t="shared" si="33"/>
        <v>#DIV/0!</v>
      </c>
      <c r="Q55" s="7" t="e">
        <f t="shared" si="33"/>
        <v>#DIV/0!</v>
      </c>
      <c r="R55" s="7" t="e">
        <f t="shared" si="33"/>
        <v>#DIV/0!</v>
      </c>
      <c r="S55" s="7">
        <f t="shared" si="33"/>
        <v>0.78054669311028713</v>
      </c>
      <c r="T55" s="7">
        <f t="shared" si="33"/>
        <v>0.7546951269959461</v>
      </c>
      <c r="U55" s="7">
        <f t="shared" si="33"/>
        <v>0.74298493157978807</v>
      </c>
      <c r="V55" s="7">
        <f t="shared" si="33"/>
        <v>0.75996862041914159</v>
      </c>
      <c r="W55" s="7">
        <f t="shared" si="33"/>
        <v>0.73443683042177399</v>
      </c>
      <c r="X55" s="7">
        <f t="shared" si="33"/>
        <v>0.74755106523171533</v>
      </c>
      <c r="Y55" s="7">
        <f>SUM(F55:K55)/SUM(F$38:K$38)</f>
        <v>0.75273830884710013</v>
      </c>
      <c r="Z55" s="189"/>
    </row>
    <row r="56" spans="1:26">
      <c r="A56" s="1"/>
      <c r="B56" s="1"/>
      <c r="C56" s="22"/>
      <c r="D56" s="22"/>
      <c r="E56" s="22"/>
      <c r="F56" s="22"/>
      <c r="G56" s="22"/>
      <c r="H56" s="22"/>
      <c r="I56" s="1"/>
      <c r="J56" s="1"/>
      <c r="K56" s="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"/>
      <c r="C57" s="22"/>
      <c r="D57" s="22"/>
      <c r="E57" s="22"/>
      <c r="F57" s="22"/>
      <c r="G57" s="22"/>
      <c r="H57" s="22"/>
      <c r="I57" s="1"/>
      <c r="J57" s="1"/>
      <c r="K57" s="1"/>
      <c r="L57" s="7"/>
      <c r="M57" s="1"/>
      <c r="N57" s="1" t="s">
        <v>50</v>
      </c>
      <c r="O57" s="7" t="e">
        <f t="shared" ref="O57:X57" si="34">B57/B$38</f>
        <v>#DIV/0!</v>
      </c>
      <c r="P57" s="7" t="e">
        <f t="shared" si="34"/>
        <v>#DIV/0!</v>
      </c>
      <c r="Q57" s="7" t="e">
        <f t="shared" si="34"/>
        <v>#DIV/0!</v>
      </c>
      <c r="R57" s="7" t="e">
        <f t="shared" si="34"/>
        <v>#DIV/0!</v>
      </c>
      <c r="S57" s="7">
        <f t="shared" si="34"/>
        <v>0</v>
      </c>
      <c r="T57" s="7">
        <f t="shared" si="34"/>
        <v>0</v>
      </c>
      <c r="U57" s="7">
        <f t="shared" si="34"/>
        <v>0</v>
      </c>
      <c r="V57" s="7">
        <f t="shared" si="34"/>
        <v>0</v>
      </c>
      <c r="W57" s="7">
        <f t="shared" si="34"/>
        <v>0</v>
      </c>
      <c r="X57" s="7">
        <f t="shared" si="34"/>
        <v>0</v>
      </c>
      <c r="Y57" s="7">
        <f>SUM(F57:K57)/SUM(F$38:K$38)</f>
        <v>0</v>
      </c>
      <c r="Z57" s="189"/>
    </row>
    <row r="58" spans="1:26">
      <c r="A58" s="1"/>
      <c r="B58" s="1"/>
      <c r="C58" s="22"/>
      <c r="D58" s="22"/>
      <c r="E58" s="22"/>
      <c r="F58" s="22"/>
      <c r="G58" s="22"/>
      <c r="H58" s="22"/>
      <c r="I58" s="1"/>
      <c r="J58" s="1"/>
      <c r="K58" s="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"/>
      <c r="C59" s="22"/>
      <c r="D59" s="22"/>
      <c r="E59" s="22"/>
      <c r="F59" s="22"/>
      <c r="G59" s="22"/>
      <c r="H59" s="22"/>
      <c r="I59" s="1"/>
      <c r="J59" s="1"/>
      <c r="K59" s="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"/>
      <c r="C60" s="22"/>
      <c r="D60" s="137"/>
      <c r="E60" s="137"/>
      <c r="F60" s="137">
        <v>2043</v>
      </c>
      <c r="G60" s="137">
        <v>2080</v>
      </c>
      <c r="H60" s="137">
        <v>2225</v>
      </c>
      <c r="I60" s="11">
        <v>2272</v>
      </c>
      <c r="J60" s="11">
        <v>2304</v>
      </c>
      <c r="K60" s="11">
        <v>2331</v>
      </c>
      <c r="L60" s="7">
        <f t="shared" ref="L60:L63" si="35">RATE(5,,-F60,K60)</f>
        <v>2.6726523620719346E-2</v>
      </c>
      <c r="M60" s="1"/>
      <c r="N60" s="1" t="str">
        <f>A60</f>
        <v>Common Stock</v>
      </c>
      <c r="O60" s="7" t="e">
        <f t="shared" ref="O60:X63" si="36">B60/B$38</f>
        <v>#DIV/0!</v>
      </c>
      <c r="P60" s="7" t="e">
        <f t="shared" si="36"/>
        <v>#DIV/0!</v>
      </c>
      <c r="Q60" s="7" t="e">
        <f t="shared" si="36"/>
        <v>#DIV/0!</v>
      </c>
      <c r="R60" s="7" t="e">
        <f t="shared" si="36"/>
        <v>#DIV/0!</v>
      </c>
      <c r="S60" s="7">
        <f t="shared" si="36"/>
        <v>5.8722083297404498E-2</v>
      </c>
      <c r="T60" s="7">
        <f t="shared" si="36"/>
        <v>5.7361903973966517E-2</v>
      </c>
      <c r="U60" s="7">
        <f t="shared" si="36"/>
        <v>5.9235397476172728E-2</v>
      </c>
      <c r="V60" s="7">
        <f t="shared" si="36"/>
        <v>5.0924576936008069E-2</v>
      </c>
      <c r="W60" s="7">
        <f t="shared" si="36"/>
        <v>5.5593089470128365E-2</v>
      </c>
      <c r="X60" s="7">
        <f t="shared" si="36"/>
        <v>5.1197012958488906E-2</v>
      </c>
      <c r="Y60" s="7">
        <f t="shared" ref="Y60:Y63" si="37">SUM(F60:K60)/SUM(F$38:K$38)</f>
        <v>5.5182491475959917E-2</v>
      </c>
      <c r="Z60" s="189"/>
    </row>
    <row r="61" spans="1:26">
      <c r="A61" s="1" t="s">
        <v>53</v>
      </c>
      <c r="B61" s="1"/>
      <c r="C61" s="22"/>
      <c r="D61" s="137"/>
      <c r="E61" s="137"/>
      <c r="F61" s="137">
        <v>5592</v>
      </c>
      <c r="G61" s="137">
        <v>6815</v>
      </c>
      <c r="H61" s="137">
        <v>7429</v>
      </c>
      <c r="I61" s="11">
        <v>8437</v>
      </c>
      <c r="J61" s="11">
        <v>8702</v>
      </c>
      <c r="K61" s="11">
        <v>9163</v>
      </c>
      <c r="L61" s="7">
        <f t="shared" si="35"/>
        <v>0.10380944215205008</v>
      </c>
      <c r="M61" s="1"/>
      <c r="N61" s="1" t="str">
        <f>A61</f>
        <v>Retained Earnings</v>
      </c>
      <c r="O61" s="7" t="e">
        <f t="shared" si="36"/>
        <v>#DIV/0!</v>
      </c>
      <c r="P61" s="7" t="e">
        <f t="shared" si="36"/>
        <v>#DIV/0!</v>
      </c>
      <c r="Q61" s="7" t="e">
        <f t="shared" si="36"/>
        <v>#DIV/0!</v>
      </c>
      <c r="R61" s="7" t="e">
        <f t="shared" si="36"/>
        <v>#DIV/0!</v>
      </c>
      <c r="S61" s="7">
        <f t="shared" si="36"/>
        <v>0.16073122359230835</v>
      </c>
      <c r="T61" s="7">
        <f t="shared" si="36"/>
        <v>0.18794296903008742</v>
      </c>
      <c r="U61" s="7">
        <f t="shared" si="36"/>
        <v>0.1977796709440392</v>
      </c>
      <c r="V61" s="7">
        <f t="shared" si="36"/>
        <v>0.18910680264485039</v>
      </c>
      <c r="W61" s="7">
        <f t="shared" si="36"/>
        <v>0.20997008010809767</v>
      </c>
      <c r="X61" s="7">
        <f t="shared" si="36"/>
        <v>0.20125192180979573</v>
      </c>
      <c r="Y61" s="7">
        <f t="shared" si="37"/>
        <v>0.19207919967693993</v>
      </c>
      <c r="Z61" s="189"/>
    </row>
    <row r="62" spans="1:26">
      <c r="A62" s="1" t="s">
        <v>54</v>
      </c>
      <c r="B62" s="1">
        <f t="shared" ref="B62:K62" si="38">SUM(B59:B61)</f>
        <v>0</v>
      </c>
      <c r="C62" s="22">
        <f t="shared" si="38"/>
        <v>0</v>
      </c>
      <c r="D62" s="137">
        <f t="shared" si="38"/>
        <v>0</v>
      </c>
      <c r="E62" s="137">
        <f t="shared" si="38"/>
        <v>0</v>
      </c>
      <c r="F62" s="137">
        <f t="shared" si="38"/>
        <v>7635</v>
      </c>
      <c r="G62" s="137">
        <f t="shared" si="38"/>
        <v>8895</v>
      </c>
      <c r="H62" s="137">
        <f t="shared" si="38"/>
        <v>9654</v>
      </c>
      <c r="I62" s="11">
        <f t="shared" si="38"/>
        <v>10709</v>
      </c>
      <c r="J62" s="11">
        <f t="shared" si="38"/>
        <v>11006</v>
      </c>
      <c r="K62" s="11">
        <f t="shared" si="38"/>
        <v>11494</v>
      </c>
      <c r="L62" s="7">
        <f t="shared" si="35"/>
        <v>8.5256586495144046E-2</v>
      </c>
      <c r="M62" s="1"/>
      <c r="N62" s="1" t="str">
        <f>A62</f>
        <v>Total Common Equity</v>
      </c>
      <c r="O62" s="7" t="e">
        <f t="shared" si="36"/>
        <v>#DIV/0!</v>
      </c>
      <c r="P62" s="7" t="e">
        <f t="shared" si="36"/>
        <v>#DIV/0!</v>
      </c>
      <c r="Q62" s="7" t="e">
        <f t="shared" si="36"/>
        <v>#DIV/0!</v>
      </c>
      <c r="R62" s="7" t="e">
        <f t="shared" si="36"/>
        <v>#DIV/0!</v>
      </c>
      <c r="S62" s="7">
        <f t="shared" si="36"/>
        <v>0.21945330688971285</v>
      </c>
      <c r="T62" s="7">
        <f t="shared" si="36"/>
        <v>0.24530487300405393</v>
      </c>
      <c r="U62" s="7">
        <f t="shared" si="36"/>
        <v>0.25701506842021193</v>
      </c>
      <c r="V62" s="7">
        <f t="shared" si="36"/>
        <v>0.24003137958085846</v>
      </c>
      <c r="W62" s="7">
        <f t="shared" si="36"/>
        <v>0.26556316957822607</v>
      </c>
      <c r="X62" s="7">
        <f t="shared" si="36"/>
        <v>0.25244893476828467</v>
      </c>
      <c r="Y62" s="7">
        <f t="shared" si="37"/>
        <v>0.24726169115289984</v>
      </c>
      <c r="Z62" s="189"/>
    </row>
    <row r="63" spans="1:26">
      <c r="A63" s="1" t="s">
        <v>55</v>
      </c>
      <c r="B63" s="1">
        <f t="shared" ref="B63:K63" si="39">B62+B55+B57</f>
        <v>0</v>
      </c>
      <c r="C63" s="22">
        <f t="shared" si="39"/>
        <v>0</v>
      </c>
      <c r="D63" s="137">
        <f t="shared" si="39"/>
        <v>0</v>
      </c>
      <c r="E63" s="137">
        <f t="shared" si="39"/>
        <v>0</v>
      </c>
      <c r="F63" s="137">
        <f t="shared" si="39"/>
        <v>34791</v>
      </c>
      <c r="G63" s="137">
        <f t="shared" si="39"/>
        <v>36261</v>
      </c>
      <c r="H63" s="137">
        <f t="shared" si="39"/>
        <v>37562</v>
      </c>
      <c r="I63" s="11">
        <f t="shared" si="39"/>
        <v>44615</v>
      </c>
      <c r="J63" s="11">
        <f t="shared" si="39"/>
        <v>41444</v>
      </c>
      <c r="K63" s="11">
        <f t="shared" si="39"/>
        <v>45530</v>
      </c>
      <c r="L63" s="7">
        <f t="shared" si="35"/>
        <v>5.5276210266568919E-2</v>
      </c>
      <c r="M63" s="1"/>
      <c r="N63" s="1" t="s">
        <v>55</v>
      </c>
      <c r="O63" s="7" t="e">
        <f t="shared" si="36"/>
        <v>#DIV/0!</v>
      </c>
      <c r="P63" s="7" t="e">
        <f t="shared" si="36"/>
        <v>#DIV/0!</v>
      </c>
      <c r="Q63" s="7" t="e">
        <f t="shared" si="36"/>
        <v>#DIV/0!</v>
      </c>
      <c r="R63" s="7" t="e">
        <f t="shared" si="36"/>
        <v>#DIV/0!</v>
      </c>
      <c r="S63" s="7">
        <f t="shared" si="36"/>
        <v>1</v>
      </c>
      <c r="T63" s="7">
        <f t="shared" si="36"/>
        <v>1</v>
      </c>
      <c r="U63" s="7">
        <f t="shared" si="36"/>
        <v>1</v>
      </c>
      <c r="V63" s="7">
        <f t="shared" si="36"/>
        <v>1</v>
      </c>
      <c r="W63" s="7">
        <f t="shared" si="36"/>
        <v>1</v>
      </c>
      <c r="X63" s="7">
        <f t="shared" si="36"/>
        <v>1</v>
      </c>
      <c r="Y63" s="7">
        <f t="shared" si="37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 t="s">
        <v>57</v>
      </c>
    </row>
    <row r="68" spans="1:25">
      <c r="A68" s="2" t="str">
        <f>A3</f>
        <v>Edison International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Edison International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2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40">B73+1</f>
        <v>2002</v>
      </c>
      <c r="D73" s="5">
        <f t="shared" si="40"/>
        <v>2003</v>
      </c>
      <c r="E73" s="5">
        <f t="shared" si="40"/>
        <v>2004</v>
      </c>
      <c r="F73" s="5">
        <f t="shared" si="40"/>
        <v>2005</v>
      </c>
      <c r="G73" s="5">
        <f t="shared" si="40"/>
        <v>2006</v>
      </c>
      <c r="H73" s="5">
        <f t="shared" si="40"/>
        <v>2007</v>
      </c>
      <c r="I73" s="5">
        <f>H73+1</f>
        <v>2008</v>
      </c>
      <c r="J73" s="162">
        <f>+J8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41">B73</f>
        <v>2001</v>
      </c>
      <c r="P73" s="5">
        <f t="shared" si="41"/>
        <v>2002</v>
      </c>
      <c r="Q73" s="5">
        <f t="shared" si="41"/>
        <v>2003</v>
      </c>
      <c r="R73" s="5">
        <f t="shared" si="41"/>
        <v>2004</v>
      </c>
      <c r="S73" s="5">
        <f t="shared" si="41"/>
        <v>2005</v>
      </c>
      <c r="T73" s="5">
        <f t="shared" si="41"/>
        <v>2006</v>
      </c>
      <c r="U73" s="5">
        <f t="shared" si="41"/>
        <v>2007</v>
      </c>
      <c r="V73" s="5">
        <f t="shared" si="41"/>
        <v>2008</v>
      </c>
      <c r="W73" s="162">
        <f>J8</f>
        <v>2009</v>
      </c>
      <c r="X73" s="162">
        <f>K8</f>
        <v>2010</v>
      </c>
      <c r="Y73" s="10" t="s">
        <v>10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tr">
        <f t="shared" ref="N74:N77" si="42">A74</f>
        <v>Operating Sales and Revenues: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/>
      <c r="C75" s="22"/>
      <c r="D75" s="137"/>
      <c r="E75" s="137"/>
      <c r="F75" s="137">
        <v>9500</v>
      </c>
      <c r="G75" s="137">
        <v>10312</v>
      </c>
      <c r="H75" s="137">
        <v>10476</v>
      </c>
      <c r="I75" s="136">
        <v>11246</v>
      </c>
      <c r="J75" s="136">
        <v>9962</v>
      </c>
      <c r="K75" s="136">
        <v>9980</v>
      </c>
      <c r="L75" s="7">
        <f>RATE(5,,-F75,K75)</f>
        <v>9.9070110460385049E-3</v>
      </c>
      <c r="M75" s="1"/>
      <c r="N75" s="1" t="str">
        <f t="shared" si="42"/>
        <v>Electric</v>
      </c>
      <c r="O75" s="1"/>
      <c r="P75" s="1"/>
      <c r="Q75" s="1"/>
      <c r="R75" s="1"/>
      <c r="S75" s="7">
        <f t="shared" ref="S75:S77" si="43">F75/F$78</f>
        <v>0.80155248059399253</v>
      </c>
      <c r="T75" s="7">
        <f t="shared" ref="T75:T77" si="44">G75/G$78</f>
        <v>0.81698621454603071</v>
      </c>
      <c r="U75" s="7">
        <f t="shared" ref="U75:U77" si="45">H75/H$78</f>
        <v>0.79890185312285522</v>
      </c>
      <c r="V75" s="7">
        <f t="shared" ref="V75:V77" si="46">I75/I$78</f>
        <v>0.79691043083900226</v>
      </c>
      <c r="W75" s="7">
        <f t="shared" ref="W75:W77" si="47">J75/J$78</f>
        <v>0.80592185098293023</v>
      </c>
      <c r="X75" s="7">
        <f t="shared" ref="X75:X77" si="48">K75/K$78</f>
        <v>0.80425497622693209</v>
      </c>
      <c r="Y75" s="7">
        <f t="shared" ref="Y75:Y77" si="49">SUM(F75:K75)/SUM(F$78:K$78)</f>
        <v>0.8039336201598033</v>
      </c>
    </row>
    <row r="76" spans="1:25">
      <c r="A76" s="1" t="s">
        <v>64</v>
      </c>
      <c r="B76" s="1"/>
      <c r="C76" s="22"/>
      <c r="D76" s="137"/>
      <c r="E76" s="137"/>
      <c r="F76" s="137"/>
      <c r="G76" s="137"/>
      <c r="H76" s="137"/>
      <c r="I76" s="136"/>
      <c r="J76" s="136"/>
      <c r="K76" s="136"/>
      <c r="L76" s="7"/>
      <c r="M76" s="1"/>
      <c r="N76" s="1" t="str">
        <f t="shared" si="42"/>
        <v>Other Regulated Operations</v>
      </c>
      <c r="O76" s="7" t="e">
        <f t="shared" ref="O76:R76" si="50">B77/B$78</f>
        <v>#DIV/0!</v>
      </c>
      <c r="P76" s="7" t="e">
        <f t="shared" si="50"/>
        <v>#DIV/0!</v>
      </c>
      <c r="Q76" s="7" t="e">
        <f t="shared" si="50"/>
        <v>#DIV/0!</v>
      </c>
      <c r="R76" s="7" t="e">
        <f t="shared" si="50"/>
        <v>#DIV/0!</v>
      </c>
      <c r="S76" s="7">
        <f t="shared" si="43"/>
        <v>0</v>
      </c>
      <c r="T76" s="7">
        <f t="shared" si="44"/>
        <v>0</v>
      </c>
      <c r="U76" s="7">
        <f t="shared" si="45"/>
        <v>0</v>
      </c>
      <c r="V76" s="7">
        <f t="shared" si="46"/>
        <v>0</v>
      </c>
      <c r="W76" s="7">
        <f t="shared" si="47"/>
        <v>0</v>
      </c>
      <c r="X76" s="7">
        <f t="shared" si="48"/>
        <v>0</v>
      </c>
      <c r="Y76" s="7">
        <f t="shared" si="49"/>
        <v>0</v>
      </c>
    </row>
    <row r="77" spans="1:25">
      <c r="A77" s="1" t="s">
        <v>65</v>
      </c>
      <c r="B77" s="1"/>
      <c r="C77" s="22"/>
      <c r="D77" s="137"/>
      <c r="E77" s="137"/>
      <c r="F77" s="137">
        <f>2248+104</f>
        <v>2352</v>
      </c>
      <c r="G77" s="137">
        <f>2228+82</f>
        <v>2310</v>
      </c>
      <c r="H77" s="137">
        <f>2575+62</f>
        <v>2637</v>
      </c>
      <c r="I77" s="136">
        <v>2866</v>
      </c>
      <c r="J77" s="136">
        <v>2399</v>
      </c>
      <c r="K77" s="136">
        <v>2429</v>
      </c>
      <c r="L77" s="7">
        <f>RATE(5,,-F77,K77)</f>
        <v>6.4635229863712999E-3</v>
      </c>
      <c r="M77" s="1"/>
      <c r="N77" s="1" t="str">
        <f t="shared" si="42"/>
        <v>Non-Regulated Operations</v>
      </c>
      <c r="S77" s="7">
        <f t="shared" si="43"/>
        <v>0.19844751940600741</v>
      </c>
      <c r="T77" s="7">
        <f t="shared" si="44"/>
        <v>0.18301378545396926</v>
      </c>
      <c r="U77" s="7">
        <f t="shared" si="45"/>
        <v>0.20109814687714481</v>
      </c>
      <c r="V77" s="7">
        <f t="shared" si="46"/>
        <v>0.20308956916099774</v>
      </c>
      <c r="W77" s="7">
        <f t="shared" si="47"/>
        <v>0.19407814901706982</v>
      </c>
      <c r="X77" s="7">
        <f t="shared" si="48"/>
        <v>0.19574502377306793</v>
      </c>
      <c r="Y77" s="7">
        <f t="shared" si="49"/>
        <v>0.19606637984019668</v>
      </c>
    </row>
    <row r="78" spans="1:25">
      <c r="A78" s="1" t="s">
        <v>67</v>
      </c>
      <c r="B78" s="1">
        <f t="shared" ref="B78:K78" si="51">SUM(B74:B77)</f>
        <v>0</v>
      </c>
      <c r="C78" s="22">
        <f t="shared" si="51"/>
        <v>0</v>
      </c>
      <c r="D78" s="137">
        <f t="shared" si="51"/>
        <v>0</v>
      </c>
      <c r="E78" s="137">
        <f t="shared" si="51"/>
        <v>0</v>
      </c>
      <c r="F78" s="137">
        <f t="shared" si="51"/>
        <v>11852</v>
      </c>
      <c r="G78" s="137">
        <f t="shared" si="51"/>
        <v>12622</v>
      </c>
      <c r="H78" s="137">
        <f t="shared" si="51"/>
        <v>13113</v>
      </c>
      <c r="I78" s="11">
        <f t="shared" si="51"/>
        <v>14112</v>
      </c>
      <c r="J78" s="11">
        <f t="shared" si="51"/>
        <v>12361</v>
      </c>
      <c r="K78" s="11">
        <f t="shared" si="51"/>
        <v>12409</v>
      </c>
      <c r="L78" s="7">
        <f>RATE(5,,-F78,K78)</f>
        <v>9.2273894859025742E-3</v>
      </c>
      <c r="M78" s="1"/>
      <c r="N78" s="1" t="str">
        <f>A78</f>
        <v>Total Revenues</v>
      </c>
      <c r="O78" s="7" t="e">
        <f t="shared" ref="O78:X78" si="52">B78/B$78</f>
        <v>#DIV/0!</v>
      </c>
      <c r="P78" s="7" t="e">
        <f t="shared" si="52"/>
        <v>#DIV/0!</v>
      </c>
      <c r="Q78" s="7" t="e">
        <f t="shared" si="52"/>
        <v>#DIV/0!</v>
      </c>
      <c r="R78" s="7" t="e">
        <f t="shared" si="52"/>
        <v>#DIV/0!</v>
      </c>
      <c r="S78" s="7">
        <f t="shared" si="52"/>
        <v>1</v>
      </c>
      <c r="T78" s="7">
        <f t="shared" si="52"/>
        <v>1</v>
      </c>
      <c r="U78" s="7">
        <f t="shared" si="52"/>
        <v>1</v>
      </c>
      <c r="V78" s="7">
        <f t="shared" si="52"/>
        <v>1</v>
      </c>
      <c r="W78" s="7">
        <f t="shared" si="52"/>
        <v>1</v>
      </c>
      <c r="X78" s="7">
        <f t="shared" si="52"/>
        <v>1</v>
      </c>
      <c r="Y78" s="7">
        <f>SUM(F78:K78)/SUM(F$78:K$78)</f>
        <v>1</v>
      </c>
    </row>
    <row r="79" spans="1:25">
      <c r="A79" s="1"/>
      <c r="B79" s="1"/>
      <c r="C79" s="22"/>
      <c r="D79" s="137"/>
      <c r="E79" s="137"/>
      <c r="F79" s="137"/>
      <c r="G79" s="137"/>
      <c r="H79" s="137"/>
      <c r="I79" s="11"/>
      <c r="J79" s="11"/>
      <c r="K79" s="1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22"/>
      <c r="D80" s="137"/>
      <c r="E80" s="137"/>
      <c r="F80" s="137"/>
      <c r="G80" s="137"/>
      <c r="H80" s="137"/>
      <c r="I80" s="11"/>
      <c r="J80" s="11"/>
      <c r="K80" s="1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"/>
      <c r="C81" s="22"/>
      <c r="D81" s="137"/>
      <c r="E81" s="137"/>
      <c r="F81" s="137">
        <v>2622</v>
      </c>
      <c r="G81" s="137">
        <v>3409</v>
      </c>
      <c r="H81" s="137">
        <v>3124</v>
      </c>
      <c r="I81" s="11">
        <v>3845</v>
      </c>
      <c r="J81" s="11">
        <v>2751</v>
      </c>
      <c r="K81" s="11">
        <v>2930</v>
      </c>
      <c r="L81" s="7">
        <f>RATE(5,,-F81,K81)</f>
        <v>2.2461553298729568E-2</v>
      </c>
      <c r="M81" s="1"/>
      <c r="N81" s="1" t="str">
        <f>A81</f>
        <v xml:space="preserve">   Purchased power</v>
      </c>
      <c r="O81" s="7" t="e">
        <f t="shared" ref="O81:X87" si="53">B81/B$78</f>
        <v>#DIV/0!</v>
      </c>
      <c r="P81" s="7" t="e">
        <f t="shared" si="53"/>
        <v>#DIV/0!</v>
      </c>
      <c r="Q81" s="7" t="e">
        <f t="shared" si="53"/>
        <v>#DIV/0!</v>
      </c>
      <c r="R81" s="7" t="e">
        <f t="shared" si="53"/>
        <v>#DIV/0!</v>
      </c>
      <c r="S81" s="7">
        <f t="shared" si="53"/>
        <v>0.22122848464394196</v>
      </c>
      <c r="T81" s="7">
        <f t="shared" si="53"/>
        <v>0.27008398035176678</v>
      </c>
      <c r="U81" s="7">
        <f t="shared" si="53"/>
        <v>0.23823686418058415</v>
      </c>
      <c r="V81" s="7">
        <f t="shared" si="53"/>
        <v>0.27246315192743764</v>
      </c>
      <c r="W81" s="7">
        <f t="shared" si="53"/>
        <v>0.22255480948143355</v>
      </c>
      <c r="X81" s="7">
        <f t="shared" si="53"/>
        <v>0.23611894592634378</v>
      </c>
      <c r="Y81" s="7">
        <f t="shared" ref="Y81:Y101" si="54">SUM(F81:K81)/SUM(F$78:K$78)</f>
        <v>0.24429507382076396</v>
      </c>
    </row>
    <row r="82" spans="1:25">
      <c r="A82" s="1" t="s">
        <v>70</v>
      </c>
      <c r="B82" s="1"/>
      <c r="C82" s="22"/>
      <c r="D82" s="137"/>
      <c r="E82" s="137"/>
      <c r="F82" s="137">
        <v>1810</v>
      </c>
      <c r="G82" s="137">
        <v>1757</v>
      </c>
      <c r="H82" s="137">
        <v>1875</v>
      </c>
      <c r="I82" s="11">
        <v>2147</v>
      </c>
      <c r="J82" s="11">
        <v>1517</v>
      </c>
      <c r="K82" s="11">
        <v>1172</v>
      </c>
      <c r="L82" s="7">
        <f>RATE(5,,-F82,K82)</f>
        <v>-8.3252345771289205E-2</v>
      </c>
      <c r="M82" s="1"/>
      <c r="N82" s="1" t="str">
        <f t="shared" ref="N82:N87" si="55">A82</f>
        <v xml:space="preserve">   Fuel</v>
      </c>
      <c r="O82" s="7" t="e">
        <f t="shared" si="53"/>
        <v>#DIV/0!</v>
      </c>
      <c r="P82" s="7" t="e">
        <f t="shared" si="53"/>
        <v>#DIV/0!</v>
      </c>
      <c r="Q82" s="7" t="e">
        <f t="shared" si="53"/>
        <v>#DIV/0!</v>
      </c>
      <c r="R82" s="7" t="e">
        <f t="shared" si="53"/>
        <v>#DIV/0!</v>
      </c>
      <c r="S82" s="7">
        <f t="shared" si="53"/>
        <v>0.15271684103948702</v>
      </c>
      <c r="T82" s="7">
        <f t="shared" si="53"/>
        <v>0.1392013943907463</v>
      </c>
      <c r="U82" s="7">
        <f t="shared" si="53"/>
        <v>0.14298787462823154</v>
      </c>
      <c r="V82" s="7">
        <f t="shared" si="53"/>
        <v>0.15214002267573695</v>
      </c>
      <c r="W82" s="7">
        <f t="shared" si="53"/>
        <v>0.12272469864897662</v>
      </c>
      <c r="X82" s="7">
        <f t="shared" si="53"/>
        <v>9.4447578370537508E-2</v>
      </c>
      <c r="Y82" s="7">
        <f t="shared" si="54"/>
        <v>0.13440740692306685</v>
      </c>
    </row>
    <row r="83" spans="1:25">
      <c r="A83" s="1" t="s">
        <v>71</v>
      </c>
      <c r="B83" s="1"/>
      <c r="C83" s="22"/>
      <c r="D83" s="137"/>
      <c r="E83" s="137"/>
      <c r="F83" s="137">
        <f>9539-5483</f>
        <v>4056</v>
      </c>
      <c r="G83" s="137">
        <f>10132-6345</f>
        <v>3787</v>
      </c>
      <c r="H83" s="137">
        <f>10604-6266</f>
        <v>4338</v>
      </c>
      <c r="I83" s="11">
        <v>4288</v>
      </c>
      <c r="J83" s="11">
        <v>4387</v>
      </c>
      <c r="K83" s="11">
        <v>4612</v>
      </c>
      <c r="L83" s="7">
        <f t="shared" ref="L83:L87" si="56">RATE(5,,-F83,K83)</f>
        <v>2.6025773933646763E-2</v>
      </c>
      <c r="M83" s="1"/>
      <c r="N83" s="1" t="str">
        <f t="shared" si="55"/>
        <v xml:space="preserve">   Other operations and maintenance</v>
      </c>
      <c r="O83" s="7" t="e">
        <f t="shared" si="53"/>
        <v>#DIV/0!</v>
      </c>
      <c r="P83" s="7" t="e">
        <f t="shared" si="53"/>
        <v>#DIV/0!</v>
      </c>
      <c r="Q83" s="7" t="e">
        <f t="shared" si="53"/>
        <v>#DIV/0!</v>
      </c>
      <c r="R83" s="7" t="e">
        <f t="shared" si="53"/>
        <v>#DIV/0!</v>
      </c>
      <c r="S83" s="7">
        <f t="shared" si="53"/>
        <v>0.342220722240972</v>
      </c>
      <c r="T83" s="7">
        <f t="shared" si="53"/>
        <v>0.30003169069877988</v>
      </c>
      <c r="U83" s="7">
        <f t="shared" si="53"/>
        <v>0.33081674673987643</v>
      </c>
      <c r="V83" s="7">
        <f t="shared" si="53"/>
        <v>0.30385487528344673</v>
      </c>
      <c r="W83" s="7">
        <f t="shared" si="53"/>
        <v>0.35490656095785128</v>
      </c>
      <c r="X83" s="7">
        <f t="shared" si="53"/>
        <v>0.37166572648883872</v>
      </c>
      <c r="Y83" s="7">
        <f t="shared" si="54"/>
        <v>0.33304999411526237</v>
      </c>
    </row>
    <row r="84" spans="1:25">
      <c r="A84" s="1" t="s">
        <v>72</v>
      </c>
      <c r="B84" s="1"/>
      <c r="C84" s="22"/>
      <c r="D84" s="137"/>
      <c r="E84" s="137"/>
      <c r="F84" s="137">
        <v>1061</v>
      </c>
      <c r="G84" s="137">
        <v>1181</v>
      </c>
      <c r="H84" s="137">
        <v>1264</v>
      </c>
      <c r="I84" s="11">
        <v>1313</v>
      </c>
      <c r="J84" s="11">
        <v>1418</v>
      </c>
      <c r="K84" s="11">
        <v>1522</v>
      </c>
      <c r="L84" s="7">
        <f t="shared" si="56"/>
        <v>7.4830183174867754E-2</v>
      </c>
      <c r="M84" s="1"/>
      <c r="N84" s="1" t="str">
        <f t="shared" si="55"/>
        <v xml:space="preserve">   Depreciation and amortization</v>
      </c>
      <c r="O84" s="7" t="e">
        <f t="shared" si="53"/>
        <v>#DIV/0!</v>
      </c>
      <c r="P84" s="7" t="e">
        <f t="shared" si="53"/>
        <v>#DIV/0!</v>
      </c>
      <c r="Q84" s="7" t="e">
        <f t="shared" si="53"/>
        <v>#DIV/0!</v>
      </c>
      <c r="R84" s="7" t="e">
        <f t="shared" si="53"/>
        <v>#DIV/0!</v>
      </c>
      <c r="S84" s="7">
        <f t="shared" si="53"/>
        <v>8.9520755990550122E-2</v>
      </c>
      <c r="T84" s="7">
        <f t="shared" si="53"/>
        <v>9.3566788147678659E-2</v>
      </c>
      <c r="U84" s="7">
        <f t="shared" si="53"/>
        <v>9.6392892549378481E-2</v>
      </c>
      <c r="V84" s="7">
        <f t="shared" si="53"/>
        <v>9.3041383219954643E-2</v>
      </c>
      <c r="W84" s="7">
        <f t="shared" si="53"/>
        <v>0.11471563789337433</v>
      </c>
      <c r="X84" s="7">
        <f t="shared" si="53"/>
        <v>0.12265291320815537</v>
      </c>
      <c r="Y84" s="7">
        <f t="shared" si="54"/>
        <v>0.10146595352365011</v>
      </c>
    </row>
    <row r="85" spans="1:25">
      <c r="A85" s="1" t="s">
        <v>73</v>
      </c>
      <c r="B85" s="1"/>
      <c r="C85" s="22"/>
      <c r="D85" s="137"/>
      <c r="E85" s="137"/>
      <c r="F85" s="137"/>
      <c r="G85" s="137"/>
      <c r="H85" s="137"/>
      <c r="I85" s="11"/>
      <c r="J85" s="11"/>
      <c r="K85" s="11"/>
      <c r="L85" s="7"/>
      <c r="M85" s="1"/>
      <c r="N85" s="1" t="str">
        <f t="shared" si="55"/>
        <v xml:space="preserve">   Taxes, other than income taxes</v>
      </c>
      <c r="O85" s="7" t="e">
        <f t="shared" si="53"/>
        <v>#DIV/0!</v>
      </c>
      <c r="P85" s="7" t="e">
        <f t="shared" si="53"/>
        <v>#DIV/0!</v>
      </c>
      <c r="Q85" s="7" t="e">
        <f t="shared" si="53"/>
        <v>#DIV/0!</v>
      </c>
      <c r="R85" s="7" t="e">
        <f t="shared" si="53"/>
        <v>#DIV/0!</v>
      </c>
      <c r="S85" s="7">
        <f t="shared" si="53"/>
        <v>0</v>
      </c>
      <c r="T85" s="7">
        <f t="shared" si="53"/>
        <v>0</v>
      </c>
      <c r="U85" s="7">
        <f t="shared" si="53"/>
        <v>0</v>
      </c>
      <c r="V85" s="7">
        <f t="shared" si="53"/>
        <v>0</v>
      </c>
      <c r="W85" s="7">
        <f t="shared" si="53"/>
        <v>0</v>
      </c>
      <c r="X85" s="7">
        <f t="shared" si="53"/>
        <v>0</v>
      </c>
      <c r="Y85" s="7">
        <f t="shared" si="54"/>
        <v>0</v>
      </c>
    </row>
    <row r="86" spans="1:25">
      <c r="A86" s="1" t="s">
        <v>74</v>
      </c>
      <c r="B86" s="1"/>
      <c r="C86" s="22"/>
      <c r="D86" s="168"/>
      <c r="E86" s="168"/>
      <c r="F86" s="168">
        <v>-10</v>
      </c>
      <c r="G86" s="168">
        <v>-2</v>
      </c>
      <c r="H86" s="168">
        <v>3</v>
      </c>
      <c r="I86" s="169">
        <v>-44</v>
      </c>
      <c r="J86" s="169">
        <v>890</v>
      </c>
      <c r="K86" s="169">
        <v>47</v>
      </c>
      <c r="L86" s="7"/>
      <c r="M86" s="1"/>
      <c r="N86" s="1" t="str">
        <f t="shared" si="55"/>
        <v xml:space="preserve">   Other Operating Expenses</v>
      </c>
      <c r="O86" s="7" t="e">
        <f t="shared" si="53"/>
        <v>#DIV/0!</v>
      </c>
      <c r="P86" s="7" t="e">
        <f t="shared" si="53"/>
        <v>#DIV/0!</v>
      </c>
      <c r="Q86" s="7" t="e">
        <f t="shared" si="53"/>
        <v>#DIV/0!</v>
      </c>
      <c r="R86" s="7" t="e">
        <f t="shared" si="53"/>
        <v>#DIV/0!</v>
      </c>
      <c r="S86" s="7">
        <f t="shared" si="53"/>
        <v>-8.4373945325683433E-4</v>
      </c>
      <c r="T86" s="7">
        <f t="shared" si="53"/>
        <v>-1.5845349389954048E-4</v>
      </c>
      <c r="U86" s="7">
        <f t="shared" si="53"/>
        <v>2.2878059940517045E-4</v>
      </c>
      <c r="V86" s="7">
        <f t="shared" si="53"/>
        <v>-3.1179138321995466E-3</v>
      </c>
      <c r="W86" s="7">
        <f t="shared" si="53"/>
        <v>7.2000647196828735E-2</v>
      </c>
      <c r="X86" s="7">
        <f t="shared" si="53"/>
        <v>3.7875735353372552E-3</v>
      </c>
      <c r="Y86" s="7">
        <f t="shared" si="54"/>
        <v>1.1560240097294328E-2</v>
      </c>
    </row>
    <row r="87" spans="1:25">
      <c r="A87" s="1" t="s">
        <v>75</v>
      </c>
      <c r="B87" s="1">
        <f t="shared" ref="B87" si="57">SUM(B80:B86)</f>
        <v>0</v>
      </c>
      <c r="C87" s="22">
        <f t="shared" ref="C87:H87" si="58">SUM(C80:C86)</f>
        <v>0</v>
      </c>
      <c r="D87" s="137">
        <f t="shared" si="58"/>
        <v>0</v>
      </c>
      <c r="E87" s="137">
        <f t="shared" si="58"/>
        <v>0</v>
      </c>
      <c r="F87" s="137">
        <f t="shared" si="58"/>
        <v>9539</v>
      </c>
      <c r="G87" s="137">
        <f t="shared" si="58"/>
        <v>10132</v>
      </c>
      <c r="H87" s="137">
        <f t="shared" si="58"/>
        <v>10604</v>
      </c>
      <c r="I87" s="11">
        <f>SUM(I81:I86)</f>
        <v>11549</v>
      </c>
      <c r="J87" s="11">
        <f>SUM(J81:J86)</f>
        <v>10963</v>
      </c>
      <c r="K87" s="11">
        <f>SUM(K81:K86)</f>
        <v>10283</v>
      </c>
      <c r="L87" s="7">
        <f t="shared" si="56"/>
        <v>1.5134054951688666E-2</v>
      </c>
      <c r="M87" s="1"/>
      <c r="N87" s="1" t="str">
        <f t="shared" si="55"/>
        <v>Total Operating Expenses</v>
      </c>
      <c r="O87" s="7" t="e">
        <f t="shared" si="53"/>
        <v>#DIV/0!</v>
      </c>
      <c r="P87" s="7" t="e">
        <f t="shared" si="53"/>
        <v>#DIV/0!</v>
      </c>
      <c r="Q87" s="7" t="e">
        <f t="shared" si="53"/>
        <v>#DIV/0!</v>
      </c>
      <c r="R87" s="7" t="e">
        <f t="shared" si="53"/>
        <v>#DIV/0!</v>
      </c>
      <c r="S87" s="7">
        <f t="shared" si="53"/>
        <v>0.80484306446169418</v>
      </c>
      <c r="T87" s="7">
        <f t="shared" si="53"/>
        <v>0.80272540009507209</v>
      </c>
      <c r="U87" s="7">
        <f t="shared" si="53"/>
        <v>0.80866315869747574</v>
      </c>
      <c r="V87" s="7">
        <f t="shared" si="53"/>
        <v>0.81838151927437641</v>
      </c>
      <c r="W87" s="7">
        <f t="shared" si="53"/>
        <v>0.88690235417846452</v>
      </c>
      <c r="X87" s="7">
        <f t="shared" si="53"/>
        <v>0.82867273752921267</v>
      </c>
      <c r="Y87" s="7">
        <f t="shared" si="54"/>
        <v>0.82477866848003767</v>
      </c>
    </row>
    <row r="88" spans="1:25">
      <c r="A88" s="1" t="s">
        <v>76</v>
      </c>
      <c r="B88" s="1"/>
      <c r="C88" s="22"/>
      <c r="D88" s="137"/>
      <c r="E88" s="137"/>
      <c r="F88" s="137"/>
      <c r="G88" s="137"/>
      <c r="H88" s="137"/>
      <c r="I88" s="11"/>
      <c r="J88" s="11"/>
      <c r="K88" s="11"/>
      <c r="L88" s="7"/>
      <c r="M88" s="1"/>
      <c r="N88" s="1" t="str">
        <f>A88</f>
        <v xml:space="preserve">  Electric Earnings from Operations</v>
      </c>
      <c r="O88" s="7" t="e">
        <f t="shared" ref="O88:R88" si="59">B90/B$78</f>
        <v>#DIV/0!</v>
      </c>
      <c r="P88" s="7" t="e">
        <f t="shared" si="59"/>
        <v>#DIV/0!</v>
      </c>
      <c r="Q88" s="7" t="e">
        <f t="shared" si="59"/>
        <v>#DIV/0!</v>
      </c>
      <c r="R88" s="7" t="e">
        <f t="shared" si="59"/>
        <v>#DIV/0!</v>
      </c>
      <c r="S88" s="7">
        <f t="shared" ref="S88:S90" si="60">F88/F$78</f>
        <v>0</v>
      </c>
      <c r="T88" s="7">
        <f t="shared" ref="T88:T90" si="61">G88/G$78</f>
        <v>0</v>
      </c>
      <c r="U88" s="7">
        <f t="shared" ref="U88:U90" si="62">H88/H$78</f>
        <v>0</v>
      </c>
      <c r="V88" s="7">
        <f t="shared" ref="V88:V90" si="63">I88/I$78</f>
        <v>0</v>
      </c>
      <c r="W88" s="7">
        <f t="shared" ref="W88:W90" si="64">J88/J$78</f>
        <v>0</v>
      </c>
      <c r="X88" s="7">
        <f t="shared" ref="X88:X90" si="65">K88/K$78</f>
        <v>0</v>
      </c>
      <c r="Y88" s="7">
        <f t="shared" si="54"/>
        <v>0</v>
      </c>
    </row>
    <row r="89" spans="1:25">
      <c r="A89" s="1" t="s">
        <v>77</v>
      </c>
      <c r="B89" s="1"/>
      <c r="C89" s="22"/>
      <c r="D89" s="168"/>
      <c r="E89" s="168"/>
      <c r="F89" s="168"/>
      <c r="G89" s="168"/>
      <c r="H89" s="168"/>
      <c r="I89" s="169"/>
      <c r="J89" s="169"/>
      <c r="K89" s="169"/>
      <c r="L89" s="164"/>
      <c r="M89" s="1"/>
      <c r="N89" s="1" t="str">
        <f t="shared" ref="N89:N90" si="66">A89</f>
        <v xml:space="preserve">  Other Regulated Operating Earnings</v>
      </c>
      <c r="O89" s="7" t="e">
        <f t="shared" ref="O89:O90" si="67">B91/B$78</f>
        <v>#DIV/0!</v>
      </c>
      <c r="P89" s="7" t="e">
        <f t="shared" ref="P89:P90" si="68">C91/C$78</f>
        <v>#DIV/0!</v>
      </c>
      <c r="Q89" s="7" t="e">
        <f t="shared" ref="Q89:Q90" si="69">D91/D$78</f>
        <v>#DIV/0!</v>
      </c>
      <c r="R89" s="7" t="e">
        <f t="shared" ref="R89:R90" si="70">E91/E$78</f>
        <v>#DIV/0!</v>
      </c>
      <c r="S89" s="7">
        <f t="shared" si="60"/>
        <v>0</v>
      </c>
      <c r="T89" s="7">
        <f t="shared" si="61"/>
        <v>0</v>
      </c>
      <c r="U89" s="7">
        <f t="shared" si="62"/>
        <v>0</v>
      </c>
      <c r="V89" s="7">
        <f t="shared" si="63"/>
        <v>0</v>
      </c>
      <c r="W89" s="7">
        <f t="shared" si="64"/>
        <v>0</v>
      </c>
      <c r="X89" s="7">
        <f t="shared" si="65"/>
        <v>0</v>
      </c>
      <c r="Y89" s="7">
        <f t="shared" ref="Y89:Y90" si="71">SUM(F89:K89)/SUM(F$78:K$78)</f>
        <v>0</v>
      </c>
    </row>
    <row r="90" spans="1:25">
      <c r="A90" s="1" t="s">
        <v>78</v>
      </c>
      <c r="B90" s="1">
        <f t="shared" ref="B90:H90" si="72">B78-B87</f>
        <v>0</v>
      </c>
      <c r="C90" s="22">
        <f t="shared" si="72"/>
        <v>0</v>
      </c>
      <c r="D90" s="137">
        <f t="shared" si="72"/>
        <v>0</v>
      </c>
      <c r="E90" s="137">
        <f t="shared" si="72"/>
        <v>0</v>
      </c>
      <c r="F90" s="137">
        <f t="shared" si="72"/>
        <v>2313</v>
      </c>
      <c r="G90" s="137">
        <f t="shared" si="72"/>
        <v>2490</v>
      </c>
      <c r="H90" s="137">
        <f t="shared" si="72"/>
        <v>2509</v>
      </c>
      <c r="I90" s="11">
        <f>I78-I87+I88</f>
        <v>2563</v>
      </c>
      <c r="J90" s="11">
        <f>J78-J87</f>
        <v>1398</v>
      </c>
      <c r="K90" s="11">
        <f>K78-K87</f>
        <v>2126</v>
      </c>
      <c r="L90" s="7">
        <f>RATE(5,,-F90,K90)</f>
        <v>-1.6719275902994428E-2</v>
      </c>
      <c r="M90" s="1"/>
      <c r="N90" s="1" t="str">
        <f t="shared" si="66"/>
        <v>Total Earnings From Operations</v>
      </c>
      <c r="O90" s="7" t="e">
        <f t="shared" si="67"/>
        <v>#DIV/0!</v>
      </c>
      <c r="P90" s="7" t="e">
        <f t="shared" si="68"/>
        <v>#DIV/0!</v>
      </c>
      <c r="Q90" s="7" t="e">
        <f t="shared" si="69"/>
        <v>#DIV/0!</v>
      </c>
      <c r="R90" s="7" t="e">
        <f t="shared" si="70"/>
        <v>#DIV/0!</v>
      </c>
      <c r="S90" s="7">
        <f t="shared" si="60"/>
        <v>0.19515693553830576</v>
      </c>
      <c r="T90" s="7">
        <f t="shared" si="61"/>
        <v>0.19727459990492791</v>
      </c>
      <c r="U90" s="7">
        <f t="shared" si="62"/>
        <v>0.19133684130252421</v>
      </c>
      <c r="V90" s="7">
        <f t="shared" si="63"/>
        <v>0.18161848072562359</v>
      </c>
      <c r="W90" s="7">
        <f t="shared" si="64"/>
        <v>0.11309764582153548</v>
      </c>
      <c r="X90" s="7">
        <f t="shared" si="65"/>
        <v>0.17132726247078733</v>
      </c>
      <c r="Y90" s="7">
        <f t="shared" si="71"/>
        <v>0.17522133151996233</v>
      </c>
    </row>
    <row r="91" spans="1:25">
      <c r="A91" s="1"/>
      <c r="B91" s="1"/>
      <c r="C91" s="22"/>
      <c r="D91" s="137"/>
      <c r="E91" s="137"/>
      <c r="F91" s="137"/>
      <c r="G91" s="137"/>
      <c r="H91" s="137"/>
      <c r="I91" s="11"/>
      <c r="J91" s="11"/>
      <c r="K91" s="11"/>
      <c r="L91" s="7"/>
      <c r="M91" s="1"/>
      <c r="N91" s="1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>
      <c r="A92" s="1" t="s">
        <v>79</v>
      </c>
      <c r="B92" s="1"/>
      <c r="C92" s="22"/>
      <c r="D92" s="137"/>
      <c r="E92" s="137"/>
      <c r="F92" s="137">
        <v>794</v>
      </c>
      <c r="G92" s="137">
        <v>807</v>
      </c>
      <c r="H92" s="137">
        <v>752</v>
      </c>
      <c r="I92" s="11">
        <v>700</v>
      </c>
      <c r="J92" s="11">
        <v>732</v>
      </c>
      <c r="K92" s="11">
        <v>703</v>
      </c>
      <c r="L92" s="7">
        <f t="shared" ref="L92:L96" si="73">RATE(5,,-F92,K92)</f>
        <v>-2.405135705535023E-2</v>
      </c>
      <c r="M92" s="1"/>
      <c r="N92" s="1" t="str">
        <f>A92</f>
        <v xml:space="preserve">   Interest expense (net)</v>
      </c>
      <c r="O92" s="7" t="e">
        <f t="shared" ref="O92:X96" si="74">B92/B$78</f>
        <v>#DIV/0!</v>
      </c>
      <c r="P92" s="7" t="e">
        <f t="shared" si="74"/>
        <v>#DIV/0!</v>
      </c>
      <c r="Q92" s="7" t="e">
        <f t="shared" si="74"/>
        <v>#DIV/0!</v>
      </c>
      <c r="R92" s="7" t="e">
        <f t="shared" si="74"/>
        <v>#DIV/0!</v>
      </c>
      <c r="S92" s="7">
        <f t="shared" si="74"/>
        <v>6.6992912588592649E-2</v>
      </c>
      <c r="T92" s="7">
        <f t="shared" si="74"/>
        <v>6.3935984788464587E-2</v>
      </c>
      <c r="U92" s="7">
        <f t="shared" si="74"/>
        <v>5.7347670250896057E-2</v>
      </c>
      <c r="V92" s="7">
        <f t="shared" si="74"/>
        <v>4.96031746031746E-2</v>
      </c>
      <c r="W92" s="7">
        <f t="shared" si="74"/>
        <v>5.9218509829301838E-2</v>
      </c>
      <c r="X92" s="7">
        <f t="shared" si="74"/>
        <v>5.6652429688129585E-2</v>
      </c>
      <c r="Y92" s="7">
        <f t="shared" si="54"/>
        <v>5.869044972472505E-2</v>
      </c>
    </row>
    <row r="93" spans="1:25">
      <c r="A93" s="1" t="s">
        <v>80</v>
      </c>
      <c r="B93" s="1"/>
      <c r="C93" s="22"/>
      <c r="D93" s="137"/>
      <c r="E93" s="137"/>
      <c r="F93" s="137">
        <v>-112</v>
      </c>
      <c r="G93" s="137">
        <v>-169</v>
      </c>
      <c r="H93" s="137">
        <v>-154</v>
      </c>
      <c r="I93" s="11">
        <v>-62</v>
      </c>
      <c r="J93" s="11">
        <v>-32</v>
      </c>
      <c r="K93" s="11">
        <v>-31</v>
      </c>
      <c r="L93" s="7">
        <f t="shared" si="73"/>
        <v>-0.22655625027255316</v>
      </c>
      <c r="M93" s="1"/>
      <c r="N93" s="1" t="str">
        <f>A93</f>
        <v xml:space="preserve">   Interest income</v>
      </c>
      <c r="O93" s="7" t="e">
        <f t="shared" si="74"/>
        <v>#DIV/0!</v>
      </c>
      <c r="P93" s="7" t="e">
        <f t="shared" si="74"/>
        <v>#DIV/0!</v>
      </c>
      <c r="Q93" s="7" t="e">
        <f t="shared" si="74"/>
        <v>#DIV/0!</v>
      </c>
      <c r="R93" s="7" t="e">
        <f t="shared" si="74"/>
        <v>#DIV/0!</v>
      </c>
      <c r="S93" s="7">
        <f t="shared" si="74"/>
        <v>-9.4498818764765444E-3</v>
      </c>
      <c r="T93" s="7">
        <f t="shared" si="74"/>
        <v>-1.3389320234511171E-2</v>
      </c>
      <c r="U93" s="7">
        <f t="shared" si="74"/>
        <v>-1.1744070769465416E-2</v>
      </c>
      <c r="V93" s="7">
        <f t="shared" si="74"/>
        <v>-4.3934240362811794E-3</v>
      </c>
      <c r="W93" s="7">
        <f t="shared" si="74"/>
        <v>-2.5887873149421569E-3</v>
      </c>
      <c r="X93" s="7">
        <f t="shared" si="74"/>
        <v>-2.4981867999032958E-3</v>
      </c>
      <c r="Y93" s="7">
        <f t="shared" si="54"/>
        <v>-7.3232290209104345E-3</v>
      </c>
    </row>
    <row r="94" spans="1:25">
      <c r="A94" s="1" t="s">
        <v>81</v>
      </c>
      <c r="B94" s="1"/>
      <c r="C94" s="22"/>
      <c r="D94" s="137"/>
      <c r="E94" s="137"/>
      <c r="F94" s="137"/>
      <c r="G94" s="137"/>
      <c r="H94" s="137"/>
      <c r="I94" s="11"/>
      <c r="J94" s="11"/>
      <c r="K94" s="11"/>
      <c r="L94" s="7"/>
      <c r="M94" s="1"/>
      <c r="N94" s="1" t="str">
        <f>A94</f>
        <v xml:space="preserve">   Loss (Gain) on Sale of Assets</v>
      </c>
      <c r="O94" s="7" t="e">
        <f t="shared" si="74"/>
        <v>#DIV/0!</v>
      </c>
      <c r="P94" s="7" t="e">
        <f t="shared" si="74"/>
        <v>#DIV/0!</v>
      </c>
      <c r="Q94" s="7" t="e">
        <f t="shared" si="74"/>
        <v>#DIV/0!</v>
      </c>
      <c r="R94" s="7" t="e">
        <f t="shared" si="74"/>
        <v>#DIV/0!</v>
      </c>
      <c r="S94" s="7">
        <f t="shared" si="74"/>
        <v>0</v>
      </c>
      <c r="T94" s="7">
        <f t="shared" si="74"/>
        <v>0</v>
      </c>
      <c r="U94" s="7">
        <f t="shared" si="74"/>
        <v>0</v>
      </c>
      <c r="V94" s="7">
        <f t="shared" si="74"/>
        <v>0</v>
      </c>
      <c r="W94" s="7">
        <f t="shared" si="74"/>
        <v>0</v>
      </c>
      <c r="X94" s="7">
        <f t="shared" si="74"/>
        <v>0</v>
      </c>
      <c r="Y94" s="7">
        <f t="shared" si="54"/>
        <v>0</v>
      </c>
    </row>
    <row r="95" spans="1:25">
      <c r="A95" s="1" t="s">
        <v>157</v>
      </c>
      <c r="B95" s="1"/>
      <c r="C95" s="22"/>
      <c r="D95" s="168"/>
      <c r="E95" s="168"/>
      <c r="F95" s="168">
        <f>-125+24+167-30</f>
        <v>36</v>
      </c>
      <c r="G95" s="168">
        <f>-3+51+139-97</f>
        <v>90</v>
      </c>
      <c r="H95" s="168">
        <f>112+51+156+2</f>
        <v>321</v>
      </c>
      <c r="I95" s="169">
        <f>-31-113+125+51+82</f>
        <v>114</v>
      </c>
      <c r="J95" s="169">
        <f>-42-171+57+51+45</f>
        <v>-60</v>
      </c>
      <c r="K95" s="169">
        <f>-106-148+51+52-1</f>
        <v>-152</v>
      </c>
      <c r="L95" s="7"/>
      <c r="M95" s="1"/>
      <c r="N95" s="1" t="str">
        <f>A95</f>
        <v xml:space="preserve">   Other (Income) Expense</v>
      </c>
      <c r="O95" s="7" t="e">
        <f t="shared" si="74"/>
        <v>#DIV/0!</v>
      </c>
      <c r="P95" s="7" t="e">
        <f t="shared" si="74"/>
        <v>#DIV/0!</v>
      </c>
      <c r="Q95" s="7" t="e">
        <f t="shared" si="74"/>
        <v>#DIV/0!</v>
      </c>
      <c r="R95" s="7" t="e">
        <f t="shared" si="74"/>
        <v>#DIV/0!</v>
      </c>
      <c r="S95" s="7">
        <f t="shared" si="74"/>
        <v>3.0374620317246033E-3</v>
      </c>
      <c r="T95" s="7">
        <f t="shared" si="74"/>
        <v>7.1304072254793219E-3</v>
      </c>
      <c r="U95" s="7">
        <f t="shared" si="74"/>
        <v>2.4479524136353237E-2</v>
      </c>
      <c r="V95" s="7">
        <f t="shared" si="74"/>
        <v>8.0782312925170071E-3</v>
      </c>
      <c r="W95" s="7">
        <f t="shared" si="74"/>
        <v>-4.8539762155165441E-3</v>
      </c>
      <c r="X95" s="7">
        <f t="shared" si="74"/>
        <v>-1.2249173986622612E-2</v>
      </c>
      <c r="Y95" s="7">
        <f t="shared" si="54"/>
        <v>4.5639409433888244E-3</v>
      </c>
    </row>
    <row r="96" spans="1:25">
      <c r="A96" s="1" t="s">
        <v>83</v>
      </c>
      <c r="B96" s="1">
        <f t="shared" ref="B96:K96" si="75">SUM(B92:B95)</f>
        <v>0</v>
      </c>
      <c r="C96" s="22">
        <f t="shared" si="75"/>
        <v>0</v>
      </c>
      <c r="D96" s="137">
        <f t="shared" si="75"/>
        <v>0</v>
      </c>
      <c r="E96" s="137">
        <f t="shared" si="75"/>
        <v>0</v>
      </c>
      <c r="F96" s="137">
        <f t="shared" si="75"/>
        <v>718</v>
      </c>
      <c r="G96" s="137">
        <f t="shared" si="75"/>
        <v>728</v>
      </c>
      <c r="H96" s="137">
        <f t="shared" si="75"/>
        <v>919</v>
      </c>
      <c r="I96" s="11">
        <f t="shared" si="75"/>
        <v>752</v>
      </c>
      <c r="J96" s="11">
        <f t="shared" si="75"/>
        <v>640</v>
      </c>
      <c r="K96" s="11">
        <f t="shared" si="75"/>
        <v>520</v>
      </c>
      <c r="L96" s="7">
        <f t="shared" si="73"/>
        <v>-6.2490278406530396E-2</v>
      </c>
      <c r="M96" s="1"/>
      <c r="N96" s="1" t="str">
        <f>A96</f>
        <v>Total Other Income/Expense</v>
      </c>
      <c r="O96" s="7" t="e">
        <f t="shared" si="74"/>
        <v>#DIV/0!</v>
      </c>
      <c r="P96" s="7" t="e">
        <f t="shared" si="74"/>
        <v>#DIV/0!</v>
      </c>
      <c r="Q96" s="7" t="e">
        <f t="shared" si="74"/>
        <v>#DIV/0!</v>
      </c>
      <c r="R96" s="7" t="e">
        <f t="shared" si="74"/>
        <v>#DIV/0!</v>
      </c>
      <c r="S96" s="7">
        <f t="shared" si="74"/>
        <v>6.0580492743840704E-2</v>
      </c>
      <c r="T96" s="7">
        <f t="shared" si="74"/>
        <v>5.7677071779432737E-2</v>
      </c>
      <c r="U96" s="7">
        <f t="shared" si="74"/>
        <v>7.0083123617783877E-2</v>
      </c>
      <c r="V96" s="7">
        <f t="shared" si="74"/>
        <v>5.328798185941043E-2</v>
      </c>
      <c r="W96" s="7">
        <f t="shared" si="74"/>
        <v>5.1775746298843135E-2</v>
      </c>
      <c r="X96" s="7">
        <f t="shared" si="74"/>
        <v>4.1905068901603677E-2</v>
      </c>
      <c r="Y96" s="7">
        <f t="shared" si="54"/>
        <v>5.5931161647203444E-2</v>
      </c>
    </row>
    <row r="97" spans="1:25">
      <c r="A97" s="1"/>
      <c r="B97" s="1"/>
      <c r="C97" s="22"/>
      <c r="D97" s="137"/>
      <c r="E97" s="137"/>
      <c r="F97" s="137"/>
      <c r="G97" s="137"/>
      <c r="H97" s="137"/>
      <c r="I97" s="11"/>
      <c r="J97" s="11"/>
      <c r="K97" s="1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</row>
    <row r="98" spans="1:25">
      <c r="A98" s="1" t="s">
        <v>84</v>
      </c>
      <c r="B98" s="1">
        <f t="shared" ref="B98:H98" si="76">B90-B96</f>
        <v>0</v>
      </c>
      <c r="C98" s="22">
        <f t="shared" si="76"/>
        <v>0</v>
      </c>
      <c r="D98" s="137">
        <f t="shared" si="76"/>
        <v>0</v>
      </c>
      <c r="E98" s="137">
        <f t="shared" si="76"/>
        <v>0</v>
      </c>
      <c r="F98" s="137">
        <f t="shared" si="76"/>
        <v>1595</v>
      </c>
      <c r="G98" s="137">
        <f t="shared" si="76"/>
        <v>1762</v>
      </c>
      <c r="H98" s="137">
        <f t="shared" si="76"/>
        <v>1590</v>
      </c>
      <c r="I98" s="11">
        <f>I90-I96</f>
        <v>1811</v>
      </c>
      <c r="J98" s="11">
        <f>J90-J96</f>
        <v>758</v>
      </c>
      <c r="K98" s="11">
        <f>K90-K96</f>
        <v>1606</v>
      </c>
      <c r="L98" s="7">
        <f t="shared" ref="L98:L101" si="77">RATE(5,,-F98,K98)</f>
        <v>1.3755210199628751E-3</v>
      </c>
      <c r="M98" s="1"/>
      <c r="N98" s="1" t="s">
        <v>84</v>
      </c>
      <c r="O98" s="7" t="e">
        <f t="shared" ref="O98:X101" si="78">B98/B$78</f>
        <v>#DIV/0!</v>
      </c>
      <c r="P98" s="7" t="e">
        <f t="shared" si="78"/>
        <v>#DIV/0!</v>
      </c>
      <c r="Q98" s="7" t="e">
        <f t="shared" si="78"/>
        <v>#DIV/0!</v>
      </c>
      <c r="R98" s="7" t="e">
        <f t="shared" si="78"/>
        <v>#DIV/0!</v>
      </c>
      <c r="S98" s="7">
        <f t="shared" si="78"/>
        <v>0.13457644279446507</v>
      </c>
      <c r="T98" s="7">
        <f t="shared" si="78"/>
        <v>0.13959752812549517</v>
      </c>
      <c r="U98" s="7">
        <f t="shared" si="78"/>
        <v>0.12125371768474033</v>
      </c>
      <c r="V98" s="7">
        <f t="shared" si="78"/>
        <v>0.12833049886621314</v>
      </c>
      <c r="W98" s="7">
        <f t="shared" si="78"/>
        <v>6.132189952269234E-2</v>
      </c>
      <c r="X98" s="7">
        <f t="shared" si="78"/>
        <v>0.12942219356918366</v>
      </c>
      <c r="Y98" s="7">
        <f t="shared" si="54"/>
        <v>0.11929016987275889</v>
      </c>
    </row>
    <row r="99" spans="1:25">
      <c r="A99" s="1" t="s">
        <v>85</v>
      </c>
      <c r="B99" s="1"/>
      <c r="C99" s="22"/>
      <c r="D99" s="137"/>
      <c r="E99" s="137"/>
      <c r="F99" s="137"/>
      <c r="G99" s="137"/>
      <c r="H99" s="137"/>
      <c r="I99" s="11"/>
      <c r="J99" s="11">
        <v>-7</v>
      </c>
      <c r="K99" s="11">
        <v>4</v>
      </c>
      <c r="L99" s="7"/>
      <c r="M99" s="1"/>
      <c r="N99" s="1" t="str">
        <f>A99</f>
        <v>Extraordinary Items</v>
      </c>
      <c r="O99" s="7" t="e">
        <f t="shared" si="78"/>
        <v>#DIV/0!</v>
      </c>
      <c r="P99" s="7" t="e">
        <f t="shared" si="78"/>
        <v>#DIV/0!</v>
      </c>
      <c r="Q99" s="7" t="e">
        <f t="shared" si="78"/>
        <v>#DIV/0!</v>
      </c>
      <c r="R99" s="7" t="e">
        <f t="shared" si="78"/>
        <v>#DIV/0!</v>
      </c>
      <c r="S99" s="7">
        <f t="shared" si="78"/>
        <v>0</v>
      </c>
      <c r="T99" s="7">
        <f t="shared" si="78"/>
        <v>0</v>
      </c>
      <c r="U99" s="7">
        <f t="shared" si="78"/>
        <v>0</v>
      </c>
      <c r="V99" s="7">
        <f t="shared" si="78"/>
        <v>0</v>
      </c>
      <c r="W99" s="7">
        <f t="shared" si="78"/>
        <v>-5.662972251435968E-4</v>
      </c>
      <c r="X99" s="7">
        <f t="shared" si="78"/>
        <v>3.2234668385848979E-4</v>
      </c>
      <c r="Y99" s="7">
        <f t="shared" si="54"/>
        <v>-3.923158404059161E-5</v>
      </c>
    </row>
    <row r="100" spans="1:25">
      <c r="A100" s="1" t="s">
        <v>86</v>
      </c>
      <c r="B100" s="1"/>
      <c r="C100" s="22"/>
      <c r="D100" s="137"/>
      <c r="E100" s="137"/>
      <c r="F100" s="137">
        <v>457</v>
      </c>
      <c r="G100" s="137">
        <v>582</v>
      </c>
      <c r="H100" s="137">
        <v>492</v>
      </c>
      <c r="I100" s="11">
        <v>596</v>
      </c>
      <c r="J100" s="11">
        <v>-98</v>
      </c>
      <c r="K100" s="11">
        <v>354</v>
      </c>
      <c r="L100" s="7">
        <f t="shared" si="77"/>
        <v>-4.9794778942820757E-2</v>
      </c>
      <c r="M100" s="1"/>
      <c r="N100" s="1" t="str">
        <f>A100</f>
        <v>Income Taxes</v>
      </c>
      <c r="O100" s="7" t="e">
        <f t="shared" si="78"/>
        <v>#DIV/0!</v>
      </c>
      <c r="P100" s="7" t="e">
        <f t="shared" si="78"/>
        <v>#DIV/0!</v>
      </c>
      <c r="Q100" s="7" t="e">
        <f t="shared" si="78"/>
        <v>#DIV/0!</v>
      </c>
      <c r="R100" s="7" t="e">
        <f t="shared" si="78"/>
        <v>#DIV/0!</v>
      </c>
      <c r="S100" s="7">
        <f t="shared" si="78"/>
        <v>3.8558893013837324E-2</v>
      </c>
      <c r="T100" s="7">
        <f t="shared" si="78"/>
        <v>4.6109966724766284E-2</v>
      </c>
      <c r="U100" s="7">
        <f t="shared" si="78"/>
        <v>3.7520018302447951E-2</v>
      </c>
      <c r="V100" s="7">
        <f t="shared" si="78"/>
        <v>4.2233560090702948E-2</v>
      </c>
      <c r="W100" s="7">
        <f t="shared" si="78"/>
        <v>-7.9281611520103552E-3</v>
      </c>
      <c r="X100" s="7">
        <f t="shared" si="78"/>
        <v>2.8527681521476347E-2</v>
      </c>
      <c r="Y100" s="7">
        <f t="shared" si="54"/>
        <v>3.1162954922909936E-2</v>
      </c>
    </row>
    <row r="101" spans="1:25">
      <c r="A101" s="1" t="s">
        <v>87</v>
      </c>
      <c r="B101" s="1">
        <f t="shared" ref="B101" si="79">B98+B99-B100</f>
        <v>0</v>
      </c>
      <c r="C101" s="22">
        <f t="shared" ref="C101:H101" si="80">C98-C99-C100</f>
        <v>0</v>
      </c>
      <c r="D101" s="137">
        <f t="shared" si="80"/>
        <v>0</v>
      </c>
      <c r="E101" s="137">
        <f t="shared" si="80"/>
        <v>0</v>
      </c>
      <c r="F101" s="137">
        <f t="shared" si="80"/>
        <v>1138</v>
      </c>
      <c r="G101" s="137">
        <f>G98-G99-G100</f>
        <v>1180</v>
      </c>
      <c r="H101" s="137">
        <f t="shared" si="80"/>
        <v>1098</v>
      </c>
      <c r="I101" s="11">
        <f>I98+I99-I100</f>
        <v>1215</v>
      </c>
      <c r="J101" s="11">
        <f>J98+J99-J100</f>
        <v>849</v>
      </c>
      <c r="K101" s="11">
        <f>K98+K99-K100</f>
        <v>1256</v>
      </c>
      <c r="L101" s="7">
        <f t="shared" si="77"/>
        <v>1.9927908103425231E-2</v>
      </c>
      <c r="M101" s="1"/>
      <c r="N101" s="1" t="s">
        <v>87</v>
      </c>
      <c r="O101" s="7" t="e">
        <f t="shared" si="78"/>
        <v>#DIV/0!</v>
      </c>
      <c r="P101" s="7" t="e">
        <f t="shared" si="78"/>
        <v>#DIV/0!</v>
      </c>
      <c r="Q101" s="7" t="e">
        <f t="shared" si="78"/>
        <v>#DIV/0!</v>
      </c>
      <c r="R101" s="7" t="e">
        <f t="shared" si="78"/>
        <v>#DIV/0!</v>
      </c>
      <c r="S101" s="7">
        <f t="shared" si="78"/>
        <v>9.6017549780627737E-2</v>
      </c>
      <c r="T101" s="7">
        <f t="shared" si="78"/>
        <v>9.3487561400728891E-2</v>
      </c>
      <c r="U101" s="7">
        <f t="shared" si="78"/>
        <v>8.3733699382292387E-2</v>
      </c>
      <c r="V101" s="7">
        <f t="shared" si="78"/>
        <v>8.6096938775510209E-2</v>
      </c>
      <c r="W101" s="7">
        <f t="shared" si="78"/>
        <v>6.8683763449559093E-2</v>
      </c>
      <c r="X101" s="7">
        <f t="shared" si="78"/>
        <v>0.1012168587315658</v>
      </c>
      <c r="Y101" s="7">
        <f t="shared" si="54"/>
        <v>8.8087983365808364E-2</v>
      </c>
    </row>
    <row r="102" spans="1:25">
      <c r="A102" s="1"/>
      <c r="B102" s="1"/>
      <c r="C102" s="22"/>
      <c r="D102" s="137"/>
      <c r="E102" s="137"/>
      <c r="F102" s="137"/>
      <c r="G102" s="137"/>
      <c r="H102" s="137"/>
      <c r="I102" s="11"/>
      <c r="J102" s="11"/>
      <c r="K102" s="1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"/>
      <c r="C103" s="23"/>
      <c r="D103" s="137"/>
      <c r="E103" s="137"/>
      <c r="F103" s="137"/>
      <c r="G103" s="137"/>
      <c r="H103" s="137"/>
      <c r="I103" s="11"/>
      <c r="J103" s="11"/>
      <c r="K103" s="11"/>
      <c r="L103" s="7"/>
      <c r="M103" s="1"/>
      <c r="N103" s="1" t="s">
        <v>89</v>
      </c>
      <c r="O103" s="7" t="e">
        <f t="shared" ref="O103:X104" si="81">B103/B$101</f>
        <v>#DIV/0!</v>
      </c>
      <c r="P103" s="7" t="e">
        <f t="shared" si="81"/>
        <v>#DIV/0!</v>
      </c>
      <c r="Q103" s="7" t="e">
        <f t="shared" si="81"/>
        <v>#DIV/0!</v>
      </c>
      <c r="R103" s="7" t="e">
        <f t="shared" si="81"/>
        <v>#DIV/0!</v>
      </c>
      <c r="S103" s="7">
        <f t="shared" si="81"/>
        <v>0</v>
      </c>
      <c r="T103" s="7">
        <f t="shared" si="81"/>
        <v>0</v>
      </c>
      <c r="U103" s="7">
        <f t="shared" si="81"/>
        <v>0</v>
      </c>
      <c r="V103" s="7">
        <f t="shared" si="81"/>
        <v>0</v>
      </c>
      <c r="W103" s="7">
        <f t="shared" si="81"/>
        <v>0</v>
      </c>
      <c r="X103" s="7">
        <f t="shared" si="81"/>
        <v>0</v>
      </c>
      <c r="Y103" s="7">
        <f>SUM(F103:K103)/SUM(F$101:K$101)</f>
        <v>0</v>
      </c>
    </row>
    <row r="104" spans="1:25">
      <c r="A104" s="1" t="s">
        <v>90</v>
      </c>
      <c r="B104" s="1"/>
      <c r="C104" s="24"/>
      <c r="D104" s="137"/>
      <c r="E104" s="137"/>
      <c r="F104" s="137">
        <f>326+174</f>
        <v>500</v>
      </c>
      <c r="G104" s="137">
        <f>352+162</f>
        <v>514</v>
      </c>
      <c r="H104" s="137">
        <f>378+106</f>
        <v>484</v>
      </c>
      <c r="I104" s="11">
        <f>397+170</f>
        <v>567</v>
      </c>
      <c r="J104" s="11">
        <f>404+117</f>
        <v>521</v>
      </c>
      <c r="K104" s="11">
        <f>411+52</f>
        <v>463</v>
      </c>
      <c r="L104" s="7">
        <f>RATE(5,,-F104,K104)</f>
        <v>-1.5258598539551914E-2</v>
      </c>
      <c r="M104" s="1"/>
      <c r="N104" s="1" t="s">
        <v>91</v>
      </c>
      <c r="O104" s="7" t="e">
        <f t="shared" si="81"/>
        <v>#DIV/0!</v>
      </c>
      <c r="P104" s="7" t="e">
        <f t="shared" si="81"/>
        <v>#DIV/0!</v>
      </c>
      <c r="Q104" s="7" t="e">
        <f t="shared" si="81"/>
        <v>#DIV/0!</v>
      </c>
      <c r="R104" s="7" t="e">
        <f t="shared" si="81"/>
        <v>#DIV/0!</v>
      </c>
      <c r="S104" s="7">
        <f t="shared" si="81"/>
        <v>0.43936731107205623</v>
      </c>
      <c r="T104" s="7">
        <f t="shared" si="81"/>
        <v>0.43559322033898307</v>
      </c>
      <c r="U104" s="7">
        <f t="shared" si="81"/>
        <v>0.44080145719489983</v>
      </c>
      <c r="V104" s="7">
        <f t="shared" si="81"/>
        <v>0.46666666666666667</v>
      </c>
      <c r="W104" s="7">
        <f>J104/J$101</f>
        <v>0.6136631330977621</v>
      </c>
      <c r="X104" s="7">
        <f>K104/K$101</f>
        <v>0.36863057324840764</v>
      </c>
      <c r="Y104" s="7">
        <f>SUM(F104:K104)/SUM(F$101:K$101)</f>
        <v>0.45264251781472686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Edison International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82">O8</f>
        <v>2001</v>
      </c>
      <c r="C114" s="5">
        <f t="shared" si="82"/>
        <v>2002</v>
      </c>
      <c r="D114" s="5">
        <f t="shared" si="82"/>
        <v>2003</v>
      </c>
      <c r="E114" s="5">
        <f t="shared" si="82"/>
        <v>2004</v>
      </c>
      <c r="F114" s="5">
        <f t="shared" si="82"/>
        <v>2005</v>
      </c>
      <c r="G114" s="5">
        <f t="shared" si="82"/>
        <v>2006</v>
      </c>
      <c r="H114" s="5">
        <f>U8</f>
        <v>2007</v>
      </c>
      <c r="I114" s="5">
        <f>V8</f>
        <v>2008</v>
      </c>
      <c r="J114" s="5">
        <f t="shared" ref="J114:K114" si="83">W8</f>
        <v>2009</v>
      </c>
      <c r="K114" s="5">
        <f t="shared" si="83"/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 t="e">
        <f t="shared" ref="B117:G117" si="84">B15/B48</f>
        <v>#DIV/0!</v>
      </c>
      <c r="C117" s="1" t="e">
        <f t="shared" si="84"/>
        <v>#DIV/0!</v>
      </c>
      <c r="D117" s="1" t="e">
        <f t="shared" si="84"/>
        <v>#DIV/0!</v>
      </c>
      <c r="E117" s="1" t="e">
        <f t="shared" si="84"/>
        <v>#DIV/0!</v>
      </c>
      <c r="F117" s="1">
        <f t="shared" si="84"/>
        <v>1.2016535591853197</v>
      </c>
      <c r="G117" s="1">
        <f t="shared" si="84"/>
        <v>1.2739948872879387</v>
      </c>
      <c r="H117" s="1">
        <f>H15/H48</f>
        <v>0.99649532710280375</v>
      </c>
      <c r="I117" s="1">
        <f>I15/I48</f>
        <v>1.0979543078990592</v>
      </c>
      <c r="J117" s="1">
        <f>J15/J48</f>
        <v>1.1697913916028519</v>
      </c>
      <c r="K117" s="1">
        <f>K15/K48</f>
        <v>1.1189271255060729</v>
      </c>
      <c r="L117" s="12">
        <f>AVERAGE(F117:K117)</f>
        <v>1.1431360997640077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 t="e">
        <f t="shared" ref="B118:G118" si="85">(B11+B12)/B48</f>
        <v>#DIV/0!</v>
      </c>
      <c r="C118" s="1" t="e">
        <f t="shared" si="85"/>
        <v>#DIV/0!</v>
      </c>
      <c r="D118" s="1" t="e">
        <f t="shared" si="85"/>
        <v>#DIV/0!</v>
      </c>
      <c r="E118" s="1" t="e">
        <f t="shared" si="85"/>
        <v>#DIV/0!</v>
      </c>
      <c r="F118" s="1">
        <f t="shared" si="85"/>
        <v>0.63984674329501912</v>
      </c>
      <c r="G118" s="1">
        <f t="shared" si="85"/>
        <v>0.66651173599814084</v>
      </c>
      <c r="H118" s="1">
        <f>(H11+H12)/H48</f>
        <v>0.57873831775700935</v>
      </c>
      <c r="I118" s="1">
        <f>(I11+I12)/I48</f>
        <v>0.73600119456473045</v>
      </c>
      <c r="J118" s="1">
        <f>(J11+J12)/J48</f>
        <v>0.7103247953525218</v>
      </c>
      <c r="K118" s="1">
        <f>(K11+K12)/K48</f>
        <v>0.58704453441295545</v>
      </c>
      <c r="L118" s="12">
        <f t="shared" ref="L118:L119" si="86">AVERAGE(F118:K118)</f>
        <v>0.65307788689672952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 t="e">
        <f t="shared" ref="C119:I119" si="87">365*(((B12+C12)/2)/((B78+C78)/2))</f>
        <v>#DIV/0!</v>
      </c>
      <c r="D119" s="1" t="e">
        <f t="shared" si="87"/>
        <v>#DIV/0!</v>
      </c>
      <c r="E119" s="1" t="e">
        <f t="shared" si="87"/>
        <v>#DIV/0!</v>
      </c>
      <c r="F119" s="1">
        <f t="shared" si="87"/>
        <v>37.571717853526827</v>
      </c>
      <c r="G119" s="1">
        <f t="shared" si="87"/>
        <v>33.317398055078861</v>
      </c>
      <c r="H119" s="1">
        <f t="shared" si="87"/>
        <v>29.032640373032837</v>
      </c>
      <c r="I119" s="1">
        <f t="shared" si="87"/>
        <v>27.336455463728193</v>
      </c>
      <c r="J119" s="1">
        <f>365*((I12+J12)/2)/((I78+J78*(2))/2)</f>
        <v>19.014137096358862</v>
      </c>
      <c r="K119" s="1">
        <f>365*((J12+K12)/2)/((J78+K78*(2))/2)</f>
        <v>19.124236800344281</v>
      </c>
      <c r="L119" s="12">
        <f t="shared" si="86"/>
        <v>27.566097607011642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 t="e">
        <f t="shared" ref="B122:I122" si="88">B62/B55</f>
        <v>#DIV/0!</v>
      </c>
      <c r="C122" s="1" t="e">
        <f t="shared" si="88"/>
        <v>#DIV/0!</v>
      </c>
      <c r="D122" s="1" t="e">
        <f t="shared" si="88"/>
        <v>#DIV/0!</v>
      </c>
      <c r="E122" s="1" t="e">
        <f t="shared" si="88"/>
        <v>#DIV/0!</v>
      </c>
      <c r="F122" s="1">
        <f t="shared" si="88"/>
        <v>0.2811533362792753</v>
      </c>
      <c r="G122" s="1">
        <f t="shared" si="88"/>
        <v>0.32503836877877657</v>
      </c>
      <c r="H122" s="1">
        <f t="shared" si="88"/>
        <v>0.34592231618174002</v>
      </c>
      <c r="I122" s="1">
        <f t="shared" si="88"/>
        <v>0.31584380345661534</v>
      </c>
      <c r="J122" s="1">
        <f>J62/J55</f>
        <v>0.36158748932255735</v>
      </c>
      <c r="K122" s="1">
        <f>K62/K55</f>
        <v>0.3377012574920672</v>
      </c>
      <c r="L122" s="12">
        <f t="shared" ref="L122:L125" si="89">AVERAGE(F122:K122)</f>
        <v>0.32787442858517196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 t="e">
        <f t="shared" ref="B123:I123" si="90">B62/B53</f>
        <v>#DIV/0!</v>
      </c>
      <c r="C123" s="1" t="e">
        <f t="shared" si="90"/>
        <v>#DIV/0!</v>
      </c>
      <c r="D123" s="1" t="e">
        <f t="shared" si="90"/>
        <v>#DIV/0!</v>
      </c>
      <c r="E123" s="1" t="e">
        <f t="shared" si="90"/>
        <v>#DIV/0!</v>
      </c>
      <c r="F123" s="1">
        <f t="shared" si="90"/>
        <v>0.34396540072982834</v>
      </c>
      <c r="G123" s="1">
        <f t="shared" si="90"/>
        <v>0.38568269522611975</v>
      </c>
      <c r="H123" s="1">
        <f t="shared" si="90"/>
        <v>0.40858303707465721</v>
      </c>
      <c r="I123" s="1">
        <f t="shared" si="90"/>
        <v>0.39358300562313941</v>
      </c>
      <c r="J123" s="1">
        <f>J62/J53</f>
        <v>0.41296761847585456</v>
      </c>
      <c r="K123" s="1">
        <f>K62/K53</f>
        <v>0.38206355537827419</v>
      </c>
      <c r="L123" s="12">
        <f t="shared" si="89"/>
        <v>0.38780755208464557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 t="e">
        <f t="shared" ref="B124:I124" si="91">B62/B26</f>
        <v>#DIV/0!</v>
      </c>
      <c r="C124" s="1" t="e">
        <f t="shared" si="91"/>
        <v>#DIV/0!</v>
      </c>
      <c r="D124" s="1" t="e">
        <f t="shared" si="91"/>
        <v>#DIV/0!</v>
      </c>
      <c r="E124" s="1" t="e">
        <f t="shared" si="91"/>
        <v>#DIV/0!</v>
      </c>
      <c r="F124" s="1">
        <f t="shared" si="91"/>
        <v>0.52767986730250882</v>
      </c>
      <c r="G124" s="1">
        <f t="shared" si="91"/>
        <v>0.55897693709545659</v>
      </c>
      <c r="H124" s="1">
        <f t="shared" si="91"/>
        <v>0.55473194276848814</v>
      </c>
      <c r="I124" s="1">
        <f t="shared" si="91"/>
        <v>0.56455269123306451</v>
      </c>
      <c r="J124" s="1">
        <f>J62/J26</f>
        <v>0.50810211901574254</v>
      </c>
      <c r="K124" s="1">
        <f>K62/K26</f>
        <v>0.47089188414109551</v>
      </c>
      <c r="L124" s="12">
        <f t="shared" si="89"/>
        <v>0.530822573592726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92">(B98+B92)/B92</f>
        <v>#DIV/0!</v>
      </c>
      <c r="C125" s="1" t="e">
        <f t="shared" si="92"/>
        <v>#DIV/0!</v>
      </c>
      <c r="D125" s="1" t="e">
        <f t="shared" si="92"/>
        <v>#DIV/0!</v>
      </c>
      <c r="E125" s="1" t="e">
        <f t="shared" si="92"/>
        <v>#DIV/0!</v>
      </c>
      <c r="F125" s="1">
        <f t="shared" si="92"/>
        <v>3.008816120906801</v>
      </c>
      <c r="G125" s="1">
        <f t="shared" si="92"/>
        <v>3.1833952912019825</v>
      </c>
      <c r="H125" s="1">
        <f t="shared" si="92"/>
        <v>3.1143617021276597</v>
      </c>
      <c r="I125" s="1">
        <f t="shared" si="92"/>
        <v>3.5871428571428572</v>
      </c>
      <c r="J125" s="1">
        <f>(J98+J92)/J92</f>
        <v>2.0355191256830603</v>
      </c>
      <c r="K125" s="1">
        <f>(K98+K92)/K92</f>
        <v>3.2844950213371265</v>
      </c>
      <c r="L125" s="12">
        <f t="shared" si="89"/>
        <v>3.0356216863999141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 t="e">
        <f t="shared" ref="C128:E128" si="93">(C101+(C92*(1-(C100/C98))))/((B38+C38)/2)</f>
        <v>#DIV/0!</v>
      </c>
      <c r="D128" s="7" t="e">
        <f t="shared" si="93"/>
        <v>#DIV/0!</v>
      </c>
      <c r="E128" s="7" t="e">
        <f t="shared" si="93"/>
        <v>#DIV/0!</v>
      </c>
      <c r="F128" s="7">
        <f>(F101+(F92*(1-(F100/F98))))/((E38+F38))</f>
        <v>4.899263663926344E-2</v>
      </c>
      <c r="G128" s="7">
        <f t="shared" ref="G128:K128" si="94">(G101+(G92*(1-(G100/G98))))/((F38+G38)/2)</f>
        <v>4.8427705871027425E-2</v>
      </c>
      <c r="H128" s="7">
        <f t="shared" si="94"/>
        <v>4.381576637030081E-2</v>
      </c>
      <c r="I128" s="7">
        <f t="shared" si="94"/>
        <v>4.1000037447282769E-2</v>
      </c>
      <c r="J128" s="7">
        <f t="shared" si="94"/>
        <v>3.8941621966963137E-2</v>
      </c>
      <c r="K128" s="7">
        <f t="shared" si="94"/>
        <v>4.1484635436347034E-2</v>
      </c>
      <c r="L128" s="7">
        <f>AVERAGE(F128:K128)</f>
        <v>4.3777067288530765E-2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 t="e">
        <f t="shared" ref="C129:E129" si="95">(C101+(C92*(1-(C100/C98))))/((B50+C50+B57+C57+B62+C62)/2)</f>
        <v>#DIV/0!</v>
      </c>
      <c r="D129" s="7" t="e">
        <f t="shared" si="95"/>
        <v>#DIV/0!</v>
      </c>
      <c r="E129" s="7" t="e">
        <f t="shared" si="95"/>
        <v>#DIV/0!</v>
      </c>
      <c r="F129" s="7">
        <f>(F101+(F92*(1-(F100/F98))))/((E42+F42+E50+F50+E57+F57+E62+F62))</f>
        <v>9.9024157399443105E-2</v>
      </c>
      <c r="G129" s="7">
        <f t="shared" ref="G129:K129" si="96">(G101+(G92*(1-(G100/G98))))/((F42+G42+F50+G50+F57+G57+F62+G62)/2)</f>
        <v>9.6391443469990221E-2</v>
      </c>
      <c r="H129" s="7">
        <f t="shared" si="96"/>
        <v>8.7017414203021545E-2</v>
      </c>
      <c r="I129" s="7">
        <f t="shared" si="96"/>
        <v>8.3148492813735E-2</v>
      </c>
      <c r="J129" s="7">
        <f t="shared" si="96"/>
        <v>7.6770830065628501E-2</v>
      </c>
      <c r="K129" s="7">
        <f t="shared" si="96"/>
        <v>7.8894554969952693E-2</v>
      </c>
      <c r="L129" s="7">
        <f t="shared" ref="L129:L130" si="97">AVERAGE(F129:K129)</f>
        <v>8.6874482153628516E-2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 t="e">
        <f>(B101-B103)/((B62)/1)</f>
        <v>#DIV/0!</v>
      </c>
      <c r="C130" s="7" t="e">
        <f t="shared" ref="C130:E130" si="98">(C101-C103)/((C62+B62)/2)</f>
        <v>#DIV/0!</v>
      </c>
      <c r="D130" s="7" t="e">
        <f t="shared" si="98"/>
        <v>#DIV/0!</v>
      </c>
      <c r="E130" s="7" t="e">
        <f t="shared" si="98"/>
        <v>#DIV/0!</v>
      </c>
      <c r="F130" s="7">
        <f>(F101-F103)/((F62+E62))</f>
        <v>0.14905042567125082</v>
      </c>
      <c r="G130" s="7">
        <f t="shared" ref="G130:K130" si="99">(G101-G103)/((G62+F62)/2)</f>
        <v>0.14277071990320628</v>
      </c>
      <c r="H130" s="7">
        <f t="shared" si="99"/>
        <v>0.11838913148956817</v>
      </c>
      <c r="I130" s="7">
        <f t="shared" si="99"/>
        <v>0.11933408633305505</v>
      </c>
      <c r="J130" s="7">
        <f t="shared" si="99"/>
        <v>7.8194796223808427E-2</v>
      </c>
      <c r="K130" s="7">
        <f t="shared" si="99"/>
        <v>0.11164444444444445</v>
      </c>
      <c r="L130" s="7">
        <f t="shared" si="97"/>
        <v>0.11989726734422219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 t="e">
        <f>B78/B11</f>
        <v>#DIV/0!</v>
      </c>
      <c r="C133" s="1" t="e">
        <f t="shared" ref="C133:G133" si="100">C78/((B11+C11)/2)</f>
        <v>#DIV/0!</v>
      </c>
      <c r="D133" s="1" t="e">
        <f t="shared" si="100"/>
        <v>#DIV/0!</v>
      </c>
      <c r="E133" s="1" t="e">
        <f t="shared" si="100"/>
        <v>#DIV/0!</v>
      </c>
      <c r="F133" s="1">
        <f>F78/((E11+F11))</f>
        <v>6.0686123911930361</v>
      </c>
      <c r="G133" s="1">
        <f t="shared" si="100"/>
        <v>6.6309429997373259</v>
      </c>
      <c r="H133" s="1">
        <f t="shared" ref="H133" si="101">H78/((G11+H11)/2)</f>
        <v>7.9520921770770165</v>
      </c>
      <c r="I133" s="1">
        <f t="shared" ref="I133" si="102">I78/((H11+I11)/2)</f>
        <v>5.2588038010061489</v>
      </c>
      <c r="J133" s="1">
        <f t="shared" ref="J133" si="103">J78/((I11+J11)/2)</f>
        <v>4.4177984274481776</v>
      </c>
      <c r="K133" s="1">
        <f t="shared" ref="K133" si="104">K78/((J11+K11)/2)</f>
        <v>8.1051600261267147</v>
      </c>
      <c r="L133" s="12">
        <f t="shared" ref="L133:L137" si="105">AVERAGE(F133:K133)</f>
        <v>6.4055683037647357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 t="e">
        <f>B78/B12</f>
        <v>#DIV/0!</v>
      </c>
      <c r="C134" s="1" t="e">
        <f t="shared" ref="C134:G134" si="106">C78/((B12+C12)/2)</f>
        <v>#DIV/0!</v>
      </c>
      <c r="D134" s="1" t="e">
        <f t="shared" si="106"/>
        <v>#DIV/0!</v>
      </c>
      <c r="E134" s="1" t="e">
        <f t="shared" si="106"/>
        <v>#DIV/0!</v>
      </c>
      <c r="F134" s="1">
        <f>F78/((E12+F12))</f>
        <v>9.7147540983606557</v>
      </c>
      <c r="G134" s="1">
        <f t="shared" si="106"/>
        <v>11.299910474485229</v>
      </c>
      <c r="H134" s="1">
        <f t="shared" ref="H134" si="107">H78/((G12+H12)/2)</f>
        <v>12.811919882755252</v>
      </c>
      <c r="I134" s="1">
        <f t="shared" ref="I134" si="108">I78/((H12+I12)/2)</f>
        <v>13.842079450711132</v>
      </c>
      <c r="J134" s="1">
        <f t="shared" ref="J134" si="109">J78/((I12+J12)/2)</f>
        <v>12.220464656450815</v>
      </c>
      <c r="K134" s="1">
        <f t="shared" ref="K134" si="110">K78/((J12+K12)/2)</f>
        <v>12.740246406570842</v>
      </c>
      <c r="L134" s="12">
        <f t="shared" si="105"/>
        <v>12.10489582822232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 t="e">
        <f>B78/(B15-B48)</f>
        <v>#DIV/0!</v>
      </c>
      <c r="C135" s="1" t="e">
        <f t="shared" ref="C135:G135" si="111">C78/((B15+C15-B48-C48)/2)</f>
        <v>#DIV/0!</v>
      </c>
      <c r="D135" s="1" t="e">
        <f t="shared" si="111"/>
        <v>#DIV/0!</v>
      </c>
      <c r="E135" s="1" t="e">
        <f t="shared" si="111"/>
        <v>#DIV/0!</v>
      </c>
      <c r="F135" s="1">
        <f>F78/((E15+F15-E48-F48))</f>
        <v>11.852</v>
      </c>
      <c r="G135" s="1">
        <f t="shared" si="111"/>
        <v>11.585130793942175</v>
      </c>
      <c r="H135" s="1">
        <f t="shared" ref="H135" si="112">H78/((G15+H15-G48-H48)/2)</f>
        <v>22.530927835051546</v>
      </c>
      <c r="I135" s="1">
        <f t="shared" ref="I135" si="113">I78/((H15+I15-H48-I48)/2)</f>
        <v>44.031201248049925</v>
      </c>
      <c r="J135" s="1">
        <f t="shared" ref="J135" si="114">J78/((I15+J15-I48-J48)/2)</f>
        <v>19.031562740569669</v>
      </c>
      <c r="K135" s="1">
        <f t="shared" ref="K135" si="115">K78/((J15+K15-J48-K48)/2)</f>
        <v>22.298292902066486</v>
      </c>
      <c r="L135" s="12">
        <f t="shared" si="105"/>
        <v>21.888185919946633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 t="e">
        <f>B78/(B26)</f>
        <v>#DIV/0!</v>
      </c>
      <c r="C136" s="1" t="e">
        <f t="shared" ref="C136:G136" si="116">C78/((B26+C26)/2)</f>
        <v>#DIV/0!</v>
      </c>
      <c r="D136" s="1" t="e">
        <f t="shared" si="116"/>
        <v>#DIV/0!</v>
      </c>
      <c r="E136" s="1" t="e">
        <f t="shared" si="116"/>
        <v>#DIV/0!</v>
      </c>
      <c r="F136" s="1">
        <f>F78/((E26+F26))</f>
        <v>0.81913055497961162</v>
      </c>
      <c r="G136" s="1">
        <f t="shared" si="116"/>
        <v>0.83088670923573171</v>
      </c>
      <c r="H136" s="1">
        <f t="shared" ref="H136" si="117">H78/((G26+H26)/2)</f>
        <v>0.78718933845599715</v>
      </c>
      <c r="I136" s="1">
        <f t="shared" ref="I136" si="118">I78/((H26+I26)/2)</f>
        <v>0.77598152424942268</v>
      </c>
      <c r="J136" s="1">
        <f t="shared" ref="J136" si="119">J78/((I26+J26)/2)</f>
        <v>0.60846665025842972</v>
      </c>
      <c r="K136" s="1">
        <f t="shared" ref="K136" si="120">K78/((J26+K26)/2)</f>
        <v>0.53870197525504671</v>
      </c>
      <c r="L136" s="12">
        <f t="shared" si="105"/>
        <v>0.72672612540570658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 t="e">
        <f>B78/B38</f>
        <v>#DIV/0!</v>
      </c>
      <c r="C137" s="1" t="e">
        <f t="shared" ref="C137:G137" si="121">C78/((B38+C38)/2)</f>
        <v>#DIV/0!</v>
      </c>
      <c r="D137" s="1" t="e">
        <f t="shared" si="121"/>
        <v>#DIV/0!</v>
      </c>
      <c r="E137" s="1" t="e">
        <f t="shared" si="121"/>
        <v>#DIV/0!</v>
      </c>
      <c r="F137" s="1">
        <f>F78/((E38+F38))</f>
        <v>0.34066281509585811</v>
      </c>
      <c r="G137" s="1">
        <f t="shared" si="121"/>
        <v>0.35528908405111748</v>
      </c>
      <c r="H137" s="1">
        <f t="shared" ref="H137" si="122">H78/((G38+H38)/2)</f>
        <v>0.35525513728783714</v>
      </c>
      <c r="I137" s="1">
        <f t="shared" ref="I137" si="123">I78/((H38+I38)/2)</f>
        <v>0.34345376443530429</v>
      </c>
      <c r="J137" s="1">
        <f t="shared" ref="J137" si="124">J78/((I38+J38)/2)</f>
        <v>0.28726803704435327</v>
      </c>
      <c r="K137" s="1">
        <f t="shared" ref="K137" si="125">K78/((J38+K38)/2)</f>
        <v>0.285349644721411</v>
      </c>
      <c r="L137" s="12">
        <f t="shared" si="105"/>
        <v>0.32787974710598017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 t="e">
        <f t="shared" ref="B145:K145" si="126">(B$42+B$50)/(B$42+B$50+B$57+B$62)</f>
        <v>#DIV/0!</v>
      </c>
      <c r="C145" s="7" t="e">
        <f t="shared" si="126"/>
        <v>#DIV/0!</v>
      </c>
      <c r="D145" s="7" t="e">
        <f t="shared" si="126"/>
        <v>#DIV/0!</v>
      </c>
      <c r="E145" s="7" t="e">
        <f t="shared" si="126"/>
        <v>#DIV/0!</v>
      </c>
      <c r="F145" s="7">
        <f t="shared" si="126"/>
        <v>0.55643990007552435</v>
      </c>
      <c r="G145" s="7">
        <f>(G$42+G$50)/(G$42+G$50+G$57+G$62)</f>
        <v>0.51877299285868861</v>
      </c>
      <c r="H145" s="7">
        <f t="shared" si="126"/>
        <v>0.48341181506849318</v>
      </c>
      <c r="I145" s="7">
        <f t="shared" si="126"/>
        <v>0.50950396189254799</v>
      </c>
      <c r="J145" s="7">
        <f t="shared" si="126"/>
        <v>0.49560036663611368</v>
      </c>
      <c r="K145" s="7">
        <f t="shared" si="126"/>
        <v>0.51934094425626232</v>
      </c>
      <c r="L145" s="7">
        <f t="shared" ref="L145:L148" si="127">AVERAGE(F145:K145)</f>
        <v>0.51384499679793827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 t="e">
        <f t="shared" ref="B146:K146" si="128">B$57/(B$42+B$50+B$57+B$62)</f>
        <v>#DIV/0!</v>
      </c>
      <c r="C146" s="7" t="e">
        <f t="shared" si="128"/>
        <v>#DIV/0!</v>
      </c>
      <c r="D146" s="7" t="e">
        <f t="shared" si="128"/>
        <v>#DIV/0!</v>
      </c>
      <c r="E146" s="7" t="e">
        <f t="shared" si="128"/>
        <v>#DIV/0!</v>
      </c>
      <c r="F146" s="7">
        <f t="shared" si="128"/>
        <v>0</v>
      </c>
      <c r="G146" s="7">
        <f>G$57/(G$42+G$50+G$57+G$62)</f>
        <v>0</v>
      </c>
      <c r="H146" s="7">
        <f t="shared" si="128"/>
        <v>0</v>
      </c>
      <c r="I146" s="7">
        <f t="shared" si="128"/>
        <v>0</v>
      </c>
      <c r="J146" s="7">
        <f t="shared" si="128"/>
        <v>0</v>
      </c>
      <c r="K146" s="7">
        <f t="shared" si="128"/>
        <v>0</v>
      </c>
      <c r="L146" s="7">
        <f t="shared" si="127"/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 t="e">
        <f t="shared" ref="B147:K147" si="129">B$62/(B$42+B$50+B$57+B$62)</f>
        <v>#DIV/0!</v>
      </c>
      <c r="C147" s="16" t="e">
        <f t="shared" si="129"/>
        <v>#DIV/0!</v>
      </c>
      <c r="D147" s="16" t="e">
        <f t="shared" si="129"/>
        <v>#DIV/0!</v>
      </c>
      <c r="E147" s="16" t="e">
        <f t="shared" si="129"/>
        <v>#DIV/0!</v>
      </c>
      <c r="F147" s="7">
        <f t="shared" si="129"/>
        <v>0.4435600999244757</v>
      </c>
      <c r="G147" s="7">
        <f>G$62/(G$42+G$50+G$57+G$62)</f>
        <v>0.48122700714131139</v>
      </c>
      <c r="H147" s="7">
        <f t="shared" si="129"/>
        <v>0.51658818493150682</v>
      </c>
      <c r="I147" s="7">
        <f t="shared" si="129"/>
        <v>0.49049603810745201</v>
      </c>
      <c r="J147" s="7">
        <f t="shared" si="129"/>
        <v>0.50439963336388638</v>
      </c>
      <c r="K147" s="7">
        <f t="shared" si="129"/>
        <v>0.48065905574373774</v>
      </c>
      <c r="L147" s="7">
        <f t="shared" si="127"/>
        <v>0.48615500320206168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 t="e">
        <f>SUM(B145:B147)</f>
        <v>#DIV/0!</v>
      </c>
      <c r="C148" s="7" t="e">
        <f t="shared" ref="C148:K148" si="130">SUM(C145:C147)</f>
        <v>#DIV/0!</v>
      </c>
      <c r="D148" s="7" t="e">
        <f t="shared" si="130"/>
        <v>#DIV/0!</v>
      </c>
      <c r="E148" s="7" t="e">
        <f t="shared" si="130"/>
        <v>#DIV/0!</v>
      </c>
      <c r="F148" s="7">
        <f t="shared" si="130"/>
        <v>1</v>
      </c>
      <c r="G148" s="7">
        <f t="shared" si="130"/>
        <v>1</v>
      </c>
      <c r="H148" s="7">
        <f t="shared" si="130"/>
        <v>1</v>
      </c>
      <c r="I148" s="7">
        <f t="shared" si="130"/>
        <v>1</v>
      </c>
      <c r="J148" s="7">
        <f t="shared" si="130"/>
        <v>1</v>
      </c>
      <c r="K148" s="7">
        <f t="shared" si="130"/>
        <v>1</v>
      </c>
      <c r="L148" s="7">
        <f t="shared" si="127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 t="e">
        <f t="shared" ref="B151:K151" si="131">B$43/(B$43+B$42+B$50+B$57+B$62)</f>
        <v>#DIV/0!</v>
      </c>
      <c r="C151" s="7" t="e">
        <f t="shared" si="131"/>
        <v>#DIV/0!</v>
      </c>
      <c r="D151" s="7" t="e">
        <f t="shared" si="131"/>
        <v>#DIV/0!</v>
      </c>
      <c r="E151" s="7" t="e">
        <f t="shared" si="131"/>
        <v>#DIV/0!</v>
      </c>
      <c r="F151" s="7">
        <f t="shared" si="131"/>
        <v>0</v>
      </c>
      <c r="G151" s="7">
        <f>G$43/(G$43+G$42+G$50+G$57+G$62)</f>
        <v>0</v>
      </c>
      <c r="H151" s="7">
        <f t="shared" si="131"/>
        <v>2.6057952887221181E-2</v>
      </c>
      <c r="I151" s="7">
        <f t="shared" si="131"/>
        <v>8.9381047714381046E-2</v>
      </c>
      <c r="J151" s="7">
        <f t="shared" si="131"/>
        <v>3.7439503241713085E-3</v>
      </c>
      <c r="K151" s="7">
        <f t="shared" si="131"/>
        <v>4.7860829032795073E-3</v>
      </c>
      <c r="L151" s="7">
        <f t="shared" ref="L151:L155" si="132">AVERAGE(F151:K151)</f>
        <v>2.0661505638175506E-2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 t="e">
        <f t="shared" ref="B152:K152" si="133">(B$42+B$50)/(B$43+B$42+B$50+B$57+B$62)</f>
        <v>#DIV/0!</v>
      </c>
      <c r="C152" s="7" t="e">
        <f t="shared" si="133"/>
        <v>#DIV/0!</v>
      </c>
      <c r="D152" s="7" t="e">
        <f t="shared" si="133"/>
        <v>#DIV/0!</v>
      </c>
      <c r="E152" s="7" t="e">
        <f t="shared" si="133"/>
        <v>#DIV/0!</v>
      </c>
      <c r="F152" s="7">
        <f t="shared" si="133"/>
        <v>0.55643990007552435</v>
      </c>
      <c r="G152" s="7">
        <f>(G$42+G$50)/(G$43+G$42+G$50+G$57+G$62)</f>
        <v>0.51877299285868861</v>
      </c>
      <c r="H152" s="7">
        <f t="shared" si="133"/>
        <v>0.47081509276631228</v>
      </c>
      <c r="I152" s="7">
        <f t="shared" si="133"/>
        <v>0.46396396396396394</v>
      </c>
      <c r="J152" s="7">
        <f t="shared" si="133"/>
        <v>0.49374486348278696</v>
      </c>
      <c r="K152" s="7">
        <f t="shared" si="133"/>
        <v>0.51685533544198436</v>
      </c>
      <c r="L152" s="7">
        <f t="shared" si="132"/>
        <v>0.50343202476487681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 t="e">
        <f t="shared" ref="B153:K153" si="134">B$57/(B$43+B$42+B$50+B$57+B$62)</f>
        <v>#DIV/0!</v>
      </c>
      <c r="C153" s="7" t="e">
        <f t="shared" si="134"/>
        <v>#DIV/0!</v>
      </c>
      <c r="D153" s="7" t="e">
        <f t="shared" si="134"/>
        <v>#DIV/0!</v>
      </c>
      <c r="E153" s="7" t="e">
        <f t="shared" si="134"/>
        <v>#DIV/0!</v>
      </c>
      <c r="F153" s="7">
        <f t="shared" si="134"/>
        <v>0</v>
      </c>
      <c r="G153" s="7">
        <f>G$57/(G$43+G$42+G$50+G$57+G$62)</f>
        <v>0</v>
      </c>
      <c r="H153" s="7">
        <f t="shared" si="134"/>
        <v>0</v>
      </c>
      <c r="I153" s="7">
        <f t="shared" si="134"/>
        <v>0</v>
      </c>
      <c r="J153" s="7">
        <f t="shared" si="134"/>
        <v>0</v>
      </c>
      <c r="K153" s="7">
        <f t="shared" si="134"/>
        <v>0</v>
      </c>
      <c r="L153" s="7">
        <f t="shared" si="132"/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 t="e">
        <f t="shared" ref="B154:K154" si="135">B$62/(B$43+B$42+B$50+B$57+B$62)</f>
        <v>#DIV/0!</v>
      </c>
      <c r="C154" s="16" t="e">
        <f t="shared" si="135"/>
        <v>#DIV/0!</v>
      </c>
      <c r="D154" s="16" t="e">
        <f t="shared" si="135"/>
        <v>#DIV/0!</v>
      </c>
      <c r="E154" s="16" t="e">
        <f t="shared" si="135"/>
        <v>#DIV/0!</v>
      </c>
      <c r="F154" s="7">
        <f t="shared" si="135"/>
        <v>0.4435600999244757</v>
      </c>
      <c r="G154" s="7">
        <f>G$62/(G$43+G$42+G$50+G$57+G$62)</f>
        <v>0.48122700714131139</v>
      </c>
      <c r="H154" s="7">
        <f t="shared" si="135"/>
        <v>0.50312695434646659</v>
      </c>
      <c r="I154" s="7">
        <f t="shared" si="135"/>
        <v>0.44665498832165501</v>
      </c>
      <c r="J154" s="7">
        <f t="shared" si="135"/>
        <v>0.50251118619304169</v>
      </c>
      <c r="K154" s="7">
        <f t="shared" si="135"/>
        <v>0.47835858165473616</v>
      </c>
      <c r="L154" s="7">
        <f t="shared" si="132"/>
        <v>0.47590646959694777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 t="e">
        <f>SUM(B151:B154)</f>
        <v>#DIV/0!</v>
      </c>
      <c r="C155" s="7" t="e">
        <f t="shared" ref="C155:K155" si="136">SUM(C151:C154)</f>
        <v>#DIV/0!</v>
      </c>
      <c r="D155" s="7" t="e">
        <f t="shared" si="136"/>
        <v>#DIV/0!</v>
      </c>
      <c r="E155" s="7" t="e">
        <f t="shared" si="136"/>
        <v>#DIV/0!</v>
      </c>
      <c r="F155" s="7">
        <f t="shared" si="136"/>
        <v>1</v>
      </c>
      <c r="G155" s="7">
        <f t="shared" si="136"/>
        <v>1</v>
      </c>
      <c r="H155" s="7">
        <f t="shared" si="136"/>
        <v>1</v>
      </c>
      <c r="I155" s="7">
        <f t="shared" si="136"/>
        <v>1</v>
      </c>
      <c r="J155" s="7">
        <f t="shared" si="136"/>
        <v>1</v>
      </c>
      <c r="K155" s="7">
        <f t="shared" si="136"/>
        <v>1</v>
      </c>
      <c r="L155" s="7">
        <f t="shared" si="132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61"/>
  <sheetViews>
    <sheetView workbookViewId="0">
      <pane xSplit="1" topLeftCell="L1" activePane="topRight" state="frozen"/>
      <selection pane="topRight" activeCell="Y78" sqref="Y78"/>
    </sheetView>
  </sheetViews>
  <sheetFormatPr defaultRowHeight="15"/>
  <cols>
    <col min="1" max="1" width="25.7109375" customWidth="1"/>
    <col min="2" max="3" width="9.140625" hidden="1" customWidth="1"/>
    <col min="4" max="4" width="9.5703125" hidden="1" customWidth="1"/>
    <col min="5" max="5" width="0" hidden="1" customWidth="1"/>
    <col min="6" max="6" width="9.7109375" customWidth="1"/>
    <col min="7" max="7" width="9.85546875" bestFit="1" customWidth="1"/>
    <col min="8" max="8" width="8.140625" bestFit="1" customWidth="1"/>
    <col min="9" max="11" width="10.7109375" customWidth="1"/>
    <col min="12" max="12" width="10.5703125" bestFit="1" customWidth="1"/>
    <col min="13" max="13" width="8.42578125" customWidth="1"/>
    <col min="14" max="14" width="32.28515625" bestFit="1" customWidth="1"/>
    <col min="15" max="16" width="9.140625" hidden="1" customWidth="1"/>
    <col min="17" max="18" width="0" hidden="1" customWidth="1"/>
    <col min="23" max="24" width="9.140625" customWidth="1"/>
    <col min="25" max="25" width="10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Entergy Corp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1"/>
      <c r="C11" s="135"/>
      <c r="D11" s="11">
        <v>692.2</v>
      </c>
      <c r="E11" s="11">
        <v>807.7</v>
      </c>
      <c r="F11" s="11">
        <v>582.79999999999995</v>
      </c>
      <c r="G11" s="11">
        <v>1016.2</v>
      </c>
      <c r="H11" s="11">
        <v>1253.7</v>
      </c>
      <c r="I11" s="11">
        <v>1920.5</v>
      </c>
      <c r="J11" s="11">
        <v>1709.5509999999999</v>
      </c>
      <c r="K11" s="11">
        <v>1294.472</v>
      </c>
      <c r="L11" s="7">
        <f>RATE(5,,-F11,K11)</f>
        <v>0.17304486723914436</v>
      </c>
      <c r="M11" s="1"/>
      <c r="N11" s="1" t="str">
        <f>A11</f>
        <v>Cash &amp; Equivalents</v>
      </c>
      <c r="O11" s="7" t="e">
        <f t="shared" ref="O11:X15" si="2">B11/B$38</f>
        <v>#DIV/0!</v>
      </c>
      <c r="P11" s="7" t="e">
        <f t="shared" si="2"/>
        <v>#DIV/0!</v>
      </c>
      <c r="Q11" s="7">
        <f t="shared" si="2"/>
        <v>2.4264391427189298E-2</v>
      </c>
      <c r="R11" s="7">
        <f t="shared" si="2"/>
        <v>2.852974836458172E-2</v>
      </c>
      <c r="S11" s="7">
        <f t="shared" si="2"/>
        <v>1.8886696027247657E-2</v>
      </c>
      <c r="T11" s="7">
        <f t="shared" si="2"/>
        <v>3.2693427533644119E-2</v>
      </c>
      <c r="U11" s="7">
        <f t="shared" si="2"/>
        <v>3.7264809915881464E-2</v>
      </c>
      <c r="V11" s="7">
        <f t="shared" si="2"/>
        <v>5.2448602827117601E-2</v>
      </c>
      <c r="W11" s="7">
        <f t="shared" si="2"/>
        <v>4.5512868536080921E-2</v>
      </c>
      <c r="X11" s="7">
        <f t="shared" si="2"/>
        <v>3.3461592188951943E-2</v>
      </c>
      <c r="Y11" s="7">
        <f>SUM(F11:K11)/SUM(F$38:K$38)</f>
        <v>3.731023621043951E-2</v>
      </c>
      <c r="Z11" s="189"/>
    </row>
    <row r="12" spans="1:26">
      <c r="A12" s="1" t="s">
        <v>13</v>
      </c>
      <c r="B12" s="11"/>
      <c r="C12" s="11"/>
      <c r="D12" s="11">
        <v>1003.8</v>
      </c>
      <c r="E12" s="11">
        <v>1213.8</v>
      </c>
      <c r="F12" s="11">
        <v>1535.6</v>
      </c>
      <c r="G12" s="11">
        <v>1127.5999999999999</v>
      </c>
      <c r="H12" s="11">
        <v>1176.0999999999999</v>
      </c>
      <c r="I12" s="11">
        <v>1198.0999999999999</v>
      </c>
      <c r="J12" s="11">
        <v>980.827</v>
      </c>
      <c r="K12" s="11">
        <v>1035.5820000000001</v>
      </c>
      <c r="L12" s="7">
        <f t="shared" ref="L12:L15" si="3">RATE(5,,-F12,K12)</f>
        <v>-7.576741100568142E-2</v>
      </c>
      <c r="M12" s="1"/>
      <c r="N12" s="1" t="str">
        <f>A12</f>
        <v>Accounts Receivable</v>
      </c>
      <c r="O12" s="7" t="e">
        <f t="shared" si="2"/>
        <v>#DIV/0!</v>
      </c>
      <c r="P12" s="7" t="e">
        <f t="shared" si="2"/>
        <v>#DIV/0!</v>
      </c>
      <c r="Q12" s="7">
        <f t="shared" si="2"/>
        <v>3.5187223511431109E-2</v>
      </c>
      <c r="R12" s="7">
        <f t="shared" si="2"/>
        <v>4.2874097517555144E-2</v>
      </c>
      <c r="S12" s="7">
        <f t="shared" si="2"/>
        <v>4.9763916299659407E-2</v>
      </c>
      <c r="T12" s="7">
        <f t="shared" si="2"/>
        <v>3.6277414767700362E-2</v>
      </c>
      <c r="U12" s="7">
        <f t="shared" si="2"/>
        <v>3.4958237969265518E-2</v>
      </c>
      <c r="V12" s="7">
        <f t="shared" si="2"/>
        <v>3.2719953682462687E-2</v>
      </c>
      <c r="W12" s="7">
        <f t="shared" si="2"/>
        <v>2.6112265915224902E-2</v>
      </c>
      <c r="X12" s="7">
        <f t="shared" si="2"/>
        <v>2.6769387489431393E-2</v>
      </c>
      <c r="Y12" s="7">
        <f t="shared" ref="Y12:Y15" si="4">SUM(F12:K12)/SUM(F$38:K$38)</f>
        <v>3.3839749737576523E-2</v>
      </c>
      <c r="Z12" s="189"/>
    </row>
    <row r="13" spans="1:26">
      <c r="A13" s="1" t="s">
        <v>14</v>
      </c>
      <c r="B13" s="135"/>
      <c r="C13" s="135"/>
      <c r="D13" s="11">
        <v>659.4</v>
      </c>
      <c r="E13" s="11">
        <v>696.6</v>
      </c>
      <c r="F13" s="11">
        <v>817.1</v>
      </c>
      <c r="G13" s="11">
        <v>798.1</v>
      </c>
      <c r="H13" s="11">
        <f>208.6+692.4</f>
        <v>901</v>
      </c>
      <c r="I13" s="11">
        <f>216.1+776.2</f>
        <v>992.30000000000007</v>
      </c>
      <c r="J13" s="11">
        <f>196.855+825.702</f>
        <v>1022.557</v>
      </c>
      <c r="K13" s="11">
        <f>207.52+866.908</f>
        <v>1074.4280000000001</v>
      </c>
      <c r="L13" s="7">
        <f t="shared" si="3"/>
        <v>5.6283319105751038E-2</v>
      </c>
      <c r="M13" s="1"/>
      <c r="N13" s="1" t="str">
        <f>A13</f>
        <v>Material, Supplies, Fuel</v>
      </c>
      <c r="O13" s="7" t="e">
        <f t="shared" si="2"/>
        <v>#DIV/0!</v>
      </c>
      <c r="P13" s="7" t="e">
        <f t="shared" si="2"/>
        <v>#DIV/0!</v>
      </c>
      <c r="Q13" s="7">
        <f t="shared" si="2"/>
        <v>2.3114619628848053E-2</v>
      </c>
      <c r="R13" s="7">
        <f t="shared" si="2"/>
        <v>2.4605450923322551E-2</v>
      </c>
      <c r="S13" s="7">
        <f t="shared" si="2"/>
        <v>2.6479614488442112E-2</v>
      </c>
      <c r="T13" s="7">
        <f t="shared" si="2"/>
        <v>2.5676662580792535E-2</v>
      </c>
      <c r="U13" s="7">
        <f t="shared" si="2"/>
        <v>2.6781202627589692E-2</v>
      </c>
      <c r="V13" s="7">
        <f t="shared" si="2"/>
        <v>2.7099582705206352E-2</v>
      </c>
      <c r="W13" s="7">
        <f t="shared" si="2"/>
        <v>2.7223231311408261E-2</v>
      </c>
      <c r="X13" s="7">
        <f t="shared" si="2"/>
        <v>2.7773541314444237E-2</v>
      </c>
      <c r="Y13" s="7">
        <f t="shared" si="4"/>
        <v>2.6891599922501321E-2</v>
      </c>
      <c r="Z13" s="189"/>
    </row>
    <row r="14" spans="1:26">
      <c r="A14" s="1" t="s">
        <v>15</v>
      </c>
      <c r="B14" s="135"/>
      <c r="C14" s="135"/>
      <c r="D14" s="11">
        <v>563.79999999999995</v>
      </c>
      <c r="E14" s="11">
        <v>390</v>
      </c>
      <c r="F14" s="11">
        <v>1127.2</v>
      </c>
      <c r="G14" s="11">
        <v>383.5</v>
      </c>
      <c r="H14" s="11">
        <f>19.3+38.1+172.9+268+129.1</f>
        <v>627.4</v>
      </c>
      <c r="I14" s="11">
        <f>12+167.1+7.3+221.8+394+247.3</f>
        <v>1049.5</v>
      </c>
      <c r="J14" s="11">
        <f>4534.161-3712.9</f>
        <v>821.26099999999997</v>
      </c>
      <c r="K14" s="11">
        <f>4339.083-3404.5</f>
        <v>934.58299999999963</v>
      </c>
      <c r="L14" s="7">
        <f t="shared" si="3"/>
        <v>-3.6784684602377264E-2</v>
      </c>
      <c r="M14" s="1"/>
      <c r="N14" s="1" t="str">
        <f>A14</f>
        <v>Other Current Assets</v>
      </c>
      <c r="O14" s="7" t="e">
        <f t="shared" si="2"/>
        <v>#DIV/0!</v>
      </c>
      <c r="P14" s="7" t="e">
        <f t="shared" si="2"/>
        <v>#DIV/0!</v>
      </c>
      <c r="Q14" s="7">
        <f t="shared" si="2"/>
        <v>1.9763455484902232E-2</v>
      </c>
      <c r="R14" s="7">
        <f t="shared" si="2"/>
        <v>1.3775661584978173E-2</v>
      </c>
      <c r="S14" s="7">
        <f t="shared" si="2"/>
        <v>3.652897007878099E-2</v>
      </c>
      <c r="T14" s="7">
        <f t="shared" si="2"/>
        <v>1.2338053000543713E-2</v>
      </c>
      <c r="U14" s="7">
        <f t="shared" si="2"/>
        <v>1.8648753083851024E-2</v>
      </c>
      <c r="V14" s="7">
        <f t="shared" si="2"/>
        <v>2.8661707194511808E-2</v>
      </c>
      <c r="W14" s="7">
        <f t="shared" si="2"/>
        <v>2.1864187688352296E-2</v>
      </c>
      <c r="X14" s="7">
        <f t="shared" si="2"/>
        <v>2.4158603054162054E-2</v>
      </c>
      <c r="Y14" s="7">
        <f t="shared" si="4"/>
        <v>2.3715542595741424E-2</v>
      </c>
      <c r="Z14" s="189"/>
    </row>
    <row r="15" spans="1:26">
      <c r="A15" s="1" t="s">
        <v>16</v>
      </c>
      <c r="B15" s="11">
        <f>SUM(B11:B14)</f>
        <v>0</v>
      </c>
      <c r="C15" s="11">
        <f>SUM(C11:C14)</f>
        <v>0</v>
      </c>
      <c r="D15" s="11">
        <f t="shared" ref="D15:J15" si="5">SUM(D11:D14)</f>
        <v>2919.2</v>
      </c>
      <c r="E15" s="11">
        <f t="shared" si="5"/>
        <v>3108.1</v>
      </c>
      <c r="F15" s="11">
        <f t="shared" si="5"/>
        <v>4062.7</v>
      </c>
      <c r="G15" s="11">
        <f t="shared" si="5"/>
        <v>3325.4</v>
      </c>
      <c r="H15" s="11">
        <f t="shared" si="5"/>
        <v>3958.2000000000003</v>
      </c>
      <c r="I15" s="11">
        <f>SUM(I11:I14)</f>
        <v>5160.3999999999996</v>
      </c>
      <c r="J15" s="11">
        <f t="shared" si="5"/>
        <v>4534.1959999999999</v>
      </c>
      <c r="K15" s="11">
        <f>SUM(K11:K14)</f>
        <v>4339.0649999999996</v>
      </c>
      <c r="L15" s="7">
        <f t="shared" si="3"/>
        <v>1.3249225323969497E-2</v>
      </c>
      <c r="M15" s="1"/>
      <c r="N15" s="1" t="str">
        <f>A15</f>
        <v>Total Current Assets</v>
      </c>
      <c r="O15" s="7" t="e">
        <f t="shared" si="2"/>
        <v>#DIV/0!</v>
      </c>
      <c r="P15" s="7" t="e">
        <f t="shared" si="2"/>
        <v>#DIV/0!</v>
      </c>
      <c r="Q15" s="7">
        <f t="shared" si="2"/>
        <v>0.10232969005237069</v>
      </c>
      <c r="R15" s="7">
        <f t="shared" si="2"/>
        <v>0.10978495839043759</v>
      </c>
      <c r="S15" s="7">
        <f t="shared" si="2"/>
        <v>0.13165919689413016</v>
      </c>
      <c r="T15" s="7">
        <f t="shared" si="2"/>
        <v>0.10698555788268073</v>
      </c>
      <c r="U15" s="7">
        <f t="shared" si="2"/>
        <v>0.1176530035965877</v>
      </c>
      <c r="V15" s="7">
        <f t="shared" si="2"/>
        <v>0.14092984640929845</v>
      </c>
      <c r="W15" s="7">
        <f t="shared" si="2"/>
        <v>0.12071255345106638</v>
      </c>
      <c r="X15" s="7">
        <f t="shared" si="2"/>
        <v>0.11216312404698962</v>
      </c>
      <c r="Y15" s="7">
        <f t="shared" si="4"/>
        <v>0.12175712846625877</v>
      </c>
      <c r="Z15" s="189"/>
    </row>
    <row r="16" spans="1:26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1"/>
      <c r="C18" s="11"/>
      <c r="D18" s="11">
        <v>28035.9</v>
      </c>
      <c r="E18" s="11">
        <v>29053.3</v>
      </c>
      <c r="F18" s="11">
        <v>29161</v>
      </c>
      <c r="G18" s="11">
        <v>30713.3</v>
      </c>
      <c r="H18" s="11">
        <v>32959</v>
      </c>
      <c r="I18" s="11">
        <v>34495.4</v>
      </c>
      <c r="J18" s="136">
        <v>36343.771999999997</v>
      </c>
      <c r="K18" s="136">
        <v>37153.061000000002</v>
      </c>
      <c r="L18" s="7">
        <f t="shared" ref="L18:L22" si="6">RATE(5,,-F18,K18)</f>
        <v>4.9635323269967897E-2</v>
      </c>
      <c r="M18" s="1"/>
      <c r="N18" s="1" t="str">
        <f>A18</f>
        <v xml:space="preserve">  Domestic Electric Plant in Service</v>
      </c>
      <c r="O18" s="7" t="e">
        <f t="shared" ref="O18:X22" si="7">B18/B$38</f>
        <v>#DIV/0!</v>
      </c>
      <c r="P18" s="7" t="e">
        <f t="shared" si="7"/>
        <v>#DIV/0!</v>
      </c>
      <c r="Q18" s="7">
        <f t="shared" si="7"/>
        <v>0.98277095003400239</v>
      </c>
      <c r="R18" s="7">
        <f t="shared" si="7"/>
        <v>1.026226740325247</v>
      </c>
      <c r="S18" s="7">
        <f t="shared" si="7"/>
        <v>0.94501534463035164</v>
      </c>
      <c r="T18" s="7">
        <f t="shared" si="7"/>
        <v>0.9881155755452391</v>
      </c>
      <c r="U18" s="7">
        <f t="shared" si="7"/>
        <v>0.97966887614065334</v>
      </c>
      <c r="V18" s="7">
        <f t="shared" si="7"/>
        <v>0.94206484455222739</v>
      </c>
      <c r="W18" s="7">
        <f t="shared" si="7"/>
        <v>0.96756944784993182</v>
      </c>
      <c r="X18" s="7">
        <f t="shared" si="7"/>
        <v>0.9603920175587074</v>
      </c>
      <c r="Y18" s="7">
        <f t="shared" ref="Y18:Y22" si="8">SUM(F18:K18)/SUM(F$38:K$38)</f>
        <v>0.96343490129026965</v>
      </c>
      <c r="Z18" s="189"/>
    </row>
    <row r="19" spans="1:26">
      <c r="A19" s="1" t="s">
        <v>19</v>
      </c>
      <c r="B19" s="11"/>
      <c r="C19" s="11"/>
      <c r="D19" s="11">
        <v>1381</v>
      </c>
      <c r="E19" s="11">
        <v>1197.5999999999999</v>
      </c>
      <c r="F19" s="11">
        <v>1524.1</v>
      </c>
      <c r="G19" s="11">
        <v>786.2</v>
      </c>
      <c r="H19" s="11">
        <v>1054.8</v>
      </c>
      <c r="I19" s="11">
        <v>1712.7</v>
      </c>
      <c r="J19" s="136">
        <v>1547.319</v>
      </c>
      <c r="K19" s="136">
        <v>1661.56</v>
      </c>
      <c r="L19" s="7">
        <f t="shared" si="6"/>
        <v>1.7420568203404433E-2</v>
      </c>
      <c r="M19" s="1"/>
      <c r="N19" s="1" t="str">
        <f>A19</f>
        <v xml:space="preserve">  Electric Construction Work in Progress</v>
      </c>
      <c r="O19" s="7" t="e">
        <f t="shared" si="7"/>
        <v>#DIV/0!</v>
      </c>
      <c r="P19" s="7" t="e">
        <f t="shared" si="7"/>
        <v>#DIV/0!</v>
      </c>
      <c r="Q19" s="7">
        <f t="shared" si="7"/>
        <v>4.8409599192355414E-2</v>
      </c>
      <c r="R19" s="7">
        <f t="shared" si="7"/>
        <v>4.2301877728640663E-2</v>
      </c>
      <c r="S19" s="7">
        <f t="shared" si="7"/>
        <v>4.9391237843390792E-2</v>
      </c>
      <c r="T19" s="7">
        <f t="shared" si="7"/>
        <v>2.529381295704685E-2</v>
      </c>
      <c r="U19" s="7">
        <f t="shared" si="7"/>
        <v>3.1352733109413548E-2</v>
      </c>
      <c r="V19" s="7">
        <f t="shared" si="7"/>
        <v>4.6773612112472961E-2</v>
      </c>
      <c r="W19" s="7">
        <f t="shared" si="7"/>
        <v>4.1193814183010741E-2</v>
      </c>
      <c r="X19" s="7">
        <f t="shared" si="7"/>
        <v>4.2950672642957891E-2</v>
      </c>
      <c r="Y19" s="7">
        <f t="shared" si="8"/>
        <v>3.9754286445185985E-2</v>
      </c>
      <c r="Z19" s="189"/>
    </row>
    <row r="20" spans="1:26">
      <c r="A20" s="9" t="s">
        <v>20</v>
      </c>
      <c r="B20" s="11"/>
      <c r="C20" s="11"/>
      <c r="D20" s="11">
        <v>751.8</v>
      </c>
      <c r="E20" s="11">
        <v>846</v>
      </c>
      <c r="F20" s="11">
        <v>795</v>
      </c>
      <c r="G20" s="11">
        <v>923.5</v>
      </c>
      <c r="H20" s="11">
        <v>1327.9</v>
      </c>
      <c r="I20" s="11">
        <v>1405.9</v>
      </c>
      <c r="J20" s="136">
        <f>40255.791-38674.2</f>
        <v>1581.5910000000003</v>
      </c>
      <c r="K20" s="136">
        <f>41323.269-39614.7</f>
        <v>1708.5690000000031</v>
      </c>
      <c r="L20" s="7">
        <f t="shared" si="6"/>
        <v>0.16534114033786898</v>
      </c>
      <c r="M20" s="1"/>
      <c r="N20" s="1" t="str">
        <f>A20</f>
        <v>Other Regulated PP &amp; E</v>
      </c>
      <c r="O20" s="7" t="e">
        <f t="shared" si="7"/>
        <v>#DIV/0!</v>
      </c>
      <c r="P20" s="7" t="e">
        <f t="shared" si="7"/>
        <v>#DIV/0!</v>
      </c>
      <c r="Q20" s="7">
        <f t="shared" si="7"/>
        <v>2.6353610914419116E-2</v>
      </c>
      <c r="R20" s="7">
        <f>E20/E$38</f>
        <v>2.9882588976644961E-2</v>
      </c>
      <c r="S20" s="7">
        <f t="shared" si="7"/>
        <v>2.5763423715960687E-2</v>
      </c>
      <c r="T20" s="7">
        <f t="shared" si="7"/>
        <v>2.9711061136902524E-2</v>
      </c>
      <c r="U20" s="7">
        <f t="shared" si="7"/>
        <v>3.9470320720506498E-2</v>
      </c>
      <c r="V20" s="7">
        <f t="shared" si="7"/>
        <v>3.839494439710734E-2</v>
      </c>
      <c r="W20" s="7">
        <f t="shared" si="7"/>
        <v>4.2106227460221302E-2</v>
      </c>
      <c r="X20" s="7">
        <f t="shared" si="7"/>
        <v>4.4165836808123728E-2</v>
      </c>
      <c r="Y20" s="7">
        <f t="shared" si="8"/>
        <v>3.7143465148148591E-2</v>
      </c>
      <c r="Z20" s="189"/>
    </row>
    <row r="21" spans="1:26">
      <c r="A21" s="1" t="s">
        <v>21</v>
      </c>
      <c r="B21" s="11"/>
      <c r="C21" s="11"/>
      <c r="D21" s="11">
        <v>749.7</v>
      </c>
      <c r="E21" s="11">
        <v>738.6</v>
      </c>
      <c r="F21" s="11">
        <v>727.6</v>
      </c>
      <c r="G21" s="11">
        <v>730.2</v>
      </c>
      <c r="H21" s="11">
        <v>740.1</v>
      </c>
      <c r="I21" s="11">
        <v>745.5</v>
      </c>
      <c r="J21" s="136">
        <v>783.096</v>
      </c>
      <c r="K21" s="136">
        <v>800.07799999999997</v>
      </c>
      <c r="L21" s="7">
        <f t="shared" si="6"/>
        <v>1.9173041923831409E-2</v>
      </c>
      <c r="M21" s="1"/>
      <c r="N21" s="1" t="str">
        <f>A21</f>
        <v>Other PP&amp;E</v>
      </c>
      <c r="O21" s="7" t="e">
        <f t="shared" si="7"/>
        <v>#DIV/0!</v>
      </c>
      <c r="P21" s="7" t="e">
        <f t="shared" si="7"/>
        <v>#DIV/0!</v>
      </c>
      <c r="Q21" s="7">
        <f t="shared" si="7"/>
        <v>2.6279997476110688E-2</v>
      </c>
      <c r="R21" s="7">
        <f>E21/E$38</f>
        <v>2.6088983709397124E-2</v>
      </c>
      <c r="S21" s="7">
        <f t="shared" si="7"/>
        <v>2.357920389400377E-2</v>
      </c>
      <c r="T21" s="7">
        <f t="shared" si="7"/>
        <v>2.3492167668831863E-2</v>
      </c>
      <c r="U21" s="7">
        <f t="shared" si="7"/>
        <v>2.1998632702196593E-2</v>
      </c>
      <c r="V21" s="7">
        <f t="shared" si="7"/>
        <v>2.0359507111489806E-2</v>
      </c>
      <c r="W21" s="7">
        <f t="shared" si="7"/>
        <v>2.0848132228363372E-2</v>
      </c>
      <c r="X21" s="7">
        <f t="shared" si="7"/>
        <v>2.0681701694090171E-2</v>
      </c>
      <c r="Y21" s="7">
        <f t="shared" si="8"/>
        <v>2.1715661896802244E-2</v>
      </c>
      <c r="Z21" s="189"/>
    </row>
    <row r="22" spans="1:26">
      <c r="A22" s="1" t="s">
        <v>22</v>
      </c>
      <c r="B22" s="11">
        <f>SUM(B18:B21)</f>
        <v>0</v>
      </c>
      <c r="C22" s="11">
        <f>SUM(C18:C21)</f>
        <v>0</v>
      </c>
      <c r="D22" s="11">
        <f>SUM(D18:D21)</f>
        <v>30918.400000000001</v>
      </c>
      <c r="E22" s="11">
        <f>SUM(E18:E21)</f>
        <v>31835.499999999996</v>
      </c>
      <c r="F22" s="11">
        <f t="shared" ref="F22:J22" si="9">SUM(F18:F21)</f>
        <v>32207.699999999997</v>
      </c>
      <c r="G22" s="11">
        <f t="shared" si="9"/>
        <v>33153.199999999997</v>
      </c>
      <c r="H22" s="11">
        <f>SUM(H18:H21)</f>
        <v>36081.800000000003</v>
      </c>
      <c r="I22" s="11">
        <f t="shared" si="9"/>
        <v>38359.5</v>
      </c>
      <c r="J22" s="11">
        <f t="shared" si="9"/>
        <v>40255.777999999998</v>
      </c>
      <c r="K22" s="11">
        <f t="shared" ref="K22" si="10">SUM(K18:K21)</f>
        <v>41323.268000000004</v>
      </c>
      <c r="L22" s="7">
        <f t="shared" si="6"/>
        <v>5.1107148033893844E-2</v>
      </c>
      <c r="M22" s="1"/>
      <c r="N22" s="1" t="s">
        <v>23</v>
      </c>
      <c r="O22" s="7" t="e">
        <f t="shared" si="7"/>
        <v>#DIV/0!</v>
      </c>
      <c r="P22" s="7" t="e">
        <f t="shared" si="7"/>
        <v>#DIV/0!</v>
      </c>
      <c r="Q22" s="7">
        <f t="shared" si="7"/>
        <v>1.0838141576168876</v>
      </c>
      <c r="R22" s="7">
        <f>E22/E$38</f>
        <v>1.1245001907399297</v>
      </c>
      <c r="S22" s="7">
        <f t="shared" si="7"/>
        <v>1.0437492100837069</v>
      </c>
      <c r="T22" s="7">
        <f t="shared" si="7"/>
        <v>1.0666126173080202</v>
      </c>
      <c r="U22" s="7">
        <f t="shared" si="7"/>
        <v>1.0724905626727701</v>
      </c>
      <c r="V22" s="7">
        <f t="shared" si="7"/>
        <v>1.0475929081732973</v>
      </c>
      <c r="W22" s="7">
        <f t="shared" si="7"/>
        <v>1.0717176217215272</v>
      </c>
      <c r="X22" s="7">
        <f t="shared" si="7"/>
        <v>1.0681902287038791</v>
      </c>
      <c r="Y22" s="7">
        <f t="shared" si="8"/>
        <v>1.0620483147804065</v>
      </c>
      <c r="Z22" s="189"/>
    </row>
    <row r="23" spans="1:26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1"/>
      <c r="C24" s="11"/>
      <c r="D24" s="11">
        <v>12619.6</v>
      </c>
      <c r="E24" s="11">
        <v>13139.9</v>
      </c>
      <c r="F24" s="11">
        <v>13010.7</v>
      </c>
      <c r="G24" s="11">
        <v>13715.1</v>
      </c>
      <c r="H24" s="11">
        <v>15107.5</v>
      </c>
      <c r="I24" s="11">
        <v>15930.4</v>
      </c>
      <c r="J24" s="11">
        <v>16866.388999999999</v>
      </c>
      <c r="K24" s="11">
        <v>17474.914000000001</v>
      </c>
      <c r="L24" s="7">
        <f>RATE(5,,-F24,K24)</f>
        <v>6.0774025293774833E-2</v>
      </c>
      <c r="M24" s="2"/>
      <c r="N24" s="1" t="str">
        <f>A24</f>
        <v>Accumulated Depreciation &amp; Amort.</v>
      </c>
      <c r="O24" s="7" t="e">
        <f t="shared" ref="O24:X24" si="11">B24/B$38</f>
        <v>#DIV/0!</v>
      </c>
      <c r="P24" s="7" t="e">
        <f t="shared" si="11"/>
        <v>#DIV/0!</v>
      </c>
      <c r="Q24" s="7">
        <f t="shared" si="11"/>
        <v>0.44236768860814513</v>
      </c>
      <c r="R24" s="7">
        <f t="shared" si="11"/>
        <v>0.46413029656526844</v>
      </c>
      <c r="S24" s="7">
        <f t="shared" si="11"/>
        <v>0.42163544269339587</v>
      </c>
      <c r="T24" s="7">
        <f t="shared" si="11"/>
        <v>0.44124545164995327</v>
      </c>
      <c r="U24" s="7">
        <f t="shared" si="11"/>
        <v>0.44905329489046758</v>
      </c>
      <c r="V24" s="7">
        <f t="shared" si="11"/>
        <v>0.43505713224530812</v>
      </c>
      <c r="W24" s="7">
        <f t="shared" si="11"/>
        <v>0.44902886502678269</v>
      </c>
      <c r="X24" s="7">
        <f t="shared" si="11"/>
        <v>0.45171965543094555</v>
      </c>
      <c r="Y24" s="7">
        <f>SUM(F24:K24)/SUM(F$38:K$38)</f>
        <v>0.44186201399821506</v>
      </c>
      <c r="Z24" s="189"/>
    </row>
    <row r="25" spans="1:26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1">
        <f t="shared" ref="B26:J26" si="12">B22-B24</f>
        <v>0</v>
      </c>
      <c r="C26" s="11">
        <f t="shared" si="12"/>
        <v>0</v>
      </c>
      <c r="D26" s="11">
        <f t="shared" si="12"/>
        <v>18298.800000000003</v>
      </c>
      <c r="E26" s="11">
        <f t="shared" si="12"/>
        <v>18695.599999999999</v>
      </c>
      <c r="F26" s="11">
        <f t="shared" si="12"/>
        <v>19196.999999999996</v>
      </c>
      <c r="G26" s="137">
        <f t="shared" si="12"/>
        <v>19438.099999999999</v>
      </c>
      <c r="H26" s="137">
        <f t="shared" si="12"/>
        <v>20974.300000000003</v>
      </c>
      <c r="I26" s="137">
        <f t="shared" si="12"/>
        <v>22429.1</v>
      </c>
      <c r="J26" s="137">
        <f t="shared" si="12"/>
        <v>23389.388999999999</v>
      </c>
      <c r="K26" s="137">
        <f t="shared" ref="K26" si="13">K22-K24</f>
        <v>23848.354000000003</v>
      </c>
      <c r="L26" s="7">
        <f>RATE(5,,-F26,K26)</f>
        <v>4.4347445910816082E-2</v>
      </c>
      <c r="M26" s="1"/>
      <c r="N26" s="1" t="s">
        <v>23</v>
      </c>
      <c r="O26" s="7" t="e">
        <f t="shared" ref="O26:X26" si="14">B26/B$38</f>
        <v>#DIV/0!</v>
      </c>
      <c r="P26" s="7" t="e">
        <f t="shared" si="14"/>
        <v>#DIV/0!</v>
      </c>
      <c r="Q26" s="7">
        <f t="shared" si="14"/>
        <v>0.64144646900874258</v>
      </c>
      <c r="R26" s="7">
        <f t="shared" si="14"/>
        <v>0.6603698941746613</v>
      </c>
      <c r="S26" s="7">
        <f t="shared" si="14"/>
        <v>0.62211376739031099</v>
      </c>
      <c r="T26" s="7">
        <f t="shared" si="14"/>
        <v>0.62536716565806705</v>
      </c>
      <c r="U26" s="7">
        <f t="shared" si="14"/>
        <v>0.62343726778230246</v>
      </c>
      <c r="V26" s="7">
        <f t="shared" si="14"/>
        <v>0.61253577592798925</v>
      </c>
      <c r="W26" s="7">
        <f t="shared" si="14"/>
        <v>0.62268875669474455</v>
      </c>
      <c r="X26" s="7">
        <f t="shared" si="14"/>
        <v>0.61647057327293364</v>
      </c>
      <c r="Y26" s="7">
        <f>SUM(F26:K26)/SUM(F$38:K$38)</f>
        <v>0.62018630078219139</v>
      </c>
      <c r="Z26" s="189"/>
    </row>
    <row r="27" spans="1:26">
      <c r="A27" s="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1"/>
      <c r="C29" s="11"/>
      <c r="D29" s="11">
        <v>2228.9</v>
      </c>
      <c r="E29" s="11">
        <v>2175.6999999999998</v>
      </c>
      <c r="F29" s="11">
        <v>2989.4</v>
      </c>
      <c r="G29" s="11">
        <v>3676.6</v>
      </c>
      <c r="H29" s="11">
        <v>3735.3</v>
      </c>
      <c r="I29" s="11">
        <v>4364.8999999999996</v>
      </c>
      <c r="J29" s="11">
        <f>3647.154+816.856</f>
        <v>4464.01</v>
      </c>
      <c r="K29" s="11">
        <f>3838.237+845.725</f>
        <v>4683.9620000000004</v>
      </c>
      <c r="L29" s="7">
        <f t="shared" ref="L29:L38" si="15">RATE(5,,-F29,K29)</f>
        <v>9.3971143857212017E-2</v>
      </c>
      <c r="M29" s="1"/>
      <c r="N29" s="1" t="s">
        <v>27</v>
      </c>
      <c r="O29" s="7" t="e">
        <f t="shared" ref="O29:X36" si="16">B29/B$38</f>
        <v>#DIV/0!</v>
      </c>
      <c r="P29" s="7" t="e">
        <f t="shared" si="16"/>
        <v>#DIV/0!</v>
      </c>
      <c r="Q29" s="7">
        <f t="shared" si="16"/>
        <v>7.8131901259841416E-2</v>
      </c>
      <c r="R29" s="7">
        <f t="shared" si="16"/>
        <v>7.6850530539582074E-2</v>
      </c>
      <c r="S29" s="7">
        <f t="shared" si="16"/>
        <v>9.6876954536469023E-2</v>
      </c>
      <c r="T29" s="7">
        <f t="shared" si="16"/>
        <v>0.11828444761877187</v>
      </c>
      <c r="U29" s="7">
        <f t="shared" si="16"/>
        <v>0.11102755402312517</v>
      </c>
      <c r="V29" s="7">
        <f t="shared" si="16"/>
        <v>0.11920484586310107</v>
      </c>
      <c r="W29" s="7">
        <f t="shared" si="16"/>
        <v>0.11884401241831956</v>
      </c>
      <c r="X29" s="7">
        <f t="shared" si="16"/>
        <v>0.12107857587691949</v>
      </c>
      <c r="Y29" s="7">
        <f t="shared" ref="Y29:Y36" si="17">SUM(F29:K29)/SUM(F$38:K$38)</f>
        <v>0.11472519253942938</v>
      </c>
      <c r="Z29" s="189"/>
    </row>
    <row r="30" spans="1:26">
      <c r="A30" s="1" t="s">
        <v>28</v>
      </c>
      <c r="B30" s="11"/>
      <c r="C30" s="11"/>
      <c r="D30" s="11">
        <v>377.2</v>
      </c>
      <c r="E30" s="11">
        <v>377.2</v>
      </c>
      <c r="F30" s="11">
        <v>377.2</v>
      </c>
      <c r="G30" s="11">
        <v>377.2</v>
      </c>
      <c r="H30" s="11">
        <v>377.2</v>
      </c>
      <c r="I30" s="11">
        <v>377.2</v>
      </c>
      <c r="J30" s="11">
        <v>377.17200000000003</v>
      </c>
      <c r="K30" s="11">
        <v>377.17200000000003</v>
      </c>
      <c r="L30" s="7">
        <f t="shared" si="15"/>
        <v>-1.4846676259807261E-5</v>
      </c>
      <c r="M30" s="1"/>
      <c r="N30" s="1" t="str">
        <f>A30</f>
        <v>Intangible Assets-net</v>
      </c>
      <c r="O30" s="7" t="e">
        <f t="shared" si="16"/>
        <v>#DIV/0!</v>
      </c>
      <c r="P30" s="7" t="e">
        <f t="shared" si="16"/>
        <v>#DIV/0!</v>
      </c>
      <c r="Q30" s="7">
        <f t="shared" si="16"/>
        <v>1.3222375680924303E-2</v>
      </c>
      <c r="R30" s="7">
        <f t="shared" si="16"/>
        <v>1.332353730731735E-2</v>
      </c>
      <c r="S30" s="7">
        <f t="shared" si="16"/>
        <v>1.222385336561053E-2</v>
      </c>
      <c r="T30" s="7">
        <f t="shared" si="16"/>
        <v>1.2135367905619525E-2</v>
      </c>
      <c r="U30" s="7">
        <f t="shared" si="16"/>
        <v>1.121184198793211E-2</v>
      </c>
      <c r="V30" s="7">
        <f t="shared" si="16"/>
        <v>1.0301282471433876E-2</v>
      </c>
      <c r="W30" s="7">
        <f t="shared" si="16"/>
        <v>1.0041338135855974E-2</v>
      </c>
      <c r="X30" s="7">
        <f t="shared" si="16"/>
        <v>9.749747888785066E-3</v>
      </c>
      <c r="Y30" s="7">
        <f t="shared" si="17"/>
        <v>1.0857144924125092E-2</v>
      </c>
      <c r="Z30" s="189"/>
    </row>
    <row r="31" spans="1:26">
      <c r="A31" s="1" t="s">
        <v>29</v>
      </c>
      <c r="B31" s="11"/>
      <c r="C31" s="11"/>
      <c r="D31" s="11">
        <v>2278.3000000000002</v>
      </c>
      <c r="E31" s="11">
        <v>2453.4</v>
      </c>
      <c r="F31" s="11">
        <v>2606.8000000000002</v>
      </c>
      <c r="G31" s="11">
        <v>2858.5</v>
      </c>
      <c r="H31" s="11">
        <v>3307.6</v>
      </c>
      <c r="I31" s="11">
        <v>2832.2</v>
      </c>
      <c r="J31" s="11">
        <v>3618.7</v>
      </c>
      <c r="K31" s="11">
        <v>4300.2060000000001</v>
      </c>
      <c r="L31" s="7">
        <f t="shared" si="15"/>
        <v>0.10529017533676346</v>
      </c>
      <c r="M31" s="1"/>
      <c r="N31" s="1" t="str">
        <f t="shared" ref="N31:N36" si="18">A31</f>
        <v>Finance Assets</v>
      </c>
      <c r="O31" s="7" t="e">
        <f t="shared" si="16"/>
        <v>#DIV/0!</v>
      </c>
      <c r="P31" s="7" t="e">
        <f t="shared" si="16"/>
        <v>#DIV/0!</v>
      </c>
      <c r="Q31" s="7">
        <f t="shared" si="16"/>
        <v>7.9863569761001701E-2</v>
      </c>
      <c r="R31" s="7">
        <f t="shared" si="16"/>
        <v>8.6659508032270391E-2</v>
      </c>
      <c r="S31" s="7">
        <f t="shared" si="16"/>
        <v>8.4478104330523676E-2</v>
      </c>
      <c r="T31" s="7">
        <f t="shared" si="16"/>
        <v>9.1964340292188265E-2</v>
      </c>
      <c r="U31" s="7">
        <f t="shared" si="16"/>
        <v>9.8314656837975203E-2</v>
      </c>
      <c r="V31" s="7">
        <f t="shared" si="16"/>
        <v>7.7347010115575349E-2</v>
      </c>
      <c r="W31" s="7">
        <f t="shared" si="16"/>
        <v>9.6339575345524078E-2</v>
      </c>
      <c r="X31" s="7">
        <f t="shared" si="16"/>
        <v>0.11115863417708864</v>
      </c>
      <c r="Y31" s="7">
        <f t="shared" si="17"/>
        <v>9.3663930638743204E-2</v>
      </c>
      <c r="Z31" s="189"/>
    </row>
    <row r="32" spans="1:26">
      <c r="A32" s="1" t="s">
        <v>30</v>
      </c>
      <c r="B32" s="11"/>
      <c r="C32" s="11"/>
      <c r="D32" s="11">
        <v>1315.7</v>
      </c>
      <c r="E32" s="11">
        <v>451.5</v>
      </c>
      <c r="F32" s="11">
        <v>525.6</v>
      </c>
      <c r="G32" s="11">
        <v>441.8</v>
      </c>
      <c r="H32" s="11">
        <f>79+220.2</f>
        <v>299.2</v>
      </c>
      <c r="I32" s="11">
        <f>66.2+231.1</f>
        <v>297.3</v>
      </c>
      <c r="J32" s="11">
        <f>37561.953-37389.8</f>
        <v>172.15299999999843</v>
      </c>
      <c r="K32" s="11">
        <f>38685.276-38458.5</f>
        <v>226.77599999999802</v>
      </c>
      <c r="L32" s="7">
        <f t="shared" si="15"/>
        <v>-0.15474383540837719</v>
      </c>
      <c r="M32" s="1"/>
      <c r="N32" s="1" t="str">
        <f t="shared" si="18"/>
        <v xml:space="preserve">Investments </v>
      </c>
      <c r="O32" s="7" t="e">
        <f t="shared" si="16"/>
        <v>#DIV/0!</v>
      </c>
      <c r="P32" s="7" t="e">
        <f t="shared" si="16"/>
        <v>#DIV/0!</v>
      </c>
      <c r="Q32" s="7">
        <f t="shared" si="16"/>
        <v>4.6120571801145566E-2</v>
      </c>
      <c r="R32" s="7">
        <f t="shared" si="16"/>
        <v>1.5947977450301656E-2</v>
      </c>
      <c r="S32" s="7">
        <f t="shared" si="16"/>
        <v>1.7033025792589859E-2</v>
      </c>
      <c r="T32" s="7">
        <f t="shared" si="16"/>
        <v>1.4213694434524672E-2</v>
      </c>
      <c r="U32" s="7">
        <f t="shared" si="16"/>
        <v>8.8933804951995959E-3</v>
      </c>
      <c r="V32" s="7">
        <f t="shared" si="16"/>
        <v>8.1192239627711875E-3</v>
      </c>
      <c r="W32" s="7">
        <f t="shared" si="16"/>
        <v>4.58317818953156E-3</v>
      </c>
      <c r="X32" s="7">
        <f t="shared" si="16"/>
        <v>5.8620704273570226E-3</v>
      </c>
      <c r="Y32" s="7">
        <f t="shared" si="17"/>
        <v>9.4164219838753036E-3</v>
      </c>
      <c r="Z32" s="189"/>
    </row>
    <row r="33" spans="1:26">
      <c r="A33" s="1" t="s">
        <v>31</v>
      </c>
      <c r="B33" s="11"/>
      <c r="C33" s="11"/>
      <c r="D33" s="11">
        <v>1109.3</v>
      </c>
      <c r="E33" s="11">
        <v>1049.3</v>
      </c>
      <c r="F33" s="11">
        <v>1099</v>
      </c>
      <c r="G33" s="11">
        <v>965.1</v>
      </c>
      <c r="H33" s="11">
        <f>82.6+908.6</f>
        <v>991.2</v>
      </c>
      <c r="I33" s="11">
        <f>107.9+1047.8</f>
        <v>1155.7</v>
      </c>
      <c r="J33" s="11">
        <v>1006.306</v>
      </c>
      <c r="K33" s="11">
        <v>909.77300000000002</v>
      </c>
      <c r="L33" s="7">
        <f t="shared" si="15"/>
        <v>-3.7086955097104218E-2</v>
      </c>
      <c r="M33" s="1"/>
      <c r="N33" s="1" t="str">
        <f t="shared" si="18"/>
        <v>Deferred Charges and Other</v>
      </c>
      <c r="O33" s="7" t="e">
        <f t="shared" si="16"/>
        <v>#DIV/0!</v>
      </c>
      <c r="P33" s="7" t="e">
        <f t="shared" si="16"/>
        <v>#DIV/0!</v>
      </c>
      <c r="Q33" s="7">
        <f t="shared" si="16"/>
        <v>3.8885422435973829E-2</v>
      </c>
      <c r="R33" s="7">
        <f t="shared" si="16"/>
        <v>3.7063594105429733E-2</v>
      </c>
      <c r="S33" s="7">
        <f t="shared" si="16"/>
        <v>3.5615097690365777E-2</v>
      </c>
      <c r="T33" s="7">
        <f t="shared" si="16"/>
        <v>3.1049426208147945E-2</v>
      </c>
      <c r="U33" s="7">
        <f t="shared" si="16"/>
        <v>2.9462295276877805E-2</v>
      </c>
      <c r="V33" s="7">
        <f t="shared" si="16"/>
        <v>3.1562015249830676E-2</v>
      </c>
      <c r="W33" s="7">
        <f t="shared" si="16"/>
        <v>2.6790585764957846E-2</v>
      </c>
      <c r="X33" s="7">
        <f t="shared" si="16"/>
        <v>2.3517274309926655E-2</v>
      </c>
      <c r="Y33" s="7">
        <f t="shared" si="17"/>
        <v>2.9393880665376772E-2</v>
      </c>
      <c r="Z33" s="189"/>
    </row>
    <row r="34" spans="1:26">
      <c r="A34" s="1" t="s">
        <v>32</v>
      </c>
      <c r="B34" s="11">
        <f t="shared" ref="B34:I34" si="19">SUM(B29:B33)</f>
        <v>0</v>
      </c>
      <c r="C34" s="11">
        <f t="shared" si="19"/>
        <v>0</v>
      </c>
      <c r="D34" s="11">
        <f t="shared" si="19"/>
        <v>7309.4</v>
      </c>
      <c r="E34" s="11">
        <f t="shared" si="19"/>
        <v>6507.0999999999995</v>
      </c>
      <c r="F34" s="11">
        <f t="shared" si="19"/>
        <v>7598</v>
      </c>
      <c r="G34" s="11">
        <f t="shared" si="19"/>
        <v>8319.1999999999989</v>
      </c>
      <c r="H34" s="11">
        <f t="shared" si="19"/>
        <v>8710.5</v>
      </c>
      <c r="I34" s="11">
        <f t="shared" si="19"/>
        <v>9027.2999999999993</v>
      </c>
      <c r="J34" s="11">
        <f>SUM(J29:J33)</f>
        <v>9638.3410000000003</v>
      </c>
      <c r="K34" s="11">
        <f>SUM(K29:K33)</f>
        <v>10497.888999999997</v>
      </c>
      <c r="L34" s="7">
        <f t="shared" si="15"/>
        <v>6.6793933752414728E-2</v>
      </c>
      <c r="M34" s="1"/>
      <c r="N34" s="1" t="str">
        <f t="shared" si="18"/>
        <v>Total Other Assets</v>
      </c>
      <c r="O34" s="7" t="e">
        <f t="shared" si="16"/>
        <v>#DIV/0!</v>
      </c>
      <c r="P34" s="7" t="e">
        <f t="shared" si="16"/>
        <v>#DIV/0!</v>
      </c>
      <c r="Q34" s="7">
        <f t="shared" si="16"/>
        <v>0.25622384093888678</v>
      </c>
      <c r="R34" s="7">
        <f t="shared" si="16"/>
        <v>0.2298451474349012</v>
      </c>
      <c r="S34" s="7">
        <f t="shared" si="16"/>
        <v>0.24622703571555887</v>
      </c>
      <c r="T34" s="7">
        <f t="shared" si="16"/>
        <v>0.26764727645925224</v>
      </c>
      <c r="U34" s="7">
        <f t="shared" si="16"/>
        <v>0.25890972862110989</v>
      </c>
      <c r="V34" s="7">
        <f t="shared" si="16"/>
        <v>0.24653437766271216</v>
      </c>
      <c r="W34" s="7">
        <f t="shared" si="16"/>
        <v>0.25659868985418904</v>
      </c>
      <c r="X34" s="7">
        <f t="shared" si="16"/>
        <v>0.27136630268007683</v>
      </c>
      <c r="Y34" s="7">
        <f t="shared" si="17"/>
        <v>0.25805657075154975</v>
      </c>
      <c r="Z34" s="189"/>
    </row>
    <row r="35" spans="1:26">
      <c r="A35" s="1" t="s">
        <v>33</v>
      </c>
      <c r="B35" s="11">
        <f t="shared" ref="B35:I35" si="20">B26+B34</f>
        <v>0</v>
      </c>
      <c r="C35" s="11">
        <f t="shared" si="20"/>
        <v>0</v>
      </c>
      <c r="D35" s="11">
        <f t="shared" si="20"/>
        <v>25608.200000000004</v>
      </c>
      <c r="E35" s="11">
        <f t="shared" si="20"/>
        <v>25202.699999999997</v>
      </c>
      <c r="F35" s="11">
        <f t="shared" si="20"/>
        <v>26794.999999999996</v>
      </c>
      <c r="G35" s="11">
        <f t="shared" si="20"/>
        <v>27757.299999999996</v>
      </c>
      <c r="H35" s="11">
        <f t="shared" si="20"/>
        <v>29684.800000000003</v>
      </c>
      <c r="I35" s="11">
        <f t="shared" si="20"/>
        <v>31456.399999999998</v>
      </c>
      <c r="J35" s="11">
        <f>J26+J34</f>
        <v>33027.729999999996</v>
      </c>
      <c r="K35" s="11">
        <f>K26+K34</f>
        <v>34346.243000000002</v>
      </c>
      <c r="L35" s="7">
        <f t="shared" si="15"/>
        <v>5.0908961315251682E-2</v>
      </c>
      <c r="M35" s="1"/>
      <c r="N35" s="1" t="str">
        <f t="shared" si="18"/>
        <v>Total Non-Current Assets</v>
      </c>
      <c r="O35" s="7" t="e">
        <f t="shared" si="16"/>
        <v>#DIV/0!</v>
      </c>
      <c r="P35" s="7" t="e">
        <f t="shared" si="16"/>
        <v>#DIV/0!</v>
      </c>
      <c r="Q35" s="7">
        <f t="shared" si="16"/>
        <v>0.89767030994762942</v>
      </c>
      <c r="R35" s="7">
        <f t="shared" si="16"/>
        <v>0.89021504160956244</v>
      </c>
      <c r="S35" s="7">
        <f t="shared" si="16"/>
        <v>0.86834080310586981</v>
      </c>
      <c r="T35" s="7">
        <f t="shared" si="16"/>
        <v>0.89301444211731917</v>
      </c>
      <c r="U35" s="7">
        <f t="shared" si="16"/>
        <v>0.88234699640341241</v>
      </c>
      <c r="V35" s="7">
        <f t="shared" si="16"/>
        <v>0.85907015359070138</v>
      </c>
      <c r="W35" s="7">
        <f t="shared" si="16"/>
        <v>0.87928744654893354</v>
      </c>
      <c r="X35" s="7">
        <f t="shared" si="16"/>
        <v>0.88783687595301053</v>
      </c>
      <c r="Y35" s="7">
        <f t="shared" si="17"/>
        <v>0.87824287153374114</v>
      </c>
      <c r="Z35" s="189"/>
    </row>
    <row r="36" spans="1:26">
      <c r="A36" s="1" t="s">
        <v>34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1"/>
      <c r="N36" s="1" t="str">
        <f t="shared" si="18"/>
        <v xml:space="preserve"> Electric Assets</v>
      </c>
      <c r="O36" s="7" t="e">
        <f>B36/B$38</f>
        <v>#DIV/0!</v>
      </c>
      <c r="P36" s="7" t="e">
        <f t="shared" si="16"/>
        <v>#DIV/0!</v>
      </c>
      <c r="Q36" s="7">
        <f t="shared" si="16"/>
        <v>0</v>
      </c>
      <c r="R36" s="7">
        <f t="shared" si="16"/>
        <v>0</v>
      </c>
      <c r="S36" s="7">
        <f t="shared" si="16"/>
        <v>0</v>
      </c>
      <c r="T36" s="7">
        <f t="shared" si="16"/>
        <v>0</v>
      </c>
      <c r="U36" s="7">
        <f t="shared" si="16"/>
        <v>0</v>
      </c>
      <c r="V36" s="7">
        <f t="shared" si="16"/>
        <v>0</v>
      </c>
      <c r="W36" s="7">
        <f t="shared" si="16"/>
        <v>0</v>
      </c>
      <c r="X36" s="7">
        <f t="shared" si="16"/>
        <v>0</v>
      </c>
      <c r="Y36" s="7">
        <f t="shared" si="17"/>
        <v>0</v>
      </c>
      <c r="Z36" s="189"/>
    </row>
    <row r="37" spans="1:26">
      <c r="A37" s="1" t="s">
        <v>35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89"/>
    </row>
    <row r="38" spans="1:26">
      <c r="A38" s="1" t="s">
        <v>36</v>
      </c>
      <c r="B38" s="11">
        <f t="shared" ref="B38:J38" si="21">B15+B26+B34</f>
        <v>0</v>
      </c>
      <c r="C38" s="11">
        <f t="shared" si="21"/>
        <v>0</v>
      </c>
      <c r="D38" s="11">
        <f>D15+D26+D34</f>
        <v>28527.4</v>
      </c>
      <c r="E38" s="11">
        <f t="shared" si="21"/>
        <v>28310.799999999996</v>
      </c>
      <c r="F38" s="11">
        <f t="shared" si="21"/>
        <v>30857.699999999997</v>
      </c>
      <c r="G38" s="11">
        <f t="shared" si="21"/>
        <v>31082.699999999997</v>
      </c>
      <c r="H38" s="11">
        <f t="shared" si="21"/>
        <v>33643</v>
      </c>
      <c r="I38" s="11">
        <f t="shared" si="21"/>
        <v>36616.800000000003</v>
      </c>
      <c r="J38" s="11">
        <f t="shared" si="21"/>
        <v>37561.925999999999</v>
      </c>
      <c r="K38" s="11">
        <f t="shared" ref="K38" si="22">K15+K26+K34</f>
        <v>38685.307999999997</v>
      </c>
      <c r="L38" s="7">
        <f t="shared" si="15"/>
        <v>4.6252482039199669E-2</v>
      </c>
      <c r="M38" s="1"/>
      <c r="N38" s="1" t="s">
        <v>36</v>
      </c>
      <c r="O38" s="7" t="e">
        <f t="shared" ref="O38:X38" si="23">B38/B$38</f>
        <v>#DIV/0!</v>
      </c>
      <c r="P38" s="7" t="e">
        <f t="shared" si="23"/>
        <v>#DIV/0!</v>
      </c>
      <c r="Q38" s="7">
        <f t="shared" si="23"/>
        <v>1</v>
      </c>
      <c r="R38" s="7">
        <f t="shared" si="23"/>
        <v>1</v>
      </c>
      <c r="S38" s="7">
        <f t="shared" si="23"/>
        <v>1</v>
      </c>
      <c r="T38" s="7">
        <f t="shared" si="23"/>
        <v>1</v>
      </c>
      <c r="U38" s="7">
        <f t="shared" si="23"/>
        <v>1</v>
      </c>
      <c r="V38" s="7">
        <f t="shared" si="23"/>
        <v>1</v>
      </c>
      <c r="W38" s="7">
        <f t="shared" si="23"/>
        <v>1</v>
      </c>
      <c r="X38" s="7">
        <f t="shared" si="23"/>
        <v>1</v>
      </c>
      <c r="Y38" s="7">
        <f>SUM(F38:K38)/SUM(F$38:K$38)</f>
        <v>1</v>
      </c>
      <c r="Z38" s="189"/>
    </row>
    <row r="39" spans="1:26">
      <c r="A39" s="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1"/>
      <c r="C42" s="11"/>
      <c r="D42" s="11">
        <v>524.4</v>
      </c>
      <c r="E42" s="11">
        <v>492.6</v>
      </c>
      <c r="F42" s="11">
        <v>103.5</v>
      </c>
      <c r="G42" s="11">
        <v>181.6</v>
      </c>
      <c r="H42" s="11">
        <v>996.8</v>
      </c>
      <c r="I42" s="11">
        <v>544.5</v>
      </c>
      <c r="J42" s="11">
        <v>711.95699999999999</v>
      </c>
      <c r="K42" s="11">
        <v>299.548</v>
      </c>
      <c r="L42" s="7">
        <f t="shared" ref="L42:L48" si="24">RATE(5,,-F42,K42)</f>
        <v>0.23681634191296191</v>
      </c>
      <c r="M42" s="1"/>
      <c r="N42" s="1" t="str">
        <f t="shared" ref="N42:N47" si="25">A42</f>
        <v>Current Maturities LTD</v>
      </c>
      <c r="O42" s="7" t="e">
        <f t="shared" ref="O42:X48" si="26">B42/B$38</f>
        <v>#DIV/0!</v>
      </c>
      <c r="P42" s="7" t="e">
        <f t="shared" si="26"/>
        <v>#DIV/0!</v>
      </c>
      <c r="Q42" s="7">
        <f t="shared" si="26"/>
        <v>1.8382327166163056E-2</v>
      </c>
      <c r="R42" s="7">
        <f t="shared" si="26"/>
        <v>1.7399720248103202E-2</v>
      </c>
      <c r="S42" s="7">
        <f t="shared" si="26"/>
        <v>3.3541061064175232E-3</v>
      </c>
      <c r="T42" s="7">
        <f t="shared" si="26"/>
        <v>5.8424782917828894E-3</v>
      </c>
      <c r="U42" s="7">
        <f t="shared" si="26"/>
        <v>2.9628748922509881E-2</v>
      </c>
      <c r="V42" s="7">
        <f t="shared" si="26"/>
        <v>1.4870223503965392E-2</v>
      </c>
      <c r="W42" s="7">
        <f t="shared" si="26"/>
        <v>1.8954219759657692E-2</v>
      </c>
      <c r="X42" s="7">
        <f t="shared" si="26"/>
        <v>7.7431980120204816E-3</v>
      </c>
      <c r="Y42" s="7">
        <f t="shared" ref="Y42:Y48" si="27">SUM(F42:K42)/SUM(F$38:K$38)</f>
        <v>1.3614487573879177E-2</v>
      </c>
      <c r="Z42" s="189"/>
    </row>
    <row r="43" spans="1:26">
      <c r="A43" s="1" t="s">
        <v>39</v>
      </c>
      <c r="B43" s="11"/>
      <c r="C43" s="11"/>
      <c r="D43" s="11">
        <v>0</v>
      </c>
      <c r="E43" s="11">
        <v>0</v>
      </c>
      <c r="F43" s="11">
        <v>40</v>
      </c>
      <c r="G43" s="11">
        <v>25</v>
      </c>
      <c r="H43" s="11">
        <v>25</v>
      </c>
      <c r="I43" s="11">
        <v>55</v>
      </c>
      <c r="J43" s="11">
        <v>30.030999999999999</v>
      </c>
      <c r="K43" s="11">
        <v>154.13499999999999</v>
      </c>
      <c r="L43" s="7">
        <f t="shared" si="24"/>
        <v>0.30968922668794879</v>
      </c>
      <c r="M43" s="1"/>
      <c r="N43" s="1" t="str">
        <f t="shared" si="25"/>
        <v>Notes Payable and Commercial Paper</v>
      </c>
      <c r="O43" s="7" t="e">
        <f t="shared" si="26"/>
        <v>#DIV/0!</v>
      </c>
      <c r="P43" s="7" t="e">
        <f t="shared" si="26"/>
        <v>#DIV/0!</v>
      </c>
      <c r="Q43" s="7">
        <f t="shared" si="26"/>
        <v>0</v>
      </c>
      <c r="R43" s="7">
        <f t="shared" si="26"/>
        <v>0</v>
      </c>
      <c r="S43" s="7">
        <f t="shared" si="26"/>
        <v>1.2962728913690912E-3</v>
      </c>
      <c r="T43" s="7">
        <f t="shared" si="26"/>
        <v>8.0430593223883393E-4</v>
      </c>
      <c r="U43" s="7">
        <f t="shared" si="26"/>
        <v>7.4309663228606243E-4</v>
      </c>
      <c r="V43" s="7">
        <f t="shared" si="26"/>
        <v>1.5020427781783224E-3</v>
      </c>
      <c r="W43" s="7">
        <f t="shared" si="26"/>
        <v>7.9950639378822052E-4</v>
      </c>
      <c r="X43" s="7">
        <f t="shared" si="26"/>
        <v>3.9843291411819706E-3</v>
      </c>
      <c r="Y43" s="7">
        <f t="shared" si="27"/>
        <v>1.5791319359680868E-3</v>
      </c>
      <c r="Z43" s="189"/>
    </row>
    <row r="44" spans="1:26">
      <c r="A44" s="1" t="s">
        <v>40</v>
      </c>
      <c r="B44" s="11"/>
      <c r="C44" s="11"/>
      <c r="D44" s="11">
        <v>796.6</v>
      </c>
      <c r="E44" s="11">
        <v>896.5</v>
      </c>
      <c r="F44" s="11">
        <v>1655.8</v>
      </c>
      <c r="G44" s="11">
        <v>1122.5999999999999</v>
      </c>
      <c r="H44" s="11">
        <v>1031.3</v>
      </c>
      <c r="I44" s="11">
        <v>1475.7</v>
      </c>
      <c r="J44" s="11">
        <f>998.228+323.342</f>
        <v>1321.57</v>
      </c>
      <c r="K44" s="11">
        <f>1181.099+335.058</f>
        <v>1516.1569999999999</v>
      </c>
      <c r="L44" s="7">
        <f t="shared" si="24"/>
        <v>-1.7466742925448819E-2</v>
      </c>
      <c r="M44" s="1"/>
      <c r="N44" s="1" t="str">
        <f t="shared" si="25"/>
        <v>Accounts Payable</v>
      </c>
      <c r="O44" s="7" t="e">
        <f t="shared" si="26"/>
        <v>#DIV/0!</v>
      </c>
      <c r="P44" s="7" t="e">
        <f t="shared" si="26"/>
        <v>#DIV/0!</v>
      </c>
      <c r="Q44" s="7">
        <f t="shared" si="26"/>
        <v>2.7924030931665695E-2</v>
      </c>
      <c r="R44" s="7">
        <f t="shared" si="26"/>
        <v>3.1666360540853672E-2</v>
      </c>
      <c r="S44" s="7">
        <f t="shared" si="26"/>
        <v>5.3659216338223528E-2</v>
      </c>
      <c r="T44" s="7">
        <f t="shared" si="26"/>
        <v>3.6116553581252597E-2</v>
      </c>
      <c r="U44" s="7">
        <f t="shared" si="26"/>
        <v>3.0654222275064646E-2</v>
      </c>
      <c r="V44" s="7">
        <f t="shared" si="26"/>
        <v>4.03011732319591E-2</v>
      </c>
      <c r="W44" s="7">
        <f t="shared" si="26"/>
        <v>3.5183765603499673E-2</v>
      </c>
      <c r="X44" s="7">
        <f t="shared" si="26"/>
        <v>3.9192062268187187E-2</v>
      </c>
      <c r="Y44" s="7">
        <f t="shared" si="27"/>
        <v>3.8969666568310933E-2</v>
      </c>
      <c r="Z44" s="189"/>
    </row>
    <row r="45" spans="1:26">
      <c r="A45" s="1" t="s">
        <v>41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7"/>
      <c r="M45" s="1"/>
      <c r="N45" s="1" t="str">
        <f t="shared" si="25"/>
        <v>Payable to Affiliates</v>
      </c>
      <c r="O45" s="7" t="e">
        <f t="shared" si="26"/>
        <v>#DIV/0!</v>
      </c>
      <c r="P45" s="7" t="e">
        <f t="shared" si="26"/>
        <v>#DIV/0!</v>
      </c>
      <c r="Q45" s="7">
        <f t="shared" si="26"/>
        <v>0</v>
      </c>
      <c r="R45" s="7">
        <f t="shared" si="26"/>
        <v>0</v>
      </c>
      <c r="S45" s="7">
        <f t="shared" si="26"/>
        <v>0</v>
      </c>
      <c r="T45" s="7">
        <f t="shared" si="26"/>
        <v>0</v>
      </c>
      <c r="U45" s="7">
        <f t="shared" si="26"/>
        <v>0</v>
      </c>
      <c r="V45" s="7">
        <f t="shared" si="26"/>
        <v>0</v>
      </c>
      <c r="W45" s="7">
        <f t="shared" si="26"/>
        <v>0</v>
      </c>
      <c r="X45" s="7">
        <f t="shared" si="26"/>
        <v>0</v>
      </c>
      <c r="Y45" s="7">
        <f t="shared" si="27"/>
        <v>0</v>
      </c>
      <c r="Z45" s="189"/>
    </row>
    <row r="46" spans="1:26">
      <c r="A46" s="1" t="s">
        <v>42</v>
      </c>
      <c r="B46" s="11"/>
      <c r="C46" s="11"/>
      <c r="D46" s="11">
        <v>755.7</v>
      </c>
      <c r="E46" s="11">
        <v>724.9</v>
      </c>
      <c r="F46" s="11">
        <v>839.6</v>
      </c>
      <c r="G46" s="11">
        <v>864.4</v>
      </c>
      <c r="H46" s="11">
        <f>3256.8-H42-H43-H44-H47</f>
        <v>989.5</v>
      </c>
      <c r="I46" s="11">
        <f>3765.9-I42-I43-I44-I47</f>
        <v>1417.4</v>
      </c>
      <c r="J46" s="11">
        <f>3193.997-2278.8</f>
        <v>915.19699999999966</v>
      </c>
      <c r="K46" s="11">
        <f>2776.249-2247.4</f>
        <v>528.84899999999971</v>
      </c>
      <c r="L46" s="7">
        <f t="shared" si="24"/>
        <v>-8.8300216822864777E-2</v>
      </c>
      <c r="M46" s="1"/>
      <c r="N46" s="1" t="str">
        <f t="shared" si="25"/>
        <v>Other Payables and Accrued Expenses</v>
      </c>
      <c r="O46" s="7" t="e">
        <f t="shared" si="26"/>
        <v>#DIV/0!</v>
      </c>
      <c r="P46" s="7" t="e">
        <f t="shared" si="26"/>
        <v>#DIV/0!</v>
      </c>
      <c r="Q46" s="7">
        <f t="shared" si="26"/>
        <v>2.6490321585563352E-2</v>
      </c>
      <c r="R46" s="7">
        <f t="shared" si="26"/>
        <v>2.5605069443463274E-2</v>
      </c>
      <c r="S46" s="7">
        <f t="shared" si="26"/>
        <v>2.7208767989837224E-2</v>
      </c>
      <c r="T46" s="7">
        <f t="shared" si="26"/>
        <v>2.7809681913089919E-2</v>
      </c>
      <c r="U46" s="7">
        <f t="shared" si="26"/>
        <v>2.9411764705882353E-2</v>
      </c>
      <c r="V46" s="7">
        <f t="shared" si="26"/>
        <v>3.8709007887090079E-2</v>
      </c>
      <c r="W46" s="7">
        <f t="shared" si="26"/>
        <v>2.4365017917345338E-2</v>
      </c>
      <c r="X46" s="7">
        <f t="shared" si="26"/>
        <v>1.367053869649945E-2</v>
      </c>
      <c r="Y46" s="7">
        <f t="shared" si="27"/>
        <v>2.6649145510709429E-2</v>
      </c>
      <c r="Z46" s="189"/>
    </row>
    <row r="47" spans="1:26">
      <c r="A47" s="1" t="s">
        <v>43</v>
      </c>
      <c r="B47" s="11"/>
      <c r="C47" s="11"/>
      <c r="D47" s="11">
        <v>145.4</v>
      </c>
      <c r="E47" s="11">
        <v>218.4</v>
      </c>
      <c r="F47" s="11">
        <v>473.5</v>
      </c>
      <c r="G47" s="11">
        <v>271.5</v>
      </c>
      <c r="H47" s="11">
        <v>214.2</v>
      </c>
      <c r="I47" s="11">
        <v>273.3</v>
      </c>
      <c r="J47" s="11">
        <v>215.202</v>
      </c>
      <c r="K47" s="11">
        <v>277.59800000000001</v>
      </c>
      <c r="L47" s="7">
        <f t="shared" si="24"/>
        <v>-0.10129062957315965</v>
      </c>
      <c r="M47" s="1"/>
      <c r="N47" s="1" t="str">
        <f t="shared" si="25"/>
        <v xml:space="preserve">Other </v>
      </c>
      <c r="O47" s="7" t="e">
        <f t="shared" si="26"/>
        <v>#DIV/0!</v>
      </c>
      <c r="P47" s="7" t="e">
        <f t="shared" si="26"/>
        <v>#DIV/0!</v>
      </c>
      <c r="Q47" s="7">
        <f t="shared" si="26"/>
        <v>5.0968542524029532E-3</v>
      </c>
      <c r="R47" s="7">
        <f t="shared" si="26"/>
        <v>7.7143704875877774E-3</v>
      </c>
      <c r="S47" s="7">
        <f t="shared" si="26"/>
        <v>1.5344630351581616E-2</v>
      </c>
      <c r="T47" s="7">
        <f t="shared" si="26"/>
        <v>8.7347624241137355E-3</v>
      </c>
      <c r="U47" s="7">
        <f t="shared" si="26"/>
        <v>6.366851945426983E-3</v>
      </c>
      <c r="V47" s="7">
        <f t="shared" si="26"/>
        <v>7.4637871141115548E-3</v>
      </c>
      <c r="W47" s="7">
        <f t="shared" si="26"/>
        <v>5.7292589309717503E-3</v>
      </c>
      <c r="X47" s="7">
        <f t="shared" si="26"/>
        <v>7.1757991431785949E-3</v>
      </c>
      <c r="Y47" s="7">
        <f t="shared" si="27"/>
        <v>8.2769068771554166E-3</v>
      </c>
      <c r="Z47" s="189"/>
    </row>
    <row r="48" spans="1:26">
      <c r="A48" s="1" t="s">
        <v>44</v>
      </c>
      <c r="B48" s="11">
        <f t="shared" ref="B48:D48" si="28">SUM(B42:B47)</f>
        <v>0</v>
      </c>
      <c r="C48" s="11">
        <f t="shared" si="28"/>
        <v>0</v>
      </c>
      <c r="D48" s="11">
        <f t="shared" si="28"/>
        <v>2222.1</v>
      </c>
      <c r="E48" s="11">
        <f>SUM(E42:E47)</f>
        <v>2332.4</v>
      </c>
      <c r="F48" s="11">
        <f t="shared" ref="F48:J48" si="29">SUM(F42:F47)</f>
        <v>3112.4</v>
      </c>
      <c r="G48" s="11">
        <f t="shared" si="29"/>
        <v>2465.1</v>
      </c>
      <c r="H48" s="11">
        <f t="shared" si="29"/>
        <v>3256.7999999999997</v>
      </c>
      <c r="I48" s="11">
        <f t="shared" si="29"/>
        <v>3765.9</v>
      </c>
      <c r="J48" s="11">
        <f t="shared" si="29"/>
        <v>3193.9569999999994</v>
      </c>
      <c r="K48" s="11">
        <f t="shared" ref="K48" si="30">SUM(K42:K47)</f>
        <v>2776.2869999999994</v>
      </c>
      <c r="L48" s="7">
        <f t="shared" si="24"/>
        <v>-2.2596723468696824E-2</v>
      </c>
      <c r="M48" s="1"/>
      <c r="N48" s="1" t="s">
        <v>44</v>
      </c>
      <c r="O48" s="7" t="e">
        <f t="shared" si="26"/>
        <v>#DIV/0!</v>
      </c>
      <c r="P48" s="7" t="e">
        <f t="shared" si="26"/>
        <v>#DIV/0!</v>
      </c>
      <c r="Q48" s="7">
        <f t="shared" si="26"/>
        <v>7.7893533935795053E-2</v>
      </c>
      <c r="R48" s="7">
        <f t="shared" si="26"/>
        <v>8.2385520720007932E-2</v>
      </c>
      <c r="S48" s="7">
        <f t="shared" si="26"/>
        <v>0.10086299367742899</v>
      </c>
      <c r="T48" s="7">
        <f t="shared" si="26"/>
        <v>7.9307782142477981E-2</v>
      </c>
      <c r="U48" s="7">
        <f t="shared" si="26"/>
        <v>9.6804684481169925E-2</v>
      </c>
      <c r="V48" s="7">
        <f t="shared" si="26"/>
        <v>0.10284623451530445</v>
      </c>
      <c r="W48" s="7">
        <f t="shared" si="26"/>
        <v>8.5031768605262667E-2</v>
      </c>
      <c r="X48" s="7">
        <f t="shared" si="26"/>
        <v>7.1765927261067675E-2</v>
      </c>
      <c r="Y48" s="7">
        <f t="shared" si="27"/>
        <v>8.9089338466023044E-2</v>
      </c>
      <c r="Z48" s="189"/>
    </row>
    <row r="49" spans="1:26">
      <c r="A49" s="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1"/>
      <c r="C50" s="11"/>
      <c r="D50" s="11">
        <v>7322.9</v>
      </c>
      <c r="E50" s="11">
        <v>7016.8</v>
      </c>
      <c r="F50" s="11">
        <v>8824.5</v>
      </c>
      <c r="G50" s="11">
        <v>8798.1</v>
      </c>
      <c r="H50" s="11">
        <v>9728.1</v>
      </c>
      <c r="I50" s="11">
        <v>11174.3</v>
      </c>
      <c r="J50" s="11">
        <v>10705.737999999999</v>
      </c>
      <c r="K50" s="11">
        <v>11317.156999999999</v>
      </c>
      <c r="L50" s="7">
        <f t="shared" ref="L50:L53" si="31">RATE(5,,-F50,K50)</f>
        <v>5.101628838918696E-2</v>
      </c>
      <c r="M50" s="1"/>
      <c r="N50" s="1" t="str">
        <f>A50</f>
        <v>Long-Term Debt</v>
      </c>
      <c r="O50" s="7" t="e">
        <f t="shared" ref="O50:X53" si="32">B50/B$38</f>
        <v>#DIV/0!</v>
      </c>
      <c r="P50" s="7" t="e">
        <f t="shared" si="32"/>
        <v>#DIV/0!</v>
      </c>
      <c r="Q50" s="7">
        <f t="shared" si="32"/>
        <v>0.25669707018515531</v>
      </c>
      <c r="R50" s="7">
        <f t="shared" si="32"/>
        <v>0.24784887746019191</v>
      </c>
      <c r="S50" s="7">
        <f t="shared" si="32"/>
        <v>0.2859740032471636</v>
      </c>
      <c r="T50" s="7">
        <f t="shared" si="32"/>
        <v>0.28305456089721936</v>
      </c>
      <c r="U50" s="7">
        <f t="shared" si="32"/>
        <v>0.28915673394168179</v>
      </c>
      <c r="V50" s="7">
        <f t="shared" si="32"/>
        <v>0.30516866574905505</v>
      </c>
      <c r="W50" s="7">
        <f t="shared" si="32"/>
        <v>0.28501568316811016</v>
      </c>
      <c r="X50" s="7">
        <f t="shared" si="32"/>
        <v>0.2925440583282935</v>
      </c>
      <c r="Y50" s="7">
        <f t="shared" ref="Y50:Y53" si="33">SUM(F50:K50)/SUM(F$38:K$38)</f>
        <v>0.2904708100172631</v>
      </c>
      <c r="Z50" s="189"/>
    </row>
    <row r="51" spans="1:26">
      <c r="A51" s="1" t="s">
        <v>46</v>
      </c>
      <c r="B51" s="11"/>
      <c r="C51" s="11"/>
      <c r="D51" s="11">
        <v>4779.5</v>
      </c>
      <c r="E51" s="11">
        <v>5067.3999999999996</v>
      </c>
      <c r="F51" s="11">
        <v>5282.8</v>
      </c>
      <c r="G51" s="11">
        <v>5820.7</v>
      </c>
      <c r="H51" s="11">
        <v>6379.7</v>
      </c>
      <c r="I51" s="11">
        <v>6565.8</v>
      </c>
      <c r="J51" s="11">
        <v>7662.7979999999998</v>
      </c>
      <c r="K51" s="11">
        <v>8573.6460000000006</v>
      </c>
      <c r="L51" s="7">
        <f t="shared" si="31"/>
        <v>0.10169220278991163</v>
      </c>
      <c r="M51" s="1"/>
      <c r="N51" s="1" t="str">
        <f>A51</f>
        <v>Deferred Income Taxes</v>
      </c>
      <c r="O51" s="7" t="e">
        <f t="shared" si="32"/>
        <v>#DIV/0!</v>
      </c>
      <c r="P51" s="7" t="e">
        <f t="shared" si="32"/>
        <v>#DIV/0!</v>
      </c>
      <c r="Q51" s="7">
        <f t="shared" si="32"/>
        <v>0.16754068018816995</v>
      </c>
      <c r="R51" s="7">
        <f t="shared" si="32"/>
        <v>0.17899176286081639</v>
      </c>
      <c r="S51" s="7">
        <f t="shared" si="32"/>
        <v>0.17119876076311588</v>
      </c>
      <c r="T51" s="7">
        <f t="shared" si="32"/>
        <v>0.18726494159130322</v>
      </c>
      <c r="U51" s="7">
        <f t="shared" si="32"/>
        <v>0.18962934339981571</v>
      </c>
      <c r="V51" s="7">
        <f t="shared" si="32"/>
        <v>0.17931113587205871</v>
      </c>
      <c r="W51" s="7">
        <f t="shared" si="32"/>
        <v>0.20400439530177447</v>
      </c>
      <c r="X51" s="7">
        <f t="shared" si="32"/>
        <v>0.22162537777907834</v>
      </c>
      <c r="Y51" s="7">
        <f t="shared" si="33"/>
        <v>0.19326428359871295</v>
      </c>
      <c r="Z51" s="189"/>
    </row>
    <row r="52" spans="1:26">
      <c r="A52" s="1" t="s">
        <v>47</v>
      </c>
      <c r="B52" s="11"/>
      <c r="C52" s="11"/>
      <c r="D52" s="11">
        <f>17267.3-D51-D50</f>
        <v>5164.8999999999996</v>
      </c>
      <c r="E52" s="11">
        <f>17316.3-E51-E50</f>
        <v>5232.0999999999995</v>
      </c>
      <c r="F52" s="11">
        <f>19551-F50-F51</f>
        <v>5443.7</v>
      </c>
      <c r="G52" s="11">
        <f>20074.8-G50-G51</f>
        <v>5455.9999999999991</v>
      </c>
      <c r="H52" s="11">
        <f>22212.4-H50-H51</f>
        <v>6104.6000000000013</v>
      </c>
      <c r="I52" s="11">
        <f>24573.3-I50-I51</f>
        <v>6833.2</v>
      </c>
      <c r="J52" s="11">
        <f>25443.253-18368.5</f>
        <v>7074.7530000000006</v>
      </c>
      <c r="K52" s="11">
        <f>27101.889-19890.8</f>
        <v>7211.0889999999999</v>
      </c>
      <c r="L52" s="7">
        <f t="shared" si="31"/>
        <v>5.7843287147641052E-2</v>
      </c>
      <c r="M52" s="1"/>
      <c r="N52" s="1" t="str">
        <f>A52</f>
        <v>Other Deferred Credits</v>
      </c>
      <c r="O52" s="7" t="e">
        <f t="shared" si="32"/>
        <v>#DIV/0!</v>
      </c>
      <c r="P52" s="7" t="e">
        <f t="shared" si="32"/>
        <v>#DIV/0!</v>
      </c>
      <c r="Q52" s="7">
        <f t="shared" si="32"/>
        <v>0.18105049881867957</v>
      </c>
      <c r="R52" s="7">
        <f t="shared" si="32"/>
        <v>0.18480933071478023</v>
      </c>
      <c r="S52" s="7">
        <f t="shared" si="32"/>
        <v>0.17641301846864804</v>
      </c>
      <c r="T52" s="7">
        <f t="shared" si="32"/>
        <v>0.17553172665180308</v>
      </c>
      <c r="U52" s="7">
        <f t="shared" si="32"/>
        <v>0.18145230805813992</v>
      </c>
      <c r="V52" s="7">
        <f t="shared" si="32"/>
        <v>0.18661379476087478</v>
      </c>
      <c r="W52" s="7">
        <f t="shared" si="32"/>
        <v>0.18834904791623308</v>
      </c>
      <c r="X52" s="7">
        <f t="shared" si="32"/>
        <v>0.18640381511244528</v>
      </c>
      <c r="Y52" s="7">
        <f t="shared" si="33"/>
        <v>0.18289187479275951</v>
      </c>
      <c r="Z52" s="189"/>
    </row>
    <row r="53" spans="1:26">
      <c r="A53" s="1" t="s">
        <v>48</v>
      </c>
      <c r="B53" s="11">
        <f t="shared" ref="B53:J53" si="34">SUM(B50:B52)</f>
        <v>0</v>
      </c>
      <c r="C53" s="11">
        <f t="shared" si="34"/>
        <v>0</v>
      </c>
      <c r="D53" s="11">
        <f t="shared" si="34"/>
        <v>17267.3</v>
      </c>
      <c r="E53" s="11">
        <f t="shared" si="34"/>
        <v>17316.3</v>
      </c>
      <c r="F53" s="11">
        <f t="shared" si="34"/>
        <v>19551</v>
      </c>
      <c r="G53" s="11">
        <f t="shared" si="34"/>
        <v>20074.8</v>
      </c>
      <c r="H53" s="11">
        <f t="shared" si="34"/>
        <v>22212.400000000001</v>
      </c>
      <c r="I53" s="11">
        <f t="shared" si="34"/>
        <v>24573.3</v>
      </c>
      <c r="J53" s="11">
        <f t="shared" si="34"/>
        <v>25443.289000000001</v>
      </c>
      <c r="K53" s="11">
        <f t="shared" ref="K53" si="35">SUM(K50:K52)</f>
        <v>27101.892</v>
      </c>
      <c r="L53" s="7">
        <f t="shared" si="31"/>
        <v>6.7495681827175941E-2</v>
      </c>
      <c r="M53" s="1"/>
      <c r="N53" s="1" t="str">
        <f>A53</f>
        <v>Total LTD &amp; Deferrals</v>
      </c>
      <c r="O53" s="7" t="e">
        <f t="shared" si="32"/>
        <v>#DIV/0!</v>
      </c>
      <c r="P53" s="7" t="e">
        <f t="shared" si="32"/>
        <v>#DIV/0!</v>
      </c>
      <c r="Q53" s="7">
        <f t="shared" si="32"/>
        <v>0.60528824919200486</v>
      </c>
      <c r="R53" s="7">
        <f t="shared" si="32"/>
        <v>0.61164997103578855</v>
      </c>
      <c r="S53" s="7">
        <f t="shared" si="32"/>
        <v>0.6335857824789275</v>
      </c>
      <c r="T53" s="7">
        <f t="shared" si="32"/>
        <v>0.64585122914032567</v>
      </c>
      <c r="U53" s="7">
        <f t="shared" si="32"/>
        <v>0.66023838539963742</v>
      </c>
      <c r="V53" s="7">
        <f t="shared" si="32"/>
        <v>0.67109359638198851</v>
      </c>
      <c r="W53" s="7">
        <f t="shared" si="32"/>
        <v>0.67736912638611768</v>
      </c>
      <c r="X53" s="7">
        <f t="shared" si="32"/>
        <v>0.70057325121981717</v>
      </c>
      <c r="Y53" s="7">
        <f t="shared" si="33"/>
        <v>0.66662696840873559</v>
      </c>
      <c r="Z53" s="189"/>
    </row>
    <row r="54" spans="1:26">
      <c r="A54" s="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1">
        <f t="shared" ref="B55:J55" si="36">B53+B48</f>
        <v>0</v>
      </c>
      <c r="C55" s="11">
        <f t="shared" si="36"/>
        <v>0</v>
      </c>
      <c r="D55" s="11">
        <f t="shared" si="36"/>
        <v>19489.399999999998</v>
      </c>
      <c r="E55" s="11">
        <f t="shared" si="36"/>
        <v>19648.7</v>
      </c>
      <c r="F55" s="11">
        <f t="shared" si="36"/>
        <v>22663.4</v>
      </c>
      <c r="G55" s="11">
        <f t="shared" si="36"/>
        <v>22539.899999999998</v>
      </c>
      <c r="H55" s="11">
        <f t="shared" si="36"/>
        <v>25469.200000000001</v>
      </c>
      <c r="I55" s="11">
        <f t="shared" si="36"/>
        <v>28339.200000000001</v>
      </c>
      <c r="J55" s="11">
        <f t="shared" si="36"/>
        <v>28637.245999999999</v>
      </c>
      <c r="K55" s="11">
        <f t="shared" ref="K55" si="37">K53+K48</f>
        <v>29878.179</v>
      </c>
      <c r="L55" s="7">
        <f t="shared" ref="L55" si="38">RATE(5,,-F55,K55)</f>
        <v>5.6831652696624511E-2</v>
      </c>
      <c r="M55" s="1"/>
      <c r="N55" s="1" t="s">
        <v>49</v>
      </c>
      <c r="O55" s="7" t="e">
        <f t="shared" ref="O55:X55" si="39">B55/B$38</f>
        <v>#DIV/0!</v>
      </c>
      <c r="P55" s="7" t="e">
        <f t="shared" si="39"/>
        <v>#DIV/0!</v>
      </c>
      <c r="Q55" s="7">
        <f t="shared" si="39"/>
        <v>0.68318178312779987</v>
      </c>
      <c r="R55" s="7">
        <f t="shared" si="39"/>
        <v>0.69403549175579649</v>
      </c>
      <c r="S55" s="7">
        <f t="shared" si="39"/>
        <v>0.73444877615635651</v>
      </c>
      <c r="T55" s="7">
        <f t="shared" si="39"/>
        <v>0.72515901128280358</v>
      </c>
      <c r="U55" s="7">
        <f t="shared" si="39"/>
        <v>0.75704306988080727</v>
      </c>
      <c r="V55" s="7">
        <f t="shared" si="39"/>
        <v>0.77393983089729301</v>
      </c>
      <c r="W55" s="7">
        <f t="shared" si="39"/>
        <v>0.76240089499138031</v>
      </c>
      <c r="X55" s="7">
        <f t="shared" si="39"/>
        <v>0.77233917848088485</v>
      </c>
      <c r="Y55" s="7">
        <f>SUM(F55:K55)/SUM(F$38:K$38)</f>
        <v>0.75571630687475866</v>
      </c>
      <c r="Z55" s="189"/>
    </row>
    <row r="56" spans="1:26">
      <c r="A56" s="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1"/>
      <c r="C57" s="11"/>
      <c r="D57" s="11">
        <v>334.3</v>
      </c>
      <c r="E57" s="11">
        <v>365.4</v>
      </c>
      <c r="F57" s="11">
        <v>446</v>
      </c>
      <c r="G57" s="11">
        <v>344.9</v>
      </c>
      <c r="H57" s="11">
        <v>311.10000000000002</v>
      </c>
      <c r="I57" s="11">
        <v>311</v>
      </c>
      <c r="J57" s="11">
        <f>217.343+94</f>
        <v>311.34299999999996</v>
      </c>
      <c r="K57" s="11">
        <f>216.738+94</f>
        <v>310.738</v>
      </c>
      <c r="L57" s="7">
        <f t="shared" ref="L57" si="40">RATE(5,,-F57,K57)</f>
        <v>-6.9723818640913385E-2</v>
      </c>
      <c r="M57" s="1"/>
      <c r="N57" s="1" t="s">
        <v>50</v>
      </c>
      <c r="O57" s="7" t="e">
        <f t="shared" ref="O57:X57" si="41">B57/B$38</f>
        <v>#DIV/0!</v>
      </c>
      <c r="P57" s="7" t="e">
        <f t="shared" si="41"/>
        <v>#DIV/0!</v>
      </c>
      <c r="Q57" s="7">
        <f t="shared" si="41"/>
        <v>1.1718558298337739E-2</v>
      </c>
      <c r="R57" s="7">
        <f t="shared" si="41"/>
        <v>1.290673523884878E-2</v>
      </c>
      <c r="S57" s="7">
        <f t="shared" si="41"/>
        <v>1.4453442738765367E-2</v>
      </c>
      <c r="T57" s="7">
        <f t="shared" si="41"/>
        <v>1.1096204641166951E-2</v>
      </c>
      <c r="U57" s="7">
        <f t="shared" si="41"/>
        <v>9.2470944921677622E-3</v>
      </c>
      <c r="V57" s="7">
        <f t="shared" si="41"/>
        <v>8.4933691638810586E-3</v>
      </c>
      <c r="W57" s="7">
        <f t="shared" si="41"/>
        <v>8.2887922200794491E-3</v>
      </c>
      <c r="X57" s="7">
        <f t="shared" si="41"/>
        <v>8.0324551118993292E-3</v>
      </c>
      <c r="Y57" s="7">
        <f>SUM(F57:K57)/SUM(F$38:K$38)</f>
        <v>9.7630417460547857E-3</v>
      </c>
      <c r="Z57" s="189"/>
    </row>
    <row r="58" spans="1:26">
      <c r="A58" s="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1"/>
      <c r="C60" s="11"/>
      <c r="D60" s="11">
        <f>8703.7-D61</f>
        <v>4209.0000000000009</v>
      </c>
      <c r="E60" s="11">
        <f>8296.7-E61</f>
        <v>3405.8</v>
      </c>
      <c r="F60" s="11">
        <f>7748.3-F61</f>
        <v>2658.2000000000007</v>
      </c>
      <c r="G60" s="11">
        <f>8197.9-G61</f>
        <v>2165.3999999999996</v>
      </c>
      <c r="H60" s="11">
        <f>7862.7-H61</f>
        <v>1118.3999999999996</v>
      </c>
      <c r="I60" s="11">
        <f>7966.6-I61</f>
        <v>696.60000000000036</v>
      </c>
      <c r="J60" s="11">
        <v>570.21</v>
      </c>
      <c r="K60" s="11">
        <v>-193.01</v>
      </c>
      <c r="L60" s="7"/>
      <c r="M60" s="1"/>
      <c r="N60" s="1" t="str">
        <f>A60</f>
        <v>Common Stock</v>
      </c>
      <c r="O60" s="7" t="e">
        <f t="shared" ref="O60:X63" si="42">B60/B$38</f>
        <v>#DIV/0!</v>
      </c>
      <c r="P60" s="7" t="e">
        <f t="shared" si="42"/>
        <v>#DIV/0!</v>
      </c>
      <c r="Q60" s="7">
        <f t="shared" si="42"/>
        <v>0.14754236278104563</v>
      </c>
      <c r="R60" s="7">
        <f t="shared" si="42"/>
        <v>0.12030038006697093</v>
      </c>
      <c r="S60" s="7">
        <f t="shared" si="42"/>
        <v>8.6143814995932974E-2</v>
      </c>
      <c r="T60" s="7">
        <f t="shared" si="42"/>
        <v>6.9665762626798827E-2</v>
      </c>
      <c r="U60" s="7">
        <f t="shared" si="42"/>
        <v>3.3243170941949278E-2</v>
      </c>
      <c r="V60" s="7">
        <f t="shared" si="42"/>
        <v>1.9024054532345815E-2</v>
      </c>
      <c r="W60" s="7">
        <f t="shared" si="42"/>
        <v>1.5180531477539252E-2</v>
      </c>
      <c r="X60" s="7">
        <f t="shared" si="42"/>
        <v>-4.9892326047914623E-3</v>
      </c>
      <c r="Y60" s="7">
        <f t="shared" ref="Y60:Y63" si="43">SUM(F60:K60)/SUM(F$38:K$38)</f>
        <v>3.365740640395698E-2</v>
      </c>
      <c r="Z60" s="189"/>
    </row>
    <row r="61" spans="1:26">
      <c r="A61" s="1" t="s">
        <v>53</v>
      </c>
      <c r="B61" s="11"/>
      <c r="C61" s="11"/>
      <c r="D61" s="11">
        <f>4502.5-7.8</f>
        <v>4494.7</v>
      </c>
      <c r="E61" s="11">
        <f>4984.3-93.4</f>
        <v>4890.9000000000005</v>
      </c>
      <c r="F61" s="11">
        <f>5433.9-343.8</f>
        <v>5090.0999999999995</v>
      </c>
      <c r="G61" s="11">
        <f>6133-100.5</f>
        <v>6032.5</v>
      </c>
      <c r="H61" s="11">
        <f>6736+8.3</f>
        <v>6744.3</v>
      </c>
      <c r="I61" s="11">
        <f>7382.7-112.7</f>
        <v>7270</v>
      </c>
      <c r="J61" s="11">
        <v>8043.1220000000003</v>
      </c>
      <c r="K61" s="11">
        <v>8689.4009999999998</v>
      </c>
      <c r="L61" s="7">
        <f t="shared" ref="L61:L63" si="44">RATE(5,,-F61,K61)</f>
        <v>0.11289119151514156</v>
      </c>
      <c r="M61" s="1"/>
      <c r="N61" s="1" t="str">
        <f>A61</f>
        <v>Retained Earnings</v>
      </c>
      <c r="O61" s="7" t="e">
        <f t="shared" si="42"/>
        <v>#DIV/0!</v>
      </c>
      <c r="P61" s="7" t="e">
        <f t="shared" si="42"/>
        <v>#DIV/0!</v>
      </c>
      <c r="Q61" s="7">
        <f t="shared" si="42"/>
        <v>0.15755729579281672</v>
      </c>
      <c r="R61" s="7">
        <f t="shared" si="42"/>
        <v>0.17275739293838399</v>
      </c>
      <c r="S61" s="7">
        <f t="shared" si="42"/>
        <v>0.16495396610894525</v>
      </c>
      <c r="T61" s="7">
        <f t="shared" si="42"/>
        <v>0.19407902144923062</v>
      </c>
      <c r="U61" s="7">
        <f t="shared" si="42"/>
        <v>0.20046666468507565</v>
      </c>
      <c r="V61" s="7">
        <f t="shared" si="42"/>
        <v>0.19854274540648006</v>
      </c>
      <c r="W61" s="7">
        <f t="shared" si="42"/>
        <v>0.21412964819748595</v>
      </c>
      <c r="X61" s="7">
        <f t="shared" si="42"/>
        <v>0.22461759901200737</v>
      </c>
      <c r="Y61" s="7">
        <f t="shared" si="43"/>
        <v>0.20086322098836676</v>
      </c>
      <c r="Z61" s="189"/>
    </row>
    <row r="62" spans="1:26">
      <c r="A62" s="1" t="s">
        <v>54</v>
      </c>
      <c r="B62" s="11">
        <f t="shared" ref="B62:J62" si="45">SUM(B59:B61)</f>
        <v>0</v>
      </c>
      <c r="C62" s="11">
        <f t="shared" si="45"/>
        <v>0</v>
      </c>
      <c r="D62" s="11">
        <f t="shared" si="45"/>
        <v>8703.7000000000007</v>
      </c>
      <c r="E62" s="11">
        <f t="shared" si="45"/>
        <v>8296.7000000000007</v>
      </c>
      <c r="F62" s="11">
        <f t="shared" si="45"/>
        <v>7748.3</v>
      </c>
      <c r="G62" s="11">
        <f t="shared" si="45"/>
        <v>8197.9</v>
      </c>
      <c r="H62" s="11">
        <f t="shared" si="45"/>
        <v>7862.7</v>
      </c>
      <c r="I62" s="11">
        <f t="shared" si="45"/>
        <v>7966.6</v>
      </c>
      <c r="J62" s="11">
        <f t="shared" si="45"/>
        <v>8613.3320000000003</v>
      </c>
      <c r="K62" s="11">
        <f t="shared" ref="K62" si="46">SUM(K59:K61)</f>
        <v>8496.3909999999996</v>
      </c>
      <c r="L62" s="7">
        <f t="shared" si="44"/>
        <v>1.8604551785469412E-2</v>
      </c>
      <c r="M62" s="1"/>
      <c r="N62" s="1" t="str">
        <f>A62</f>
        <v>Total Common Equity</v>
      </c>
      <c r="O62" s="7" t="e">
        <f t="shared" si="42"/>
        <v>#DIV/0!</v>
      </c>
      <c r="P62" s="7" t="e">
        <f t="shared" si="42"/>
        <v>#DIV/0!</v>
      </c>
      <c r="Q62" s="7">
        <f t="shared" si="42"/>
        <v>0.30509965857386234</v>
      </c>
      <c r="R62" s="7">
        <f t="shared" si="42"/>
        <v>0.2930577730053549</v>
      </c>
      <c r="S62" s="7">
        <f t="shared" si="42"/>
        <v>0.25109778110487824</v>
      </c>
      <c r="T62" s="7">
        <f t="shared" si="42"/>
        <v>0.26374478407602947</v>
      </c>
      <c r="U62" s="7">
        <f t="shared" si="42"/>
        <v>0.23370983562702494</v>
      </c>
      <c r="V62" s="7">
        <f t="shared" si="42"/>
        <v>0.21756679993882588</v>
      </c>
      <c r="W62" s="7">
        <f t="shared" si="42"/>
        <v>0.22931017967502521</v>
      </c>
      <c r="X62" s="7">
        <f t="shared" si="42"/>
        <v>0.21962836640721589</v>
      </c>
      <c r="Y62" s="7">
        <f t="shared" si="43"/>
        <v>0.23452062739232374</v>
      </c>
      <c r="Z62" s="189"/>
    </row>
    <row r="63" spans="1:26">
      <c r="A63" s="1" t="s">
        <v>55</v>
      </c>
      <c r="B63" s="11">
        <f t="shared" ref="B63:J63" si="47">B62+B55+B57</f>
        <v>0</v>
      </c>
      <c r="C63" s="11">
        <f t="shared" si="47"/>
        <v>0</v>
      </c>
      <c r="D63" s="11">
        <f t="shared" si="47"/>
        <v>28527.399999999998</v>
      </c>
      <c r="E63" s="11">
        <f t="shared" si="47"/>
        <v>28310.800000000003</v>
      </c>
      <c r="F63" s="11">
        <f t="shared" si="47"/>
        <v>30857.7</v>
      </c>
      <c r="G63" s="11">
        <f t="shared" si="47"/>
        <v>31082.699999999997</v>
      </c>
      <c r="H63" s="11">
        <f t="shared" si="47"/>
        <v>33643</v>
      </c>
      <c r="I63" s="11">
        <f t="shared" si="47"/>
        <v>36616.800000000003</v>
      </c>
      <c r="J63" s="11">
        <f t="shared" si="47"/>
        <v>37561.921000000002</v>
      </c>
      <c r="K63" s="11">
        <f t="shared" ref="K63" si="48">K62+K55+K57</f>
        <v>38685.307999999997</v>
      </c>
      <c r="L63" s="7">
        <f t="shared" si="44"/>
        <v>4.6252482039199565E-2</v>
      </c>
      <c r="M63" s="1"/>
      <c r="N63" s="1" t="s">
        <v>55</v>
      </c>
      <c r="O63" s="7" t="e">
        <f t="shared" si="42"/>
        <v>#DIV/0!</v>
      </c>
      <c r="P63" s="7" t="e">
        <f t="shared" si="42"/>
        <v>#DIV/0!</v>
      </c>
      <c r="Q63" s="7">
        <f t="shared" si="42"/>
        <v>0.99999999999999989</v>
      </c>
      <c r="R63" s="7">
        <f t="shared" si="42"/>
        <v>1.0000000000000002</v>
      </c>
      <c r="S63" s="7">
        <f t="shared" si="42"/>
        <v>1.0000000000000002</v>
      </c>
      <c r="T63" s="7">
        <f t="shared" si="42"/>
        <v>1</v>
      </c>
      <c r="U63" s="7">
        <f t="shared" si="42"/>
        <v>1</v>
      </c>
      <c r="V63" s="7">
        <f t="shared" si="42"/>
        <v>1</v>
      </c>
      <c r="W63" s="7">
        <f t="shared" si="42"/>
        <v>0.99999986688648512</v>
      </c>
      <c r="X63" s="7">
        <f t="shared" si="42"/>
        <v>1</v>
      </c>
      <c r="Y63" s="7">
        <f t="shared" si="43"/>
        <v>0.99999997601313717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Entergy Corp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2" t="str">
        <f>A3</f>
        <v>Entergy Corp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2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49">B73+1</f>
        <v>2002</v>
      </c>
      <c r="D73" s="5">
        <f t="shared" si="49"/>
        <v>2003</v>
      </c>
      <c r="E73" s="5">
        <f t="shared" si="49"/>
        <v>2004</v>
      </c>
      <c r="F73" s="5">
        <f t="shared" si="49"/>
        <v>2005</v>
      </c>
      <c r="G73" s="5">
        <f t="shared" si="49"/>
        <v>2006</v>
      </c>
      <c r="H73" s="5">
        <f t="shared" si="49"/>
        <v>2007</v>
      </c>
      <c r="I73" s="5">
        <f>H73+1</f>
        <v>2008</v>
      </c>
      <c r="J73" s="162">
        <f>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50">B73</f>
        <v>2001</v>
      </c>
      <c r="P73" s="5">
        <f t="shared" si="50"/>
        <v>2002</v>
      </c>
      <c r="Q73" s="5">
        <f t="shared" si="50"/>
        <v>2003</v>
      </c>
      <c r="R73" s="5">
        <f t="shared" si="50"/>
        <v>2004</v>
      </c>
      <c r="S73" s="5">
        <f t="shared" si="50"/>
        <v>2005</v>
      </c>
      <c r="T73" s="5">
        <f t="shared" si="50"/>
        <v>2006</v>
      </c>
      <c r="U73" s="5">
        <f t="shared" si="50"/>
        <v>2007</v>
      </c>
      <c r="V73" s="5">
        <f t="shared" si="50"/>
        <v>2008</v>
      </c>
      <c r="W73" s="162">
        <f>J8</f>
        <v>2009</v>
      </c>
      <c r="X73" s="162">
        <f>K8</f>
        <v>2010</v>
      </c>
      <c r="Y73" s="10" t="s">
        <v>10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79" t="str">
        <f>+A74</f>
        <v>Operating Sales and Revenues: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/>
      <c r="C75" s="1"/>
      <c r="D75" s="11">
        <v>7397.2</v>
      </c>
      <c r="E75" s="136">
        <v>7932.6</v>
      </c>
      <c r="F75" s="136">
        <v>8446.7999999999993</v>
      </c>
      <c r="G75" s="136">
        <v>9063.1</v>
      </c>
      <c r="H75" s="136">
        <v>9046.2999999999993</v>
      </c>
      <c r="I75" s="136">
        <v>10073.200000000001</v>
      </c>
      <c r="J75" s="136">
        <v>7880.0159999999996</v>
      </c>
      <c r="K75" s="136">
        <v>8740.6370000000006</v>
      </c>
      <c r="L75" s="7">
        <f t="shared" ref="L75:L78" si="51">RATE(5,,-F75,K75)</f>
        <v>6.8625196888067999E-3</v>
      </c>
      <c r="M75" s="1"/>
      <c r="N75" s="179" t="str">
        <f t="shared" ref="N75:N104" si="52">+A75</f>
        <v>Electric</v>
      </c>
      <c r="O75" s="1"/>
      <c r="P75" s="1"/>
      <c r="Q75" s="1"/>
      <c r="R75" s="1"/>
      <c r="S75" s="7">
        <f t="shared" ref="S75:S76" si="53">F75/F$78</f>
        <v>0.83580376402604328</v>
      </c>
      <c r="T75" s="7">
        <f t="shared" ref="T75:T76" si="54">G75/G$78</f>
        <v>0.82903559242963387</v>
      </c>
      <c r="U75" s="7">
        <f t="shared" ref="U75:U76" si="55">H75/H$78</f>
        <v>0.78770331928529136</v>
      </c>
      <c r="V75" s="7">
        <f t="shared" ref="V75:V76" si="56">I75/I$78</f>
        <v>0.76931066611678822</v>
      </c>
      <c r="W75" s="7">
        <f t="shared" ref="W75:W76" si="57">J75/J$78</f>
        <v>0.73332148357707538</v>
      </c>
      <c r="X75" s="7">
        <f t="shared" ref="X75:X76" si="58">K75/K$78</f>
        <v>0.7608773373183918</v>
      </c>
      <c r="Y75" s="7">
        <f t="shared" ref="Y75:Y77" si="59">SUM(F75:K75)/SUM(F$78:K$78)</f>
        <v>0.78482339361512832</v>
      </c>
    </row>
    <row r="76" spans="1:25">
      <c r="A76" s="1" t="s">
        <v>64</v>
      </c>
      <c r="B76" s="1"/>
      <c r="C76" s="1"/>
      <c r="D76" s="11">
        <v>186.2</v>
      </c>
      <c r="E76" s="136">
        <v>208.5</v>
      </c>
      <c r="F76" s="136">
        <v>77.7</v>
      </c>
      <c r="G76" s="136">
        <v>84.2</v>
      </c>
      <c r="H76" s="136">
        <v>206.1</v>
      </c>
      <c r="I76" s="136">
        <v>241.9</v>
      </c>
      <c r="J76" s="136">
        <v>172.21299999999999</v>
      </c>
      <c r="K76" s="136">
        <v>197.65799999999999</v>
      </c>
      <c r="L76" s="7">
        <f t="shared" si="51"/>
        <v>0.20530976636304929</v>
      </c>
      <c r="M76" s="1"/>
      <c r="N76" s="179" t="str">
        <f t="shared" si="52"/>
        <v>Other Regulated Operations</v>
      </c>
      <c r="S76" s="7">
        <f t="shared" si="53"/>
        <v>7.6883497259108268E-3</v>
      </c>
      <c r="T76" s="7">
        <f t="shared" si="54"/>
        <v>7.7020883453316384E-3</v>
      </c>
      <c r="U76" s="7">
        <f t="shared" si="55"/>
        <v>1.7946083382675629E-2</v>
      </c>
      <c r="V76" s="7">
        <f t="shared" si="56"/>
        <v>1.8474392460553851E-2</v>
      </c>
      <c r="W76" s="7">
        <f t="shared" si="57"/>
        <v>1.6026299014019627E-2</v>
      </c>
      <c r="X76" s="7">
        <f t="shared" si="58"/>
        <v>1.7206239401050368E-2</v>
      </c>
      <c r="Y76" s="7">
        <f t="shared" si="59"/>
        <v>1.4440308654447497E-2</v>
      </c>
    </row>
    <row r="77" spans="1:25">
      <c r="A77" s="1" t="s">
        <v>65</v>
      </c>
      <c r="B77" s="1"/>
      <c r="C77" s="1"/>
      <c r="D77" s="11">
        <v>1611.5</v>
      </c>
      <c r="E77" s="136">
        <v>1544.4</v>
      </c>
      <c r="F77" s="136">
        <v>1581.7</v>
      </c>
      <c r="G77" s="136">
        <v>1784.8</v>
      </c>
      <c r="H77" s="136">
        <v>2232</v>
      </c>
      <c r="I77" s="136">
        <v>2778.7</v>
      </c>
      <c r="J77" s="136">
        <v>2693.4209999999998</v>
      </c>
      <c r="K77" s="136">
        <v>2549.2820000000002</v>
      </c>
      <c r="L77" s="7">
        <f t="shared" si="51"/>
        <v>0.10016735218398519</v>
      </c>
      <c r="M77" s="1"/>
      <c r="N77" s="179" t="str">
        <f t="shared" si="52"/>
        <v>Non-Regulated Operations</v>
      </c>
      <c r="O77" s="7" t="e">
        <f t="shared" ref="O77:X78" si="60">B77/B$78</f>
        <v>#DIV/0!</v>
      </c>
      <c r="P77" s="7" t="e">
        <f t="shared" si="60"/>
        <v>#DIV/0!</v>
      </c>
      <c r="Q77" s="7">
        <f t="shared" si="60"/>
        <v>0.1752601985883479</v>
      </c>
      <c r="R77" s="7">
        <f t="shared" si="60"/>
        <v>0.15945485519591143</v>
      </c>
      <c r="S77" s="7">
        <f t="shared" si="60"/>
        <v>0.15650788624804574</v>
      </c>
      <c r="T77" s="7">
        <f t="shared" si="60"/>
        <v>0.16326231922503451</v>
      </c>
      <c r="U77" s="7">
        <f t="shared" si="60"/>
        <v>0.19435059733203303</v>
      </c>
      <c r="V77" s="7">
        <f t="shared" si="60"/>
        <v>0.21221494142265804</v>
      </c>
      <c r="W77" s="7">
        <f t="shared" si="60"/>
        <v>0.25065221740890498</v>
      </c>
      <c r="X77" s="7">
        <f t="shared" si="60"/>
        <v>0.22191642328055777</v>
      </c>
      <c r="Y77" s="7">
        <f t="shared" si="59"/>
        <v>0.2007362977304242</v>
      </c>
    </row>
    <row r="78" spans="1:25">
      <c r="A78" s="1" t="s">
        <v>67</v>
      </c>
      <c r="B78" s="1">
        <f t="shared" ref="B78:K78" si="61">SUM(B74:B77)</f>
        <v>0</v>
      </c>
      <c r="C78" s="1">
        <f t="shared" si="61"/>
        <v>0</v>
      </c>
      <c r="D78" s="11">
        <f t="shared" si="61"/>
        <v>9194.9</v>
      </c>
      <c r="E78" s="11">
        <f t="shared" si="61"/>
        <v>9685.5</v>
      </c>
      <c r="F78" s="11">
        <f t="shared" si="61"/>
        <v>10106.200000000001</v>
      </c>
      <c r="G78" s="11">
        <f t="shared" si="61"/>
        <v>10932.1</v>
      </c>
      <c r="H78" s="11">
        <f t="shared" si="61"/>
        <v>11484.4</v>
      </c>
      <c r="I78" s="11">
        <f t="shared" si="61"/>
        <v>13093.8</v>
      </c>
      <c r="J78" s="11">
        <f t="shared" si="61"/>
        <v>10745.65</v>
      </c>
      <c r="K78" s="11">
        <f t="shared" si="61"/>
        <v>11487.577000000001</v>
      </c>
      <c r="L78" s="7">
        <f t="shared" si="51"/>
        <v>2.5954520471172991E-2</v>
      </c>
      <c r="M78" s="1"/>
      <c r="N78" s="179" t="str">
        <f t="shared" si="52"/>
        <v>Total Revenues</v>
      </c>
      <c r="O78" s="7" t="e">
        <f t="shared" si="60"/>
        <v>#DIV/0!</v>
      </c>
      <c r="P78" s="7" t="e">
        <f t="shared" si="60"/>
        <v>#DIV/0!</v>
      </c>
      <c r="Q78" s="7">
        <f t="shared" si="60"/>
        <v>1</v>
      </c>
      <c r="R78" s="7">
        <f t="shared" si="60"/>
        <v>1</v>
      </c>
      <c r="S78" s="7">
        <f t="shared" si="60"/>
        <v>1</v>
      </c>
      <c r="T78" s="7">
        <f t="shared" si="60"/>
        <v>1</v>
      </c>
      <c r="U78" s="7">
        <f t="shared" si="60"/>
        <v>1</v>
      </c>
      <c r="V78" s="7">
        <f t="shared" si="60"/>
        <v>1</v>
      </c>
      <c r="W78" s="7">
        <f t="shared" si="60"/>
        <v>1</v>
      </c>
      <c r="X78" s="7">
        <f t="shared" si="60"/>
        <v>1</v>
      </c>
      <c r="Y78" s="7">
        <f>SUM(F78:K78)/SUM(F$78:K$78)</f>
        <v>1</v>
      </c>
    </row>
    <row r="79" spans="1:25">
      <c r="A79" s="1"/>
      <c r="B79" s="1"/>
      <c r="C79" s="1"/>
      <c r="D79" s="11"/>
      <c r="E79" s="11"/>
      <c r="F79" s="11"/>
      <c r="G79" s="11"/>
      <c r="H79" s="11"/>
      <c r="I79" s="11"/>
      <c r="J79" s="11"/>
      <c r="K79" s="11"/>
      <c r="L79" s="7"/>
      <c r="M79" s="1"/>
      <c r="N79" s="179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1"/>
      <c r="D80" s="11"/>
      <c r="E80" s="11"/>
      <c r="F80" s="11"/>
      <c r="G80" s="11"/>
      <c r="H80" s="11"/>
      <c r="I80" s="11"/>
      <c r="J80" s="11"/>
      <c r="K80" s="11"/>
      <c r="L80" s="7"/>
      <c r="M80" s="1"/>
      <c r="N80" s="179" t="str">
        <f t="shared" si="52"/>
        <v>Operating Expenses: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"/>
      <c r="C81" s="1"/>
      <c r="D81" s="11">
        <v>1728.5</v>
      </c>
      <c r="E81" s="11">
        <v>1701.6</v>
      </c>
      <c r="F81" s="11">
        <v>2521.1999999999998</v>
      </c>
      <c r="G81" s="11">
        <v>2138.1999999999998</v>
      </c>
      <c r="H81" s="11">
        <v>1986.9</v>
      </c>
      <c r="I81" s="11">
        <v>2491.1999999999998</v>
      </c>
      <c r="J81" s="11">
        <v>1395.203</v>
      </c>
      <c r="K81" s="11">
        <v>1659.4159999999999</v>
      </c>
      <c r="L81" s="7">
        <f t="shared" ref="L81:L87" si="62">RATE(5,,-F81,K81)</f>
        <v>-8.0250426842943562E-2</v>
      </c>
      <c r="M81" s="1"/>
      <c r="N81" s="179" t="str">
        <f t="shared" si="52"/>
        <v xml:space="preserve">   Purchased power</v>
      </c>
      <c r="O81" s="7" t="e">
        <f t="shared" ref="O81:X87" si="63">B81/B$78</f>
        <v>#DIV/0!</v>
      </c>
      <c r="P81" s="7" t="e">
        <f t="shared" si="63"/>
        <v>#DIV/0!</v>
      </c>
      <c r="Q81" s="7">
        <f t="shared" si="63"/>
        <v>0.18798464366115999</v>
      </c>
      <c r="R81" s="7">
        <f t="shared" si="63"/>
        <v>0.17568530277218522</v>
      </c>
      <c r="S81" s="7">
        <f t="shared" si="63"/>
        <v>0.24947062199441924</v>
      </c>
      <c r="T81" s="7">
        <f t="shared" si="63"/>
        <v>0.19558913657943119</v>
      </c>
      <c r="U81" s="7">
        <f t="shared" si="63"/>
        <v>0.17300860297446974</v>
      </c>
      <c r="V81" s="7">
        <f t="shared" si="63"/>
        <v>0.19025798469504651</v>
      </c>
      <c r="W81" s="7">
        <f t="shared" si="63"/>
        <v>0.1298388650291048</v>
      </c>
      <c r="X81" s="7">
        <f t="shared" si="63"/>
        <v>0.14445309049941513</v>
      </c>
      <c r="Y81" s="7">
        <f t="shared" ref="Y81:Y101" si="64">SUM(F81:K81)/SUM(F$78:K$78)</f>
        <v>0.17969297061431064</v>
      </c>
    </row>
    <row r="82" spans="1:25">
      <c r="A82" s="1" t="s">
        <v>70</v>
      </c>
      <c r="B82" s="1"/>
      <c r="C82" s="1"/>
      <c r="D82" s="11">
        <v>1987.2</v>
      </c>
      <c r="E82" s="11">
        <v>2488.1999999999998</v>
      </c>
      <c r="F82" s="11">
        <v>2176</v>
      </c>
      <c r="G82" s="11">
        <v>3313.6</v>
      </c>
      <c r="H82" s="11">
        <f>2934.8+181</f>
        <v>3115.8</v>
      </c>
      <c r="I82" s="11">
        <f>3577.8+221.8</f>
        <v>3799.6000000000004</v>
      </c>
      <c r="J82" s="11">
        <f>2309.831+241.31</f>
        <v>2551.1410000000001</v>
      </c>
      <c r="K82" s="11">
        <f>2518.582+256.123</f>
        <v>2774.7049999999999</v>
      </c>
      <c r="L82" s="7">
        <f t="shared" si="62"/>
        <v>4.9812126743881115E-2</v>
      </c>
      <c r="M82" s="1"/>
      <c r="N82" s="179" t="str">
        <f t="shared" si="52"/>
        <v xml:space="preserve">   Fuel</v>
      </c>
      <c r="O82" s="7" t="e">
        <f t="shared" si="63"/>
        <v>#DIV/0!</v>
      </c>
      <c r="P82" s="7" t="e">
        <f t="shared" si="63"/>
        <v>#DIV/0!</v>
      </c>
      <c r="Q82" s="7">
        <f t="shared" si="63"/>
        <v>0.21611980554437787</v>
      </c>
      <c r="R82" s="7">
        <f t="shared" si="63"/>
        <v>0.25689948892674613</v>
      </c>
      <c r="S82" s="7">
        <f t="shared" si="63"/>
        <v>0.21531337198947179</v>
      </c>
      <c r="T82" s="7">
        <f t="shared" si="63"/>
        <v>0.30310736272079469</v>
      </c>
      <c r="U82" s="7">
        <f t="shared" si="63"/>
        <v>0.27130716450141062</v>
      </c>
      <c r="V82" s="7">
        <f t="shared" si="63"/>
        <v>0.29018314011211416</v>
      </c>
      <c r="W82" s="7">
        <f t="shared" si="63"/>
        <v>0.23741151070433153</v>
      </c>
      <c r="X82" s="7">
        <f t="shared" si="63"/>
        <v>0.24153962145367988</v>
      </c>
      <c r="Y82" s="7">
        <f t="shared" si="64"/>
        <v>0.26132523716712969</v>
      </c>
    </row>
    <row r="83" spans="1:25">
      <c r="A83" s="1" t="s">
        <v>71</v>
      </c>
      <c r="B83" s="1"/>
      <c r="C83" s="1"/>
      <c r="D83" s="11">
        <v>2606.1</v>
      </c>
      <c r="E83" s="11">
        <v>2489.4</v>
      </c>
      <c r="F83" s="11">
        <v>2284.9</v>
      </c>
      <c r="G83" s="11">
        <v>2335.4</v>
      </c>
      <c r="H83" s="11">
        <v>2650</v>
      </c>
      <c r="I83" s="11">
        <v>2742.7</v>
      </c>
      <c r="J83" s="11">
        <v>2750.81</v>
      </c>
      <c r="K83" s="11">
        <v>2969.402</v>
      </c>
      <c r="L83" s="7">
        <f t="shared" si="62"/>
        <v>5.3805254694635589E-2</v>
      </c>
      <c r="M83" s="1"/>
      <c r="N83" s="179" t="str">
        <f t="shared" si="52"/>
        <v xml:space="preserve">   Other operations and maintenance</v>
      </c>
      <c r="O83" s="7" t="e">
        <f t="shared" si="63"/>
        <v>#DIV/0!</v>
      </c>
      <c r="P83" s="7" t="e">
        <f t="shared" si="63"/>
        <v>#DIV/0!</v>
      </c>
      <c r="Q83" s="7">
        <f t="shared" si="63"/>
        <v>0.28342885730133011</v>
      </c>
      <c r="R83" s="7">
        <f t="shared" si="63"/>
        <v>0.25702338547312997</v>
      </c>
      <c r="S83" s="7">
        <f t="shared" si="63"/>
        <v>0.22608893550493755</v>
      </c>
      <c r="T83" s="7">
        <f t="shared" si="63"/>
        <v>0.21362775678963786</v>
      </c>
      <c r="U83" s="7">
        <f t="shared" si="63"/>
        <v>0.23074779701159834</v>
      </c>
      <c r="V83" s="7">
        <f t="shared" si="63"/>
        <v>0.20946554858024408</v>
      </c>
      <c r="W83" s="7">
        <f t="shared" si="63"/>
        <v>0.25599289014624521</v>
      </c>
      <c r="X83" s="7">
        <f t="shared" si="63"/>
        <v>0.25848810414937806</v>
      </c>
      <c r="Y83" s="7">
        <f t="shared" si="64"/>
        <v>0.23188320271354959</v>
      </c>
    </row>
    <row r="84" spans="1:25">
      <c r="A84" s="1" t="s">
        <v>72</v>
      </c>
      <c r="B84" s="1"/>
      <c r="C84" s="1"/>
      <c r="D84" s="11">
        <v>850.5</v>
      </c>
      <c r="E84" s="11">
        <v>893.6</v>
      </c>
      <c r="F84" s="11">
        <v>856.4</v>
      </c>
      <c r="G84" s="11">
        <v>887.8</v>
      </c>
      <c r="H84" s="11">
        <v>963.7</v>
      </c>
      <c r="I84" s="11">
        <v>1030.8</v>
      </c>
      <c r="J84" s="11">
        <v>1082.7750000000001</v>
      </c>
      <c r="K84" s="11">
        <v>1069.894</v>
      </c>
      <c r="L84" s="7">
        <f t="shared" si="62"/>
        <v>4.5521140428660012E-2</v>
      </c>
      <c r="M84" s="1"/>
      <c r="N84" s="179" t="str">
        <f t="shared" si="52"/>
        <v xml:space="preserve">   Depreciation and amortization</v>
      </c>
      <c r="O84" s="7" t="e">
        <f t="shared" si="63"/>
        <v>#DIV/0!</v>
      </c>
      <c r="P84" s="7" t="e">
        <f t="shared" si="63"/>
        <v>#DIV/0!</v>
      </c>
      <c r="Q84" s="7">
        <f t="shared" si="63"/>
        <v>9.24969276446726E-2</v>
      </c>
      <c r="R84" s="7">
        <f t="shared" si="63"/>
        <v>9.2261628207113727E-2</v>
      </c>
      <c r="S84" s="7">
        <f t="shared" si="63"/>
        <v>8.4740060556885863E-2</v>
      </c>
      <c r="T84" s="7">
        <f t="shared" si="63"/>
        <v>8.1210380439256866E-2</v>
      </c>
      <c r="U84" s="7">
        <f t="shared" si="63"/>
        <v>8.3913830935878245E-2</v>
      </c>
      <c r="V84" s="7">
        <f t="shared" si="63"/>
        <v>7.8724281721119921E-2</v>
      </c>
      <c r="W84" s="7">
        <f t="shared" si="63"/>
        <v>0.10076403009589928</v>
      </c>
      <c r="X84" s="7">
        <f t="shared" si="63"/>
        <v>9.3134870826110661E-2</v>
      </c>
      <c r="Y84" s="7">
        <f t="shared" si="64"/>
        <v>8.6829664030925291E-2</v>
      </c>
    </row>
    <row r="85" spans="1:25">
      <c r="A85" s="1" t="s">
        <v>73</v>
      </c>
      <c r="B85" s="1"/>
      <c r="C85" s="1"/>
      <c r="D85" s="11">
        <v>405.6</v>
      </c>
      <c r="E85" s="11">
        <v>403.6</v>
      </c>
      <c r="F85" s="11">
        <v>382.5</v>
      </c>
      <c r="G85" s="11">
        <v>428.6</v>
      </c>
      <c r="H85" s="11">
        <v>489</v>
      </c>
      <c r="I85" s="11">
        <v>497</v>
      </c>
      <c r="J85" s="11">
        <v>503.85899999999998</v>
      </c>
      <c r="K85" s="11">
        <v>534.29899999999998</v>
      </c>
      <c r="L85" s="7">
        <f t="shared" si="62"/>
        <v>6.9130168054466049E-2</v>
      </c>
      <c r="M85" s="1"/>
      <c r="N85" s="179" t="str">
        <f t="shared" si="52"/>
        <v xml:space="preserve">   Taxes, other than income taxes</v>
      </c>
      <c r="O85" s="7" t="e">
        <f t="shared" si="63"/>
        <v>#DIV/0!</v>
      </c>
      <c r="P85" s="7" t="e">
        <f t="shared" si="63"/>
        <v>#DIV/0!</v>
      </c>
      <c r="Q85" s="7">
        <f t="shared" si="63"/>
        <v>4.4111409585748627E-2</v>
      </c>
      <c r="R85" s="7">
        <f t="shared" si="63"/>
        <v>4.1670538433741161E-2</v>
      </c>
      <c r="S85" s="7">
        <f t="shared" si="63"/>
        <v>3.7848053670024341E-2</v>
      </c>
      <c r="T85" s="7">
        <f t="shared" si="63"/>
        <v>3.920564209987102E-2</v>
      </c>
      <c r="U85" s="7">
        <f t="shared" si="63"/>
        <v>4.2579499146668524E-2</v>
      </c>
      <c r="V85" s="7">
        <f t="shared" si="63"/>
        <v>3.7956895629992826E-2</v>
      </c>
      <c r="W85" s="7">
        <f t="shared" si="63"/>
        <v>4.6889578573655388E-2</v>
      </c>
      <c r="X85" s="7">
        <f t="shared" si="63"/>
        <v>4.6511026650789801E-2</v>
      </c>
      <c r="Y85" s="7">
        <f t="shared" si="64"/>
        <v>4.1787316255524502E-2</v>
      </c>
    </row>
    <row r="86" spans="1:25">
      <c r="A86" s="1" t="s">
        <v>74</v>
      </c>
      <c r="B86" s="1"/>
      <c r="C86" s="1"/>
      <c r="D86" s="11">
        <v>132.5</v>
      </c>
      <c r="E86" s="11">
        <v>58.9</v>
      </c>
      <c r="F86" s="11">
        <v>93.3</v>
      </c>
      <c r="G86" s="11">
        <v>23.2</v>
      </c>
      <c r="H86" s="11">
        <v>222.6</v>
      </c>
      <c r="I86" s="11">
        <v>249.3</v>
      </c>
      <c r="J86" s="11">
        <f>8461.124-8283.8</f>
        <v>177.32400000000052</v>
      </c>
      <c r="K86" s="11">
        <f>9264.373-9007.7</f>
        <v>256.67299999999886</v>
      </c>
      <c r="L86" s="7">
        <f t="shared" si="62"/>
        <v>0.22433343189202226</v>
      </c>
      <c r="M86" s="1"/>
      <c r="N86" s="179" t="str">
        <f t="shared" si="52"/>
        <v xml:space="preserve">   Other Operating Expenses</v>
      </c>
      <c r="O86" s="7" t="e">
        <f t="shared" si="63"/>
        <v>#DIV/0!</v>
      </c>
      <c r="P86" s="7" t="e">
        <f t="shared" si="63"/>
        <v>#DIV/0!</v>
      </c>
      <c r="Q86" s="7">
        <f t="shared" si="63"/>
        <v>1.4410162155107722E-2</v>
      </c>
      <c r="R86" s="7">
        <f t="shared" si="63"/>
        <v>6.081255485003355E-3</v>
      </c>
      <c r="S86" s="7">
        <f t="shared" si="63"/>
        <v>9.2319566206882902E-3</v>
      </c>
      <c r="T86" s="7">
        <f t="shared" si="63"/>
        <v>2.1221906129654869E-3</v>
      </c>
      <c r="U86" s="7">
        <f t="shared" si="63"/>
        <v>1.9382814948974262E-2</v>
      </c>
      <c r="V86" s="7">
        <f t="shared" si="63"/>
        <v>1.9039545433716724E-2</v>
      </c>
      <c r="W86" s="7">
        <f t="shared" si="63"/>
        <v>1.6501933340468053E-2</v>
      </c>
      <c r="X86" s="7">
        <f t="shared" si="63"/>
        <v>2.2343528143489166E-2</v>
      </c>
      <c r="Y86" s="7">
        <f t="shared" si="64"/>
        <v>1.5068549944202422E-2</v>
      </c>
    </row>
    <row r="87" spans="1:25">
      <c r="A87" s="1" t="s">
        <v>75</v>
      </c>
      <c r="B87" s="1">
        <f t="shared" ref="B87:G87" si="65">SUM(B80:B86)</f>
        <v>0</v>
      </c>
      <c r="C87" s="1">
        <f t="shared" si="65"/>
        <v>0</v>
      </c>
      <c r="D87" s="11">
        <f t="shared" si="65"/>
        <v>7710.4</v>
      </c>
      <c r="E87" s="11">
        <f t="shared" si="65"/>
        <v>8035.2999999999993</v>
      </c>
      <c r="F87" s="11">
        <f t="shared" si="65"/>
        <v>8314.2999999999993</v>
      </c>
      <c r="G87" s="11">
        <f t="shared" si="65"/>
        <v>9126.7999999999993</v>
      </c>
      <c r="H87" s="11">
        <f>SUM(H81:H86)</f>
        <v>9428.0000000000018</v>
      </c>
      <c r="I87" s="11">
        <f>SUM(I81:I86)</f>
        <v>10810.599999999999</v>
      </c>
      <c r="J87" s="11">
        <f>SUM(J81:J86)</f>
        <v>8461.112000000001</v>
      </c>
      <c r="K87" s="11">
        <f>SUM(K81:K86)</f>
        <v>9264.3889999999992</v>
      </c>
      <c r="L87" s="7">
        <f t="shared" si="62"/>
        <v>2.1876044569100771E-2</v>
      </c>
      <c r="M87" s="1"/>
      <c r="N87" s="179" t="str">
        <f t="shared" si="52"/>
        <v>Total Operating Expenses</v>
      </c>
      <c r="O87" s="7" t="e">
        <f t="shared" si="63"/>
        <v>#DIV/0!</v>
      </c>
      <c r="P87" s="7" t="e">
        <f t="shared" si="63"/>
        <v>#DIV/0!</v>
      </c>
      <c r="Q87" s="7">
        <f t="shared" si="63"/>
        <v>0.83855180589239686</v>
      </c>
      <c r="R87" s="7">
        <f t="shared" si="63"/>
        <v>0.82962159929791945</v>
      </c>
      <c r="S87" s="7">
        <f t="shared" si="63"/>
        <v>0.822693000336427</v>
      </c>
      <c r="T87" s="7">
        <f t="shared" si="63"/>
        <v>0.83486246924195706</v>
      </c>
      <c r="U87" s="7">
        <f t="shared" si="63"/>
        <v>0.82093970951899986</v>
      </c>
      <c r="V87" s="7">
        <f t="shared" si="63"/>
        <v>0.82562739617223413</v>
      </c>
      <c r="W87" s="7">
        <f t="shared" si="63"/>
        <v>0.78739880788970429</v>
      </c>
      <c r="X87" s="7">
        <f t="shared" si="63"/>
        <v>0.80647024172286275</v>
      </c>
      <c r="Y87" s="7">
        <f t="shared" si="64"/>
        <v>0.8165869407256422</v>
      </c>
    </row>
    <row r="88" spans="1:25">
      <c r="A88" s="1" t="s">
        <v>76</v>
      </c>
      <c r="B88" s="1"/>
      <c r="C88" s="1"/>
      <c r="D88" s="11"/>
      <c r="E88" s="11"/>
      <c r="F88" s="11"/>
      <c r="G88" s="11"/>
      <c r="H88" s="11"/>
      <c r="I88" s="11"/>
      <c r="J88" s="11"/>
      <c r="K88" s="11"/>
      <c r="L88" s="7"/>
      <c r="M88" s="1"/>
      <c r="N88" s="179" t="str">
        <f t="shared" si="52"/>
        <v xml:space="preserve">  Electric Earnings from Operations</v>
      </c>
      <c r="O88" s="7" t="e">
        <f t="shared" ref="O88:R88" si="66">B90/B$78</f>
        <v>#DIV/0!</v>
      </c>
      <c r="P88" s="7" t="e">
        <f t="shared" si="66"/>
        <v>#DIV/0!</v>
      </c>
      <c r="Q88" s="7">
        <f t="shared" si="66"/>
        <v>0.16144819410760314</v>
      </c>
      <c r="R88" s="7">
        <f t="shared" si="66"/>
        <v>0.17037840070208052</v>
      </c>
      <c r="S88" s="7">
        <f t="shared" ref="S88:S89" si="67">F88/F$78</f>
        <v>0</v>
      </c>
      <c r="T88" s="7">
        <f t="shared" ref="T88:T89" si="68">G88/G$78</f>
        <v>0</v>
      </c>
      <c r="U88" s="7">
        <f t="shared" ref="U88:U89" si="69">H88/H$78</f>
        <v>0</v>
      </c>
      <c r="V88" s="7">
        <f t="shared" ref="V88:V89" si="70">I88/I$78</f>
        <v>0</v>
      </c>
      <c r="W88" s="7">
        <f t="shared" ref="W88:W89" si="71">J88/J$78</f>
        <v>0</v>
      </c>
      <c r="X88" s="7">
        <f t="shared" ref="X88:X89" si="72">K88/K$78</f>
        <v>0</v>
      </c>
      <c r="Y88" s="7">
        <f t="shared" ref="Y88:Y89" si="73">SUM(F88:K88)/SUM(F$78:K$78)</f>
        <v>0</v>
      </c>
    </row>
    <row r="89" spans="1:25">
      <c r="A89" s="1" t="s">
        <v>77</v>
      </c>
      <c r="B89" s="1"/>
      <c r="C89" s="1"/>
      <c r="D89" s="11"/>
      <c r="E89" s="11"/>
      <c r="F89" s="11"/>
      <c r="G89" s="11"/>
      <c r="H89" s="11"/>
      <c r="I89" s="11"/>
      <c r="J89" s="11"/>
      <c r="K89" s="11"/>
      <c r="L89" s="7"/>
      <c r="M89" s="1"/>
      <c r="N89" s="179" t="str">
        <f t="shared" si="52"/>
        <v xml:space="preserve">  Other Regulated Operating Earnings</v>
      </c>
      <c r="O89" s="1"/>
      <c r="P89" s="1"/>
      <c r="Q89" s="1"/>
      <c r="R89" s="1"/>
      <c r="S89" s="7">
        <f t="shared" si="67"/>
        <v>0</v>
      </c>
      <c r="T89" s="7">
        <f t="shared" si="68"/>
        <v>0</v>
      </c>
      <c r="U89" s="7">
        <f t="shared" si="69"/>
        <v>0</v>
      </c>
      <c r="V89" s="7">
        <f t="shared" si="70"/>
        <v>0</v>
      </c>
      <c r="W89" s="7">
        <f t="shared" si="71"/>
        <v>0</v>
      </c>
      <c r="X89" s="7">
        <f t="shared" si="72"/>
        <v>0</v>
      </c>
      <c r="Y89" s="7">
        <f t="shared" si="73"/>
        <v>0</v>
      </c>
    </row>
    <row r="90" spans="1:25">
      <c r="A90" s="1" t="s">
        <v>78</v>
      </c>
      <c r="B90" s="1">
        <f t="shared" ref="B90:G90" si="74">B78-B87</f>
        <v>0</v>
      </c>
      <c r="C90" s="1">
        <f t="shared" si="74"/>
        <v>0</v>
      </c>
      <c r="D90" s="11">
        <f t="shared" si="74"/>
        <v>1484.5</v>
      </c>
      <c r="E90" s="11">
        <f t="shared" si="74"/>
        <v>1650.2000000000007</v>
      </c>
      <c r="F90" s="11">
        <f t="shared" si="74"/>
        <v>1791.9000000000015</v>
      </c>
      <c r="G90" s="11">
        <f t="shared" si="74"/>
        <v>1805.3000000000011</v>
      </c>
      <c r="H90" s="11">
        <f>H78-H87+H88</f>
        <v>2056.3999999999978</v>
      </c>
      <c r="I90" s="11">
        <f>I78-I87+I88</f>
        <v>2283.2000000000007</v>
      </c>
      <c r="J90" s="11">
        <f>J78-J87</f>
        <v>2284.5379999999986</v>
      </c>
      <c r="K90" s="11">
        <f>K78-K87</f>
        <v>2223.1880000000019</v>
      </c>
      <c r="L90" s="7">
        <f t="shared" ref="L90" si="75">RATE(5,,-F90,K90)</f>
        <v>4.407689240428278E-2</v>
      </c>
      <c r="M90" s="1"/>
      <c r="N90" s="179" t="str">
        <f t="shared" si="52"/>
        <v>Total Earnings From Operations</v>
      </c>
      <c r="O90" s="1"/>
      <c r="P90" s="1"/>
      <c r="Q90" s="1"/>
      <c r="R90" s="1"/>
      <c r="S90" s="7">
        <f t="shared" ref="S90" si="76">F90/F$78</f>
        <v>0.177306999663573</v>
      </c>
      <c r="T90" s="7">
        <f t="shared" ref="T90" si="77">G90/G$78</f>
        <v>0.16513753075804291</v>
      </c>
      <c r="U90" s="7">
        <f t="shared" ref="U90" si="78">H90/H$78</f>
        <v>0.17906029048100014</v>
      </c>
      <c r="V90" s="7">
        <f t="shared" ref="V90" si="79">I90/I$78</f>
        <v>0.17437260382776587</v>
      </c>
      <c r="W90" s="7">
        <f t="shared" ref="W90" si="80">J90/J$78</f>
        <v>0.21260119211029568</v>
      </c>
      <c r="X90" s="7">
        <f t="shared" ref="X90" si="81">K90/K$78</f>
        <v>0.19352975827713725</v>
      </c>
      <c r="Y90" s="7">
        <f t="shared" si="64"/>
        <v>0.18341305927435791</v>
      </c>
    </row>
    <row r="91" spans="1:25">
      <c r="A91" s="1"/>
      <c r="B91" s="1"/>
      <c r="C91" s="1"/>
      <c r="D91" s="11"/>
      <c r="E91" s="11"/>
      <c r="F91" s="11"/>
      <c r="G91" s="11"/>
      <c r="H91" s="11"/>
      <c r="I91" s="11"/>
      <c r="J91" s="11"/>
      <c r="K91" s="11"/>
      <c r="L91" s="7"/>
      <c r="M91" s="1"/>
      <c r="N91" s="179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</row>
    <row r="92" spans="1:25">
      <c r="A92" s="1" t="s">
        <v>79</v>
      </c>
      <c r="B92" s="1"/>
      <c r="C92" s="1"/>
      <c r="D92" s="11">
        <v>539.5</v>
      </c>
      <c r="E92" s="11">
        <v>503.5</v>
      </c>
      <c r="F92" s="11">
        <v>505</v>
      </c>
      <c r="G92" s="11">
        <v>573.9</v>
      </c>
      <c r="H92" s="11">
        <v>662.1</v>
      </c>
      <c r="I92" s="11">
        <v>634.20000000000005</v>
      </c>
      <c r="J92" s="11">
        <v>603.67899999999997</v>
      </c>
      <c r="K92" s="11">
        <v>610.14599999999996</v>
      </c>
      <c r="L92" s="7">
        <f t="shared" ref="L92:L93" si="82">RATE(5,,-F92,K92)</f>
        <v>3.8552553967347733E-2</v>
      </c>
      <c r="M92" s="1"/>
      <c r="N92" s="179" t="str">
        <f t="shared" si="52"/>
        <v xml:space="preserve">   Interest expense (net)</v>
      </c>
      <c r="O92" s="7" t="e">
        <f t="shared" ref="O92:X96" si="83">B92/B$78</f>
        <v>#DIV/0!</v>
      </c>
      <c r="P92" s="7" t="e">
        <f t="shared" si="83"/>
        <v>#DIV/0!</v>
      </c>
      <c r="Q92" s="7">
        <f t="shared" si="83"/>
        <v>5.8673830057966919E-2</v>
      </c>
      <c r="R92" s="7">
        <f t="shared" si="83"/>
        <v>5.1984925920189974E-2</v>
      </c>
      <c r="S92" s="7">
        <f t="shared" si="83"/>
        <v>4.9969325760424288E-2</v>
      </c>
      <c r="T92" s="7">
        <f t="shared" si="83"/>
        <v>5.2496775550900557E-2</v>
      </c>
      <c r="U92" s="7">
        <f t="shared" si="83"/>
        <v>5.7652119396746894E-2</v>
      </c>
      <c r="V92" s="7">
        <f t="shared" si="83"/>
        <v>4.8435137240526054E-2</v>
      </c>
      <c r="W92" s="7">
        <f t="shared" si="83"/>
        <v>5.6178918911373436E-2</v>
      </c>
      <c r="X92" s="7">
        <f t="shared" si="83"/>
        <v>5.3113550403187715E-2</v>
      </c>
      <c r="Y92" s="7">
        <f t="shared" si="64"/>
        <v>5.2896675619638081E-2</v>
      </c>
    </row>
    <row r="93" spans="1:25">
      <c r="A93" s="1" t="s">
        <v>80</v>
      </c>
      <c r="B93" s="1"/>
      <c r="C93" s="1"/>
      <c r="D93" s="11">
        <v>-87.4</v>
      </c>
      <c r="E93" s="11">
        <v>-109.6</v>
      </c>
      <c r="F93" s="11">
        <v>-150.5</v>
      </c>
      <c r="G93" s="11">
        <v>-198.8</v>
      </c>
      <c r="H93" s="11">
        <v>-234</v>
      </c>
      <c r="I93" s="11">
        <v>-148.19999999999999</v>
      </c>
      <c r="J93" s="11">
        <f>-236.628+86.069</f>
        <v>-150.55899999999997</v>
      </c>
      <c r="K93" s="11">
        <f>-185.455+1.378</f>
        <v>-184.07700000000003</v>
      </c>
      <c r="L93" s="7">
        <f t="shared" si="82"/>
        <v>4.1100381386438872E-2</v>
      </c>
      <c r="M93" s="1"/>
      <c r="N93" s="179" t="str">
        <f t="shared" si="52"/>
        <v xml:space="preserve">   Interest income</v>
      </c>
      <c r="O93" s="7" t="e">
        <f t="shared" si="83"/>
        <v>#DIV/0!</v>
      </c>
      <c r="P93" s="7" t="e">
        <f t="shared" si="83"/>
        <v>#DIV/0!</v>
      </c>
      <c r="Q93" s="7">
        <f t="shared" si="83"/>
        <v>-9.5052692253314343E-3</v>
      </c>
      <c r="R93" s="7">
        <f t="shared" si="83"/>
        <v>-1.1315884569717619E-2</v>
      </c>
      <c r="S93" s="7">
        <f t="shared" si="83"/>
        <v>-1.4891848568205655E-2</v>
      </c>
      <c r="T93" s="7">
        <f t="shared" si="83"/>
        <v>-1.8184978183514604E-2</v>
      </c>
      <c r="U93" s="7">
        <f t="shared" si="83"/>
        <v>-2.0375465849326042E-2</v>
      </c>
      <c r="V93" s="7">
        <f t="shared" si="83"/>
        <v>-1.1318333867937496E-2</v>
      </c>
      <c r="W93" s="7">
        <f t="shared" si="83"/>
        <v>-1.4011158003471171E-2</v>
      </c>
      <c r="X93" s="7">
        <f t="shared" si="83"/>
        <v>-1.6024005758568584E-2</v>
      </c>
      <c r="Y93" s="7">
        <f t="shared" si="64"/>
        <v>-1.5713195131942092E-2</v>
      </c>
    </row>
    <row r="94" spans="1:25">
      <c r="A94" s="1" t="s">
        <v>81</v>
      </c>
      <c r="B94" s="1"/>
      <c r="C94" s="1"/>
      <c r="D94" s="11"/>
      <c r="E94" s="11"/>
      <c r="F94" s="11"/>
      <c r="G94" s="11"/>
      <c r="H94" s="11"/>
      <c r="I94" s="11"/>
      <c r="J94" s="11"/>
      <c r="K94" s="11">
        <v>-44.173000000000002</v>
      </c>
      <c r="L94" s="7"/>
      <c r="M94" s="1"/>
      <c r="N94" s="179" t="str">
        <f t="shared" si="52"/>
        <v xml:space="preserve">   Loss (Gain) on Sale of Assets</v>
      </c>
      <c r="O94" s="7" t="e">
        <f t="shared" si="83"/>
        <v>#DIV/0!</v>
      </c>
      <c r="P94" s="7" t="e">
        <f t="shared" si="83"/>
        <v>#DIV/0!</v>
      </c>
      <c r="Q94" s="7">
        <f t="shared" si="83"/>
        <v>0</v>
      </c>
      <c r="R94" s="7">
        <f t="shared" si="83"/>
        <v>0</v>
      </c>
      <c r="S94" s="7">
        <f t="shared" si="83"/>
        <v>0</v>
      </c>
      <c r="T94" s="7">
        <f t="shared" si="83"/>
        <v>0</v>
      </c>
      <c r="U94" s="7">
        <f t="shared" si="83"/>
        <v>0</v>
      </c>
      <c r="V94" s="7">
        <f t="shared" si="83"/>
        <v>0</v>
      </c>
      <c r="W94" s="7">
        <f t="shared" si="83"/>
        <v>0</v>
      </c>
      <c r="X94" s="7">
        <f t="shared" si="83"/>
        <v>-3.8452843449928559E-3</v>
      </c>
      <c r="Y94" s="7">
        <f t="shared" si="64"/>
        <v>-6.5104167626201361E-4</v>
      </c>
    </row>
    <row r="95" spans="1:25">
      <c r="A95" s="1" t="s">
        <v>157</v>
      </c>
      <c r="B95" s="1"/>
      <c r="C95" s="1"/>
      <c r="D95" s="11">
        <v>-271.10000000000002</v>
      </c>
      <c r="E95" s="11">
        <v>-18.5</v>
      </c>
      <c r="F95" s="11">
        <v>-65</v>
      </c>
      <c r="G95" s="11">
        <v>-145.9</v>
      </c>
      <c r="H95" s="11">
        <v>-20.9</v>
      </c>
      <c r="I95" s="11">
        <v>-26.4</v>
      </c>
      <c r="J95" s="11">
        <v>-32.392000000000003</v>
      </c>
      <c r="K95" s="11">
        <v>-26.141999999999999</v>
      </c>
      <c r="L95" s="7">
        <f t="shared" ref="L95:L96" si="84">RATE(5,,-F95,K95)</f>
        <v>-0.16653936853668211</v>
      </c>
      <c r="M95" s="1"/>
      <c r="N95" s="179" t="str">
        <f t="shared" si="52"/>
        <v xml:space="preserve">   Other (Income) Expense</v>
      </c>
      <c r="O95" s="7" t="e">
        <f t="shared" si="83"/>
        <v>#DIV/0!</v>
      </c>
      <c r="P95" s="7" t="e">
        <f t="shared" si="83"/>
        <v>#DIV/0!</v>
      </c>
      <c r="Q95" s="7">
        <f t="shared" si="83"/>
        <v>-2.9483735549054372E-2</v>
      </c>
      <c r="R95" s="7">
        <f t="shared" si="83"/>
        <v>-1.9100717567497806E-3</v>
      </c>
      <c r="S95" s="7">
        <f t="shared" si="83"/>
        <v>-6.4316953949060968E-3</v>
      </c>
      <c r="T95" s="7">
        <f t="shared" si="83"/>
        <v>-1.3346017691020024E-2</v>
      </c>
      <c r="U95" s="7">
        <f t="shared" si="83"/>
        <v>-1.8198599839782661E-3</v>
      </c>
      <c r="V95" s="7">
        <f t="shared" si="83"/>
        <v>-2.0162214177702423E-3</v>
      </c>
      <c r="W95" s="7">
        <f t="shared" si="83"/>
        <v>-3.0144290945638471E-3</v>
      </c>
      <c r="X95" s="7">
        <f t="shared" si="83"/>
        <v>-2.2756757147307911E-3</v>
      </c>
      <c r="Y95" s="7">
        <f t="shared" si="64"/>
        <v>-4.6681691143724132E-3</v>
      </c>
    </row>
    <row r="96" spans="1:25">
      <c r="A96" s="1" t="s">
        <v>83</v>
      </c>
      <c r="B96" s="1">
        <f t="shared" ref="B96:J96" si="85">SUM(B92:B95)</f>
        <v>0</v>
      </c>
      <c r="C96" s="1">
        <f t="shared" si="85"/>
        <v>0</v>
      </c>
      <c r="D96" s="11">
        <f t="shared" si="85"/>
        <v>181</v>
      </c>
      <c r="E96" s="11">
        <f t="shared" si="85"/>
        <v>375.4</v>
      </c>
      <c r="F96" s="11">
        <f t="shared" si="85"/>
        <v>289.5</v>
      </c>
      <c r="G96" s="11">
        <f t="shared" si="85"/>
        <v>229.19999999999996</v>
      </c>
      <c r="H96" s="11">
        <f t="shared" si="85"/>
        <v>407.20000000000005</v>
      </c>
      <c r="I96" s="11">
        <f t="shared" si="85"/>
        <v>459.60000000000008</v>
      </c>
      <c r="J96" s="11">
        <f t="shared" si="85"/>
        <v>420.72800000000001</v>
      </c>
      <c r="K96" s="11">
        <f t="shared" ref="K96" si="86">SUM(K92:K95)</f>
        <v>355.75399999999996</v>
      </c>
      <c r="L96" s="7">
        <f t="shared" si="84"/>
        <v>4.2078041863802707E-2</v>
      </c>
      <c r="M96" s="1"/>
      <c r="N96" s="179" t="str">
        <f t="shared" si="52"/>
        <v>Total Other Income/Expense</v>
      </c>
      <c r="O96" s="7" t="e">
        <f t="shared" si="83"/>
        <v>#DIV/0!</v>
      </c>
      <c r="P96" s="7" t="e">
        <f t="shared" si="83"/>
        <v>#DIV/0!</v>
      </c>
      <c r="Q96" s="7">
        <f t="shared" si="83"/>
        <v>1.9684825283581116E-2</v>
      </c>
      <c r="R96" s="7">
        <f t="shared" si="83"/>
        <v>3.8758969593722575E-2</v>
      </c>
      <c r="S96" s="7">
        <f t="shared" si="83"/>
        <v>2.8645781797312538E-2</v>
      </c>
      <c r="T96" s="7">
        <f t="shared" si="83"/>
        <v>2.0965779676365929E-2</v>
      </c>
      <c r="U96" s="7">
        <f t="shared" si="83"/>
        <v>3.5456793563442592E-2</v>
      </c>
      <c r="V96" s="7">
        <f t="shared" si="83"/>
        <v>3.510058195481832E-2</v>
      </c>
      <c r="W96" s="7">
        <f t="shared" si="83"/>
        <v>3.9153331813338424E-2</v>
      </c>
      <c r="X96" s="7">
        <f t="shared" si="83"/>
        <v>3.0968584584895487E-2</v>
      </c>
      <c r="Y96" s="7">
        <f t="shared" si="64"/>
        <v>3.1864269697061569E-2</v>
      </c>
    </row>
    <row r="97" spans="1:25">
      <c r="A97" s="1"/>
      <c r="B97" s="1"/>
      <c r="C97" s="1"/>
      <c r="D97" s="11"/>
      <c r="E97" s="11"/>
      <c r="F97" s="11"/>
      <c r="G97" s="11"/>
      <c r="H97" s="11"/>
      <c r="I97" s="11"/>
      <c r="J97" s="11"/>
      <c r="K97" s="11"/>
      <c r="L97" s="7"/>
      <c r="M97" s="1"/>
      <c r="N97" s="179"/>
      <c r="O97" s="1"/>
      <c r="P97" s="1"/>
      <c r="Q97" s="1"/>
      <c r="R97" s="1"/>
      <c r="S97" s="1"/>
      <c r="T97" s="1"/>
      <c r="U97" s="1"/>
      <c r="V97" s="1"/>
      <c r="W97" s="1"/>
      <c r="X97" s="1"/>
      <c r="Y97" s="7">
        <f t="shared" si="64"/>
        <v>0</v>
      </c>
    </row>
    <row r="98" spans="1:25">
      <c r="A98" s="1" t="s">
        <v>84</v>
      </c>
      <c r="B98" s="1">
        <f t="shared" ref="B98:G98" si="87">B90-B96</f>
        <v>0</v>
      </c>
      <c r="C98" s="1">
        <f t="shared" si="87"/>
        <v>0</v>
      </c>
      <c r="D98" s="11">
        <f t="shared" si="87"/>
        <v>1303.5</v>
      </c>
      <c r="E98" s="11">
        <f t="shared" si="87"/>
        <v>1274.8000000000006</v>
      </c>
      <c r="F98" s="11">
        <f t="shared" si="87"/>
        <v>1502.4000000000015</v>
      </c>
      <c r="G98" s="11">
        <f t="shared" si="87"/>
        <v>1576.100000000001</v>
      </c>
      <c r="H98" s="11">
        <f>H90-H96</f>
        <v>1649.1999999999978</v>
      </c>
      <c r="I98" s="11">
        <f>I90-I96</f>
        <v>1823.6000000000006</v>
      </c>
      <c r="J98" s="11">
        <f>J90-J96</f>
        <v>1863.8099999999986</v>
      </c>
      <c r="K98" s="11">
        <f>K90-K96</f>
        <v>1867.434000000002</v>
      </c>
      <c r="L98" s="7">
        <f t="shared" ref="L98" si="88">RATE(5,,-F98,K98)</f>
        <v>4.446030066541224E-2</v>
      </c>
      <c r="M98" s="1"/>
      <c r="N98" s="179" t="str">
        <f t="shared" si="52"/>
        <v>Earnings Before Taxes</v>
      </c>
      <c r="O98" s="7" t="e">
        <f t="shared" ref="O98:X101" si="89">B98/B$78</f>
        <v>#DIV/0!</v>
      </c>
      <c r="P98" s="7" t="e">
        <f t="shared" si="89"/>
        <v>#DIV/0!</v>
      </c>
      <c r="Q98" s="7">
        <f t="shared" si="89"/>
        <v>0.14176336882402202</v>
      </c>
      <c r="R98" s="7">
        <f t="shared" si="89"/>
        <v>0.13161943110835791</v>
      </c>
      <c r="S98" s="7">
        <f t="shared" si="89"/>
        <v>0.14866121786626044</v>
      </c>
      <c r="T98" s="7">
        <f t="shared" si="89"/>
        <v>0.14417175108167699</v>
      </c>
      <c r="U98" s="7">
        <f t="shared" si="89"/>
        <v>0.14360349691755755</v>
      </c>
      <c r="V98" s="7">
        <f t="shared" si="89"/>
        <v>0.13927202187294754</v>
      </c>
      <c r="W98" s="7">
        <f t="shared" si="89"/>
        <v>0.17344786029695725</v>
      </c>
      <c r="X98" s="7">
        <f t="shared" si="89"/>
        <v>0.16256117369224179</v>
      </c>
      <c r="Y98" s="7">
        <f t="shared" si="64"/>
        <v>0.15154878957729634</v>
      </c>
    </row>
    <row r="99" spans="1:25">
      <c r="A99" s="1" t="s">
        <v>85</v>
      </c>
      <c r="B99" s="1"/>
      <c r="C99" s="1"/>
      <c r="D99" s="11">
        <v>137.1</v>
      </c>
      <c r="E99" s="11"/>
      <c r="F99" s="11">
        <v>-44.8</v>
      </c>
      <c r="G99" s="11">
        <v>-0.5</v>
      </c>
      <c r="H99" s="11"/>
      <c r="I99" s="11"/>
      <c r="J99" s="11"/>
      <c r="K99" s="11"/>
      <c r="L99" s="7"/>
      <c r="M99" s="1"/>
      <c r="N99" s="179" t="str">
        <f t="shared" si="52"/>
        <v>Extraordinary Items</v>
      </c>
      <c r="O99" s="7" t="e">
        <f t="shared" si="89"/>
        <v>#DIV/0!</v>
      </c>
      <c r="P99" s="7" t="e">
        <f t="shared" si="89"/>
        <v>#DIV/0!</v>
      </c>
      <c r="Q99" s="7">
        <f t="shared" si="89"/>
        <v>1.4910439482756745E-2</v>
      </c>
      <c r="R99" s="7">
        <f t="shared" si="89"/>
        <v>0</v>
      </c>
      <c r="S99" s="7">
        <f t="shared" si="89"/>
        <v>-4.4329223644891252E-3</v>
      </c>
      <c r="T99" s="7">
        <f t="shared" si="89"/>
        <v>-4.5736866658738939E-5</v>
      </c>
      <c r="U99" s="7">
        <f t="shared" si="89"/>
        <v>0</v>
      </c>
      <c r="V99" s="7">
        <f t="shared" si="89"/>
        <v>0</v>
      </c>
      <c r="W99" s="7">
        <f t="shared" si="89"/>
        <v>0</v>
      </c>
      <c r="X99" s="7">
        <f t="shared" si="89"/>
        <v>0</v>
      </c>
      <c r="Y99" s="7">
        <f t="shared" si="64"/>
        <v>-6.6765191258617732E-4</v>
      </c>
    </row>
    <row r="100" spans="1:25">
      <c r="A100" s="1" t="s">
        <v>86</v>
      </c>
      <c r="B100" s="1"/>
      <c r="C100" s="1"/>
      <c r="D100" s="11">
        <v>490.1</v>
      </c>
      <c r="E100" s="11">
        <v>365.3</v>
      </c>
      <c r="F100" s="11">
        <v>559.29999999999995</v>
      </c>
      <c r="G100" s="11">
        <v>443</v>
      </c>
      <c r="H100" s="11">
        <v>514.4</v>
      </c>
      <c r="I100" s="11">
        <v>603</v>
      </c>
      <c r="J100" s="11">
        <v>632.74</v>
      </c>
      <c r="K100" s="11">
        <v>617.23900000000003</v>
      </c>
      <c r="L100" s="7">
        <f t="shared" ref="L100:L101" si="90">RATE(5,,-F100,K100)</f>
        <v>1.9909666431002872E-2</v>
      </c>
      <c r="M100" s="1"/>
      <c r="N100" s="179" t="str">
        <f t="shared" si="52"/>
        <v>Income Taxes</v>
      </c>
      <c r="O100" s="7" t="e">
        <f t="shared" si="89"/>
        <v>#DIV/0!</v>
      </c>
      <c r="P100" s="7" t="e">
        <f t="shared" si="89"/>
        <v>#DIV/0!</v>
      </c>
      <c r="Q100" s="7">
        <f t="shared" si="89"/>
        <v>5.3301286582779592E-2</v>
      </c>
      <c r="R100" s="7">
        <f t="shared" si="89"/>
        <v>3.7716173661659184E-2</v>
      </c>
      <c r="S100" s="7">
        <f t="shared" si="89"/>
        <v>5.5342265144168915E-2</v>
      </c>
      <c r="T100" s="7">
        <f t="shared" si="89"/>
        <v>4.0522863859642703E-2</v>
      </c>
      <c r="U100" s="7">
        <f t="shared" si="89"/>
        <v>4.4791195012364601E-2</v>
      </c>
      <c r="V100" s="7">
        <f t="shared" si="89"/>
        <v>4.6052330110433949E-2</v>
      </c>
      <c r="W100" s="7">
        <f t="shared" si="89"/>
        <v>5.8883362104665611E-2</v>
      </c>
      <c r="X100" s="7">
        <f t="shared" si="89"/>
        <v>5.3731000018541766E-2</v>
      </c>
      <c r="Y100" s="7">
        <f t="shared" si="64"/>
        <v>4.9663854948156234E-2</v>
      </c>
    </row>
    <row r="101" spans="1:25">
      <c r="A101" s="1" t="s">
        <v>87</v>
      </c>
      <c r="B101" s="1">
        <f t="shared" ref="B101:G101" si="91">B98+B99-B100</f>
        <v>0</v>
      </c>
      <c r="C101" s="1">
        <f t="shared" si="91"/>
        <v>0</v>
      </c>
      <c r="D101" s="11">
        <f t="shared" si="91"/>
        <v>950.49999999999989</v>
      </c>
      <c r="E101" s="11">
        <f t="shared" si="91"/>
        <v>909.50000000000068</v>
      </c>
      <c r="F101" s="11">
        <f>F98+F99-F100</f>
        <v>898.30000000000155</v>
      </c>
      <c r="G101" s="11">
        <f t="shared" si="91"/>
        <v>1132.600000000001</v>
      </c>
      <c r="H101" s="11">
        <f>H98+H99-H100</f>
        <v>1134.7999999999979</v>
      </c>
      <c r="I101" s="11">
        <f>I98+I99-I100</f>
        <v>1220.6000000000006</v>
      </c>
      <c r="J101" s="11">
        <f>J98+J99-J100</f>
        <v>1231.0699999999986</v>
      </c>
      <c r="K101" s="11">
        <f>K98+K99-K100</f>
        <v>1250.195000000002</v>
      </c>
      <c r="L101" s="7">
        <f t="shared" si="90"/>
        <v>6.8344384523606541E-2</v>
      </c>
      <c r="M101" s="1"/>
      <c r="N101" s="179" t="str">
        <f t="shared" si="52"/>
        <v>Net Income</v>
      </c>
      <c r="O101" s="7" t="e">
        <f t="shared" si="89"/>
        <v>#DIV/0!</v>
      </c>
      <c r="P101" s="7" t="e">
        <f t="shared" si="89"/>
        <v>#DIV/0!</v>
      </c>
      <c r="Q101" s="7">
        <f t="shared" si="89"/>
        <v>0.10337252172399916</v>
      </c>
      <c r="R101" s="7">
        <f t="shared" si="89"/>
        <v>9.3903257446698737E-2</v>
      </c>
      <c r="S101" s="7">
        <f t="shared" si="89"/>
        <v>8.8886030357602411E-2</v>
      </c>
      <c r="T101" s="7">
        <f t="shared" si="89"/>
        <v>0.10360315035537554</v>
      </c>
      <c r="U101" s="7">
        <f t="shared" si="89"/>
        <v>9.8812301905192954E-2</v>
      </c>
      <c r="V101" s="7">
        <f t="shared" si="89"/>
        <v>9.3219691762513601E-2</v>
      </c>
      <c r="W101" s="7">
        <f t="shared" si="89"/>
        <v>0.11456449819229164</v>
      </c>
      <c r="X101" s="7">
        <f t="shared" si="89"/>
        <v>0.10883017367370001</v>
      </c>
      <c r="Y101" s="7">
        <f t="shared" si="64"/>
        <v>0.10121728271655393</v>
      </c>
    </row>
    <row r="102" spans="1:25">
      <c r="A102" s="1"/>
      <c r="B102" s="1"/>
      <c r="C102" s="1"/>
      <c r="D102" s="11"/>
      <c r="E102" s="11"/>
      <c r="F102" s="11"/>
      <c r="G102" s="11"/>
      <c r="H102" s="11"/>
      <c r="I102" s="11"/>
      <c r="J102" s="11"/>
      <c r="K102" s="11"/>
      <c r="L102" s="7"/>
      <c r="M102" s="1"/>
      <c r="N102" s="179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"/>
      <c r="C103" s="1"/>
      <c r="D103" s="11">
        <v>23.5</v>
      </c>
      <c r="E103" s="11">
        <v>23.5</v>
      </c>
      <c r="F103" s="11">
        <v>25.5</v>
      </c>
      <c r="G103" s="11">
        <v>28.8</v>
      </c>
      <c r="H103" s="11">
        <v>25.9</v>
      </c>
      <c r="I103" s="11">
        <v>20</v>
      </c>
      <c r="J103" s="11">
        <v>19.957999999999998</v>
      </c>
      <c r="K103" s="11">
        <v>20.062999999999999</v>
      </c>
      <c r="L103" s="7">
        <f t="shared" ref="L103:L104" si="92">RATE(5,,-F103,K103)</f>
        <v>-4.6828302123229977E-2</v>
      </c>
      <c r="M103" s="1"/>
      <c r="N103" s="179" t="str">
        <f t="shared" si="52"/>
        <v>Preferred Stock Dividends</v>
      </c>
      <c r="O103" s="7" t="e">
        <f t="shared" ref="O103:X104" si="93">B103/B$101</f>
        <v>#DIV/0!</v>
      </c>
      <c r="P103" s="7" t="e">
        <f t="shared" si="93"/>
        <v>#DIV/0!</v>
      </c>
      <c r="Q103" s="7">
        <f t="shared" si="93"/>
        <v>2.4723829563387693E-2</v>
      </c>
      <c r="R103" s="7">
        <f t="shared" si="93"/>
        <v>2.5838372732270458E-2</v>
      </c>
      <c r="S103" s="7">
        <f t="shared" si="93"/>
        <v>2.8386953133696935E-2</v>
      </c>
      <c r="T103" s="7">
        <f t="shared" si="93"/>
        <v>2.5428218258873366E-2</v>
      </c>
      <c r="U103" s="7">
        <f t="shared" si="93"/>
        <v>2.2823405005287317E-2</v>
      </c>
      <c r="V103" s="7">
        <f t="shared" si="93"/>
        <v>1.6385384237260357E-2</v>
      </c>
      <c r="W103" s="7">
        <f t="shared" si="93"/>
        <v>1.6211913213708417E-2</v>
      </c>
      <c r="X103" s="7">
        <f t="shared" si="93"/>
        <v>1.6047896528141585E-2</v>
      </c>
      <c r="Y103" s="7">
        <f>SUM(F103:K103)/SUM(F$101:K$101)</f>
        <v>2.041786280872477E-2</v>
      </c>
    </row>
    <row r="104" spans="1:25">
      <c r="A104" s="1" t="s">
        <v>90</v>
      </c>
      <c r="B104" s="1"/>
      <c r="C104" s="1"/>
      <c r="D104" s="11">
        <v>362.8</v>
      </c>
      <c r="E104" s="11">
        <v>427.9</v>
      </c>
      <c r="F104" s="11">
        <v>453.5</v>
      </c>
      <c r="G104" s="11">
        <v>448.9</v>
      </c>
      <c r="H104" s="11">
        <v>507.3</v>
      </c>
      <c r="I104" s="11">
        <v>573</v>
      </c>
      <c r="J104" s="11">
        <v>576.95600000000002</v>
      </c>
      <c r="K104" s="11">
        <v>603.85400000000004</v>
      </c>
      <c r="L104" s="7">
        <f t="shared" si="92"/>
        <v>5.893897036220222E-2</v>
      </c>
      <c r="M104" s="1"/>
      <c r="N104" s="179" t="str">
        <f t="shared" si="52"/>
        <v>Common Stock Dividends</v>
      </c>
      <c r="O104" s="7" t="e">
        <f t="shared" si="93"/>
        <v>#DIV/0!</v>
      </c>
      <c r="P104" s="7" t="e">
        <f t="shared" si="93"/>
        <v>#DIV/0!</v>
      </c>
      <c r="Q104" s="7">
        <f t="shared" si="93"/>
        <v>0.38169384534455558</v>
      </c>
      <c r="R104" s="7">
        <f t="shared" si="93"/>
        <v>0.47047828477185227</v>
      </c>
      <c r="S104" s="7">
        <f t="shared" si="93"/>
        <v>0.50484248024045331</v>
      </c>
      <c r="T104" s="7">
        <f t="shared" si="93"/>
        <v>0.39634469362528657</v>
      </c>
      <c r="U104" s="7">
        <f t="shared" si="93"/>
        <v>0.44703912583715277</v>
      </c>
      <c r="V104" s="7">
        <f t="shared" si="93"/>
        <v>0.46944125839750922</v>
      </c>
      <c r="W104" s="7">
        <f>J104/J$101</f>
        <v>0.46866222066982438</v>
      </c>
      <c r="X104" s="7">
        <f>K104/K$101</f>
        <v>0.4830078507752783</v>
      </c>
      <c r="Y104" s="7">
        <f>SUM(F104:K104)/SUM(F$101:K$101)</f>
        <v>0.46064507580197628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Entergy Corp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94">O8</f>
        <v>2001</v>
      </c>
      <c r="C114" s="5">
        <f t="shared" si="94"/>
        <v>2002</v>
      </c>
      <c r="D114" s="5">
        <f t="shared" si="94"/>
        <v>2003</v>
      </c>
      <c r="E114" s="5">
        <f t="shared" si="94"/>
        <v>2004</v>
      </c>
      <c r="F114" s="5">
        <f t="shared" si="94"/>
        <v>2005</v>
      </c>
      <c r="G114" s="5">
        <f t="shared" si="94"/>
        <v>2006</v>
      </c>
      <c r="H114" s="5">
        <f>U8</f>
        <v>2007</v>
      </c>
      <c r="I114" s="5">
        <f>V8</f>
        <v>2008</v>
      </c>
      <c r="J114" s="162">
        <f>J8</f>
        <v>2009</v>
      </c>
      <c r="K114" s="162">
        <f>K8</f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 t="e">
        <f t="shared" ref="B117:I117" si="95">B15/B48</f>
        <v>#DIV/0!</v>
      </c>
      <c r="C117" s="1" t="e">
        <f t="shared" si="95"/>
        <v>#DIV/0!</v>
      </c>
      <c r="D117" s="1">
        <f t="shared" si="95"/>
        <v>1.3137122541739796</v>
      </c>
      <c r="E117" s="1">
        <f t="shared" si="95"/>
        <v>1.3325758874978562</v>
      </c>
      <c r="F117" s="1">
        <f t="shared" si="95"/>
        <v>1.3053270787816476</v>
      </c>
      <c r="G117" s="1">
        <f t="shared" si="95"/>
        <v>1.3489919273051805</v>
      </c>
      <c r="H117" s="1">
        <f t="shared" si="95"/>
        <v>1.2153647752394992</v>
      </c>
      <c r="I117" s="1">
        <f t="shared" si="95"/>
        <v>1.3702966090443187</v>
      </c>
      <c r="J117" s="1">
        <f>J15/J48</f>
        <v>1.419617108182734</v>
      </c>
      <c r="K117" s="1">
        <f>K15/K48</f>
        <v>1.5629021783410724</v>
      </c>
      <c r="L117" s="12">
        <f>AVERAGE(F117:K117)</f>
        <v>1.370416612815742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 t="e">
        <f t="shared" ref="B118:I118" si="96">(B11+B12)/B48</f>
        <v>#DIV/0!</v>
      </c>
      <c r="C118" s="1" t="e">
        <f t="shared" si="96"/>
        <v>#DIV/0!</v>
      </c>
      <c r="D118" s="1">
        <f t="shared" si="96"/>
        <v>0.76324197830880702</v>
      </c>
      <c r="E118" s="1">
        <f t="shared" si="96"/>
        <v>0.86670382438689764</v>
      </c>
      <c r="F118" s="1">
        <f t="shared" si="96"/>
        <v>0.6806323094717901</v>
      </c>
      <c r="G118" s="1">
        <f t="shared" si="96"/>
        <v>0.86966046002190589</v>
      </c>
      <c r="H118" s="1">
        <f t="shared" si="96"/>
        <v>0.74606976172930495</v>
      </c>
      <c r="I118" s="1">
        <f t="shared" si="96"/>
        <v>0.82811545712844203</v>
      </c>
      <c r="J118" s="1">
        <f>(J11+J12)/J48</f>
        <v>0.84233381977277721</v>
      </c>
      <c r="K118" s="1">
        <f>(K11+K12)/K48</f>
        <v>0.83926985934811515</v>
      </c>
      <c r="L118" s="12">
        <f t="shared" ref="L118:L119" si="97">AVERAGE(F118:K118)</f>
        <v>0.80101361124538928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 t="e">
        <f t="shared" ref="C119:I119" si="98">365*(((B12+C12)/2)/((B78+C78)/2))</f>
        <v>#DIV/0!</v>
      </c>
      <c r="D119" s="1">
        <f t="shared" si="98"/>
        <v>39.846762879422286</v>
      </c>
      <c r="E119" s="1">
        <f t="shared" si="98"/>
        <v>42.871125611745512</v>
      </c>
      <c r="F119" s="1">
        <f t="shared" si="98"/>
        <v>50.704638813239889</v>
      </c>
      <c r="G119" s="1">
        <f t="shared" si="98"/>
        <v>46.204683838523067</v>
      </c>
      <c r="H119" s="1">
        <f t="shared" si="98"/>
        <v>37.510338366828002</v>
      </c>
      <c r="I119" s="1">
        <f t="shared" si="98"/>
        <v>35.258196287767205</v>
      </c>
      <c r="J119" s="1">
        <f>365*((I12+J12)/2)/((I78+J78*(2))/2)</f>
        <v>22.995693376627504</v>
      </c>
      <c r="K119" s="1">
        <f>365*((J12+K12)/2)/((J78+K78*(2))/2)</f>
        <v>21.82597084577224</v>
      </c>
      <c r="L119" s="12">
        <f t="shared" si="97"/>
        <v>35.749920254792983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 t="e">
        <f t="shared" ref="B122:I122" si="99">B62/B55</f>
        <v>#DIV/0!</v>
      </c>
      <c r="C122" s="1" t="e">
        <f t="shared" si="99"/>
        <v>#DIV/0!</v>
      </c>
      <c r="D122" s="1">
        <f t="shared" si="99"/>
        <v>0.44658634950280673</v>
      </c>
      <c r="E122" s="1">
        <f t="shared" si="99"/>
        <v>0.42225185381221153</v>
      </c>
      <c r="F122" s="1">
        <f t="shared" si="99"/>
        <v>0.34188603651702743</v>
      </c>
      <c r="G122" s="1">
        <f t="shared" si="99"/>
        <v>0.3637061388914769</v>
      </c>
      <c r="H122" s="1">
        <f t="shared" si="99"/>
        <v>0.30871405462283857</v>
      </c>
      <c r="I122" s="1">
        <f t="shared" si="99"/>
        <v>0.28111591011743453</v>
      </c>
      <c r="J122" s="1">
        <f>J62/J55</f>
        <v>0.30077375457123218</v>
      </c>
      <c r="K122" s="1">
        <f>K62/K55</f>
        <v>0.28436776551877541</v>
      </c>
      <c r="L122" s="12">
        <f t="shared" ref="L122:L125" si="100">AVERAGE(F122:K122)</f>
        <v>0.31342727670646414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 t="e">
        <f t="shared" ref="B123:I123" si="101">B62/B53</f>
        <v>#DIV/0!</v>
      </c>
      <c r="C123" s="1" t="e">
        <f t="shared" si="101"/>
        <v>#DIV/0!</v>
      </c>
      <c r="D123" s="1">
        <f t="shared" si="101"/>
        <v>0.50405680100536854</v>
      </c>
      <c r="E123" s="1">
        <f t="shared" si="101"/>
        <v>0.47912660325820189</v>
      </c>
      <c r="F123" s="1">
        <f t="shared" si="101"/>
        <v>0.39631220909416398</v>
      </c>
      <c r="G123" s="1">
        <f t="shared" si="101"/>
        <v>0.40836770478410744</v>
      </c>
      <c r="H123" s="1">
        <f t="shared" si="101"/>
        <v>0.3539779582575498</v>
      </c>
      <c r="I123" s="1">
        <f t="shared" si="101"/>
        <v>0.32419740124444013</v>
      </c>
      <c r="J123" s="1">
        <f>J62/J53</f>
        <v>0.33853060427840126</v>
      </c>
      <c r="K123" s="1">
        <f>K62/K53</f>
        <v>0.31349807607527919</v>
      </c>
      <c r="L123" s="12">
        <f t="shared" si="100"/>
        <v>0.3558139922889903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 t="e">
        <f t="shared" ref="B124:I124" si="102">B62/B26</f>
        <v>#DIV/0!</v>
      </c>
      <c r="C124" s="1" t="e">
        <f t="shared" si="102"/>
        <v>#DIV/0!</v>
      </c>
      <c r="D124" s="1">
        <f t="shared" si="102"/>
        <v>0.47564321157671535</v>
      </c>
      <c r="E124" s="1">
        <f t="shared" si="102"/>
        <v>0.4437782151950192</v>
      </c>
      <c r="F124" s="1">
        <f t="shared" si="102"/>
        <v>0.40362035734750229</v>
      </c>
      <c r="G124" s="1">
        <f t="shared" si="102"/>
        <v>0.42174389472222079</v>
      </c>
      <c r="H124" s="1">
        <f t="shared" si="102"/>
        <v>0.37487305893402872</v>
      </c>
      <c r="I124" s="1">
        <f t="shared" si="102"/>
        <v>0.35519035538652916</v>
      </c>
      <c r="J124" s="1">
        <f>J62/J26</f>
        <v>0.36825810199659342</v>
      </c>
      <c r="K124" s="1">
        <f>K62/K26</f>
        <v>0.35626739690294762</v>
      </c>
      <c r="L124" s="12">
        <f t="shared" si="100"/>
        <v>0.37999219421497038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103">(B98+B92)/B92</f>
        <v>#DIV/0!</v>
      </c>
      <c r="C125" s="1" t="e">
        <f t="shared" si="103"/>
        <v>#DIV/0!</v>
      </c>
      <c r="D125" s="1">
        <f t="shared" si="103"/>
        <v>3.4161260426320665</v>
      </c>
      <c r="E125" s="1">
        <f t="shared" si="103"/>
        <v>3.5318768619662375</v>
      </c>
      <c r="F125" s="1">
        <f t="shared" si="103"/>
        <v>3.9750495049504981</v>
      </c>
      <c r="G125" s="1">
        <f t="shared" si="103"/>
        <v>3.7462972643317669</v>
      </c>
      <c r="H125" s="1">
        <f t="shared" si="103"/>
        <v>3.4908624074913122</v>
      </c>
      <c r="I125" s="1">
        <f t="shared" si="103"/>
        <v>3.8754336171554722</v>
      </c>
      <c r="J125" s="1">
        <f>(J98+J92)/J92</f>
        <v>4.0874189759789541</v>
      </c>
      <c r="K125" s="1">
        <f>(K98+K92)/K92</f>
        <v>4.0606346677680456</v>
      </c>
      <c r="L125" s="12">
        <f t="shared" si="100"/>
        <v>3.8726160729460086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 t="e">
        <f t="shared" ref="C128:E128" si="104">(C101+(C92*(1-(C100/C98))))/((B38+C38)/2)</f>
        <v>#DIV/0!</v>
      </c>
      <c r="D128" s="7">
        <f t="shared" si="104"/>
        <v>9.0239883212005143E-2</v>
      </c>
      <c r="E128" s="7">
        <f t="shared" si="104"/>
        <v>4.4643204095790166E-2</v>
      </c>
      <c r="F128" s="7">
        <f>(F101+(F92*(1-(F100/F98))))/((E38+F38)/2)</f>
        <v>4.1079396243880115E-2</v>
      </c>
      <c r="G128" s="7">
        <f t="shared" ref="G128:K128" si="105">(G101+(G92*(1-(G100/G98))))/((F38+G38)/2)</f>
        <v>4.9892861451402544E-2</v>
      </c>
      <c r="H128" s="7">
        <f t="shared" si="105"/>
        <v>4.9142309181474046E-2</v>
      </c>
      <c r="I128" s="7">
        <f t="shared" si="105"/>
        <v>4.6828840912012358E-2</v>
      </c>
      <c r="J128" s="7">
        <f t="shared" si="105"/>
        <v>4.3942722591819701E-2</v>
      </c>
      <c r="K128" s="7">
        <f t="shared" si="105"/>
        <v>4.3507695937555706E-2</v>
      </c>
      <c r="L128" s="7">
        <f>AVERAGE(F128:K128)</f>
        <v>4.5732304386357413E-2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 t="e">
        <f t="shared" ref="C129:E129" si="106">(C101+(C92*(1-(C100/C98))))/((B50+C50+B57+C57+B62+C62)/2)</f>
        <v>#DIV/0!</v>
      </c>
      <c r="D129" s="7">
        <f t="shared" si="106"/>
        <v>0.15734520988100625</v>
      </c>
      <c r="E129" s="7">
        <f t="shared" si="106"/>
        <v>7.919647947357164E-2</v>
      </c>
      <c r="F129" s="7">
        <f>(F101+(F92*(1-(F100/F98))))/((E42+F42+E50+F50+E57+F57+E62+F62)/2)</f>
        <v>7.30047713585118E-2</v>
      </c>
      <c r="G129" s="7">
        <f t="shared" ref="G129:K129" si="107">(G101+(G92*(1-(G100/G98))))/((F42+G42+F50+G50+F57+G57+F62+G62)/2)</f>
        <v>8.9201952253857825E-2</v>
      </c>
      <c r="H129" s="7">
        <f t="shared" si="107"/>
        <v>8.7332936899040522E-2</v>
      </c>
      <c r="I129" s="7">
        <f t="shared" si="107"/>
        <v>8.459124662771933E-2</v>
      </c>
      <c r="J129" s="7">
        <f t="shared" si="107"/>
        <v>8.0806013143995298E-2</v>
      </c>
      <c r="K129" s="7">
        <f t="shared" si="107"/>
        <v>8.1374794497708416E-2</v>
      </c>
      <c r="L129" s="7">
        <f t="shared" ref="L129:L130" si="108">AVERAGE(F129:K129)</f>
        <v>8.2718619130138865E-2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 t="e">
        <f>(B101-B103)/((B62)/1)</f>
        <v>#DIV/0!</v>
      </c>
      <c r="C130" s="7" t="e">
        <f t="shared" ref="C130:F130" si="109">(C101-C103)/((C62+B62)/2)</f>
        <v>#DIV/0!</v>
      </c>
      <c r="D130" s="7">
        <f t="shared" si="109"/>
        <v>0.21301285660121552</v>
      </c>
      <c r="E130" s="7">
        <f t="shared" si="109"/>
        <v>0.10423284158019819</v>
      </c>
      <c r="F130" s="7">
        <f t="shared" si="109"/>
        <v>0.10879401682767237</v>
      </c>
      <c r="G130" s="7">
        <f t="shared" ref="G130" si="110">(G101-G103)/((G62+F62)/2)</f>
        <v>0.13844050620210471</v>
      </c>
      <c r="H130" s="7">
        <f t="shared" ref="H130" si="111">(H101-H103)/((H62+G62)/2)</f>
        <v>0.13808948607150393</v>
      </c>
      <c r="I130" s="7">
        <f t="shared" ref="I130" si="112">(I101-I103)/((I62+H62)/2)</f>
        <v>0.15169337873437241</v>
      </c>
      <c r="J130" s="7">
        <f t="shared" ref="J130" si="113">(J101-J103)/((J62+I62)/2)</f>
        <v>0.14609372342419721</v>
      </c>
      <c r="K130" s="7">
        <f t="shared" ref="K130" si="114">(K101-K103)/((K62+J62)/2)</f>
        <v>0.14379332733791214</v>
      </c>
      <c r="L130" s="7">
        <f t="shared" si="108"/>
        <v>0.13781740643296048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 t="e">
        <f>B78/B11</f>
        <v>#DIV/0!</v>
      </c>
      <c r="C133" s="1" t="e">
        <f t="shared" ref="C133:G133" si="115">C78/((B11+C11)/2)</f>
        <v>#DIV/0!</v>
      </c>
      <c r="D133" s="1">
        <f t="shared" si="115"/>
        <v>26.567177116440334</v>
      </c>
      <c r="E133" s="1">
        <f t="shared" si="115"/>
        <v>12.914860990732715</v>
      </c>
      <c r="F133" s="1">
        <f t="shared" si="115"/>
        <v>14.536066163250631</v>
      </c>
      <c r="G133" s="1">
        <f t="shared" si="115"/>
        <v>13.673671044402752</v>
      </c>
      <c r="H133" s="1">
        <f t="shared" ref="H133" si="116">H78/((G11+H11)/2)</f>
        <v>10.118859861667914</v>
      </c>
      <c r="I133" s="1">
        <f t="shared" ref="I133" si="117">I78/((H11+I11)/2)</f>
        <v>8.2501417680045375</v>
      </c>
      <c r="J133" s="1">
        <f t="shared" ref="J133" si="118">J78/((I11+J11)/2)</f>
        <v>5.9203851405944432</v>
      </c>
      <c r="K133" s="1">
        <f t="shared" ref="K133" si="119">K78/((J11+K11)/2)</f>
        <v>7.6481285263128811</v>
      </c>
      <c r="L133" s="12">
        <f t="shared" ref="L133:L137" si="120">AVERAGE(F133:K133)</f>
        <v>10.02454208403886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 t="e">
        <f>B78/B12</f>
        <v>#DIV/0!</v>
      </c>
      <c r="C134" s="1" t="e">
        <f t="shared" ref="C134:G134" si="121">C78/((B12+C12)/2)</f>
        <v>#DIV/0!</v>
      </c>
      <c r="D134" s="1">
        <f t="shared" si="121"/>
        <v>18.320183303446903</v>
      </c>
      <c r="E134" s="1">
        <f t="shared" si="121"/>
        <v>8.7351190476190474</v>
      </c>
      <c r="F134" s="1">
        <f t="shared" si="121"/>
        <v>7.3515676147523115</v>
      </c>
      <c r="G134" s="1">
        <f t="shared" si="121"/>
        <v>8.2097476719735667</v>
      </c>
      <c r="H134" s="1">
        <f t="shared" ref="H134" si="122">H78/((G12+H12)/2)</f>
        <v>9.9703954507965449</v>
      </c>
      <c r="I134" s="1">
        <f t="shared" ref="I134" si="123">I78/((H12+I12)/2)</f>
        <v>11.030073287844326</v>
      </c>
      <c r="J134" s="1">
        <f t="shared" ref="J134" si="124">J78/((I12+J12)/2)</f>
        <v>9.8632492047691382</v>
      </c>
      <c r="K134" s="1">
        <f t="shared" ref="K134" si="125">K78/((J12+K12)/2)</f>
        <v>11.394094154509329</v>
      </c>
      <c r="L134" s="12">
        <f t="shared" si="120"/>
        <v>9.6365212307742016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 t="e">
        <f>B78/(B15-B48)</f>
        <v>#DIV/0!</v>
      </c>
      <c r="C135" s="1" t="e">
        <f t="shared" ref="C135:G135" si="126">C78/((B15+C15-B48-C48)/2)</f>
        <v>#DIV/0!</v>
      </c>
      <c r="D135" s="1">
        <f t="shared" si="126"/>
        <v>26.380433223353897</v>
      </c>
      <c r="E135" s="1">
        <f t="shared" si="126"/>
        <v>13.152498642042374</v>
      </c>
      <c r="F135" s="1">
        <f t="shared" si="126"/>
        <v>11.710544611819239</v>
      </c>
      <c r="G135" s="1">
        <f t="shared" si="126"/>
        <v>12.075665525240247</v>
      </c>
      <c r="H135" s="1">
        <f t="shared" ref="H135" si="127">H78/((G15+H15-G48-H48)/2)</f>
        <v>14.707562271883202</v>
      </c>
      <c r="I135" s="1">
        <f t="shared" ref="I135" si="128">I78/((H15+I15-H48-I48)/2)</f>
        <v>12.49468008969893</v>
      </c>
      <c r="J135" s="1">
        <f t="shared" ref="J135" si="129">J78/((I15+J15-I48-J48)/2)</f>
        <v>7.8586292878406292</v>
      </c>
      <c r="K135" s="1">
        <f t="shared" ref="K135" si="130">K78/((J15+K15-J48-K48)/2)</f>
        <v>7.9142333648063392</v>
      </c>
      <c r="L135" s="12">
        <f t="shared" si="120"/>
        <v>11.126885858548098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 t="e">
        <f>B78/(B26)</f>
        <v>#DIV/0!</v>
      </c>
      <c r="C136" s="1" t="e">
        <f t="shared" ref="C136:G136" si="131">C78/((B26+C26)/2)</f>
        <v>#DIV/0!</v>
      </c>
      <c r="D136" s="1">
        <f t="shared" si="131"/>
        <v>1.004973003694231</v>
      </c>
      <c r="E136" s="1">
        <f t="shared" si="131"/>
        <v>0.52361979110351831</v>
      </c>
      <c r="F136" s="1">
        <f t="shared" si="131"/>
        <v>0.53341285633606583</v>
      </c>
      <c r="G136" s="1">
        <f t="shared" si="131"/>
        <v>0.56591544994059817</v>
      </c>
      <c r="H136" s="1">
        <f t="shared" ref="H136" si="132">H78/((G26+H26)/2)</f>
        <v>0.56836020627332207</v>
      </c>
      <c r="I136" s="1">
        <f t="shared" ref="I136" si="133">I78/((H26+I26)/2)</f>
        <v>0.6033536543220116</v>
      </c>
      <c r="J136" s="1">
        <f t="shared" ref="J136" si="134">J78/((I26+J26)/2)</f>
        <v>0.46905300609105638</v>
      </c>
      <c r="K136" s="1">
        <f t="shared" ref="K136" si="135">K78/((J26+K26)/2)</f>
        <v>0.48637281421341405</v>
      </c>
      <c r="L136" s="12">
        <f t="shared" si="120"/>
        <v>0.53774466452941139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 t="e">
        <f>B78/B38</f>
        <v>#DIV/0!</v>
      </c>
      <c r="C137" s="1" t="e">
        <f t="shared" ref="C137:G137" si="136">C78/((B38+C38)/2)</f>
        <v>#DIV/0!</v>
      </c>
      <c r="D137" s="1">
        <f t="shared" si="136"/>
        <v>0.64463638466877449</v>
      </c>
      <c r="E137" s="1">
        <f t="shared" si="136"/>
        <v>0.34080952598780401</v>
      </c>
      <c r="F137" s="1">
        <f t="shared" si="136"/>
        <v>0.34160744314964897</v>
      </c>
      <c r="G137" s="1">
        <f t="shared" si="136"/>
        <v>0.3529877107671246</v>
      </c>
      <c r="H137" s="1">
        <f t="shared" ref="H137" si="137">H78/((G38+H38)/2)</f>
        <v>0.35486367856971807</v>
      </c>
      <c r="I137" s="1">
        <f t="shared" ref="I137" si="138">I78/((H38+I38)/2)</f>
        <v>0.3727252283667189</v>
      </c>
      <c r="J137" s="1">
        <f t="shared" ref="J137" si="139">J78/((I38+J38)/2)</f>
        <v>0.28972322873272321</v>
      </c>
      <c r="K137" s="1">
        <f t="shared" ref="K137" si="140">K78/((J38+K38)/2)</f>
        <v>0.30132442574900492</v>
      </c>
      <c r="L137" s="12">
        <f t="shared" si="120"/>
        <v>0.33553861922248979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 t="e">
        <f t="shared" ref="B145:K145" si="141">(B$42+B$50)/(B$42+B$50+B$57+B$62)</f>
        <v>#DIV/0!</v>
      </c>
      <c r="C145" s="7" t="e">
        <f t="shared" si="141"/>
        <v>#DIV/0!</v>
      </c>
      <c r="D145" s="7">
        <f t="shared" si="141"/>
        <v>0.46474152073105007</v>
      </c>
      <c r="E145" s="7">
        <f t="shared" si="141"/>
        <v>0.46436013975203294</v>
      </c>
      <c r="F145" s="7">
        <f t="shared" si="141"/>
        <v>0.52142527580990872</v>
      </c>
      <c r="G145" s="7">
        <f>(G$42+G$50)/(G$42+G$50+G$57+G$62)</f>
        <v>0.51246682836353263</v>
      </c>
      <c r="H145" s="7">
        <f t="shared" si="141"/>
        <v>0.56749406043801953</v>
      </c>
      <c r="I145" s="7">
        <f t="shared" si="141"/>
        <v>0.58604548818787372</v>
      </c>
      <c r="J145" s="7">
        <f t="shared" si="141"/>
        <v>0.56127653759124418</v>
      </c>
      <c r="K145" s="7">
        <f t="shared" si="141"/>
        <v>0.56878179679682084</v>
      </c>
      <c r="L145" s="7">
        <f t="shared" ref="L145:L148" si="142">AVERAGE(F145:K145)</f>
        <v>0.55291499786456655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 t="e">
        <f t="shared" ref="B146:K146" si="143">B$57/(B$42+B$50+B$57+B$62)</f>
        <v>#DIV/0!</v>
      </c>
      <c r="C146" s="7" t="e">
        <f t="shared" si="143"/>
        <v>#DIV/0!</v>
      </c>
      <c r="D146" s="7">
        <f t="shared" si="143"/>
        <v>1.9798286083161094E-2</v>
      </c>
      <c r="E146" s="7">
        <f t="shared" si="143"/>
        <v>2.2595306557833223E-2</v>
      </c>
      <c r="F146" s="7">
        <f t="shared" si="143"/>
        <v>2.6047902443012916E-2</v>
      </c>
      <c r="G146" s="7">
        <f>G$57/(G$42+G$50+G$57+G$62)</f>
        <v>1.96832643743758E-2</v>
      </c>
      <c r="H146" s="7">
        <f t="shared" si="143"/>
        <v>1.6461449729346465E-2</v>
      </c>
      <c r="I146" s="7">
        <f t="shared" si="143"/>
        <v>1.5552799503910702E-2</v>
      </c>
      <c r="J146" s="7">
        <f t="shared" si="143"/>
        <v>1.5305148810094395E-2</v>
      </c>
      <c r="K146" s="7">
        <f t="shared" si="143"/>
        <v>1.5214479318623526E-2</v>
      </c>
      <c r="L146" s="7">
        <f t="shared" si="142"/>
        <v>1.8044174029893969E-2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 t="e">
        <f t="shared" ref="B147:K147" si="144">B$62/(B$42+B$50+B$57+B$62)</f>
        <v>#DIV/0!</v>
      </c>
      <c r="C147" s="16" t="e">
        <f t="shared" si="144"/>
        <v>#DIV/0!</v>
      </c>
      <c r="D147" s="16">
        <f t="shared" si="144"/>
        <v>0.51546019318578884</v>
      </c>
      <c r="E147" s="16">
        <f t="shared" si="144"/>
        <v>0.51304455369013391</v>
      </c>
      <c r="F147" s="16">
        <f t="shared" si="144"/>
        <v>0.45252682174707842</v>
      </c>
      <c r="G147" s="16">
        <f>G$62/(G$42+G$50+G$57+G$62)</f>
        <v>0.46784990726209158</v>
      </c>
      <c r="H147" s="16">
        <f t="shared" si="144"/>
        <v>0.41604448983263398</v>
      </c>
      <c r="I147" s="16">
        <f t="shared" si="144"/>
        <v>0.39840171230821547</v>
      </c>
      <c r="J147" s="16">
        <f t="shared" si="144"/>
        <v>0.42341831359866128</v>
      </c>
      <c r="K147" s="16">
        <f t="shared" si="144"/>
        <v>0.41600372388455564</v>
      </c>
      <c r="L147" s="7">
        <f t="shared" si="142"/>
        <v>0.4290408281055394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 t="e">
        <f>SUM(B145:B147)</f>
        <v>#DIV/0!</v>
      </c>
      <c r="C148" s="7" t="e">
        <f t="shared" ref="C148:J148" si="145">SUM(C145:C147)</f>
        <v>#DIV/0!</v>
      </c>
      <c r="D148" s="7">
        <f t="shared" si="145"/>
        <v>1</v>
      </c>
      <c r="E148" s="7">
        <f t="shared" si="145"/>
        <v>1</v>
      </c>
      <c r="F148" s="7">
        <f t="shared" si="145"/>
        <v>1</v>
      </c>
      <c r="G148" s="7">
        <f t="shared" si="145"/>
        <v>1</v>
      </c>
      <c r="H148" s="7">
        <f t="shared" si="145"/>
        <v>1</v>
      </c>
      <c r="I148" s="7">
        <f t="shared" si="145"/>
        <v>1</v>
      </c>
      <c r="J148" s="7">
        <f t="shared" si="145"/>
        <v>0.99999999999999978</v>
      </c>
      <c r="K148" s="7">
        <f t="shared" ref="K148" si="146">SUM(K145:K147)</f>
        <v>1</v>
      </c>
      <c r="L148" s="7">
        <f t="shared" si="142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 t="e">
        <f t="shared" ref="B151:K151" si="147">B$43/(B$43+B$42+B$50+B$57+B$62)</f>
        <v>#DIV/0!</v>
      </c>
      <c r="C151" s="7" t="e">
        <f t="shared" si="147"/>
        <v>#DIV/0!</v>
      </c>
      <c r="D151" s="7">
        <f t="shared" si="147"/>
        <v>0</v>
      </c>
      <c r="E151" s="7">
        <f t="shared" si="147"/>
        <v>0</v>
      </c>
      <c r="F151" s="7">
        <f t="shared" si="147"/>
        <v>2.3306899424902256E-3</v>
      </c>
      <c r="G151" s="7">
        <f>G$43/(G$43+G$42+G$50+G$57+G$62)</f>
        <v>1.4247043738424277E-3</v>
      </c>
      <c r="H151" s="7">
        <f t="shared" si="147"/>
        <v>1.3210947119220871E-3</v>
      </c>
      <c r="I151" s="7">
        <f t="shared" si="147"/>
        <v>2.7429506169145295E-3</v>
      </c>
      <c r="J151" s="7">
        <f t="shared" si="147"/>
        <v>1.4741021443667834E-3</v>
      </c>
      <c r="K151" s="7">
        <f t="shared" si="147"/>
        <v>7.4902921663454738E-3</v>
      </c>
      <c r="L151" s="7">
        <f t="shared" ref="L151:L155" si="148">AVERAGE(F151:K151)</f>
        <v>2.797305659313588E-3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 t="e">
        <f t="shared" ref="B152:K152" si="149">(B$42+B$50)/(B$43+B$42+B$50+B$57+B$62)</f>
        <v>#DIV/0!</v>
      </c>
      <c r="C152" s="7" t="e">
        <f t="shared" si="149"/>
        <v>#DIV/0!</v>
      </c>
      <c r="D152" s="7">
        <f t="shared" si="149"/>
        <v>0.46474152073105007</v>
      </c>
      <c r="E152" s="7">
        <f t="shared" si="149"/>
        <v>0.46436013975203294</v>
      </c>
      <c r="F152" s="7">
        <f t="shared" si="149"/>
        <v>0.52020999516381838</v>
      </c>
      <c r="G152" s="7">
        <f>(G$42+G$50)/(G$43+G$42+G$50+G$57+G$62)</f>
        <v>0.511736714631714</v>
      </c>
      <c r="H152" s="7">
        <f t="shared" si="149"/>
        <v>0.56674434703572762</v>
      </c>
      <c r="I152" s="7">
        <f t="shared" si="149"/>
        <v>0.58443799435450883</v>
      </c>
      <c r="J152" s="7">
        <f t="shared" si="149"/>
        <v>0.56044915864359834</v>
      </c>
      <c r="K152" s="7">
        <f t="shared" si="149"/>
        <v>0.56452145495991379</v>
      </c>
      <c r="L152" s="7">
        <f t="shared" si="148"/>
        <v>0.55134994413154681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 t="e">
        <f t="shared" ref="B153:K153" si="150">B$57/(B$43+B$42+B$50+B$57+B$62)</f>
        <v>#DIV/0!</v>
      </c>
      <c r="C153" s="7" t="e">
        <f t="shared" si="150"/>
        <v>#DIV/0!</v>
      </c>
      <c r="D153" s="7">
        <f t="shared" si="150"/>
        <v>1.9798286083161094E-2</v>
      </c>
      <c r="E153" s="7">
        <f t="shared" si="150"/>
        <v>2.2595306557833223E-2</v>
      </c>
      <c r="F153" s="7">
        <f t="shared" si="150"/>
        <v>2.5987192858766016E-2</v>
      </c>
      <c r="G153" s="7">
        <f>G$57/(G$43+G$42+G$50+G$57+G$62)</f>
        <v>1.965522154153013E-2</v>
      </c>
      <c r="H153" s="7">
        <f t="shared" si="150"/>
        <v>1.6439702595158454E-2</v>
      </c>
      <c r="I153" s="7">
        <f t="shared" si="150"/>
        <v>1.5510138942916703E-2</v>
      </c>
      <c r="J153" s="7">
        <f t="shared" si="150"/>
        <v>1.5282587457413586E-2</v>
      </c>
      <c r="K153" s="7">
        <f t="shared" si="150"/>
        <v>1.5100518423368217E-2</v>
      </c>
      <c r="L153" s="7">
        <f t="shared" si="148"/>
        <v>1.7995893636525519E-2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 t="e">
        <f t="shared" ref="B154:K154" si="151">B$62/(B$43+B$42+B$50+B$57+B$62)</f>
        <v>#DIV/0!</v>
      </c>
      <c r="C154" s="16" t="e">
        <f t="shared" si="151"/>
        <v>#DIV/0!</v>
      </c>
      <c r="D154" s="16">
        <f t="shared" si="151"/>
        <v>0.51546019318578884</v>
      </c>
      <c r="E154" s="16">
        <f t="shared" si="151"/>
        <v>0.51304455369013391</v>
      </c>
      <c r="F154" s="16">
        <f t="shared" si="151"/>
        <v>0.45147212203492543</v>
      </c>
      <c r="G154" s="16">
        <f>G$62/(G$43+G$42+G$50+G$57+G$62)</f>
        <v>0.4671833594529135</v>
      </c>
      <c r="H154" s="16">
        <f t="shared" si="151"/>
        <v>0.41549485565719174</v>
      </c>
      <c r="I154" s="16">
        <f t="shared" si="151"/>
        <v>0.39730891608565982</v>
      </c>
      <c r="J154" s="16">
        <f t="shared" si="151"/>
        <v>0.42279415175462143</v>
      </c>
      <c r="K154" s="16">
        <f t="shared" si="151"/>
        <v>0.41288773445037269</v>
      </c>
      <c r="L154" s="7">
        <f t="shared" si="148"/>
        <v>0.42785685657261402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 t="e">
        <f>SUM(B151:B154)</f>
        <v>#DIV/0!</v>
      </c>
      <c r="C155" s="7" t="e">
        <f t="shared" ref="C155:J155" si="152">SUM(C151:C154)</f>
        <v>#DIV/0!</v>
      </c>
      <c r="D155" s="7">
        <f t="shared" si="152"/>
        <v>1</v>
      </c>
      <c r="E155" s="7">
        <f t="shared" si="152"/>
        <v>1</v>
      </c>
      <c r="F155" s="7">
        <f t="shared" si="152"/>
        <v>1</v>
      </c>
      <c r="G155" s="7">
        <f t="shared" si="152"/>
        <v>1</v>
      </c>
      <c r="H155" s="7">
        <f t="shared" si="152"/>
        <v>1</v>
      </c>
      <c r="I155" s="7">
        <f t="shared" si="152"/>
        <v>1</v>
      </c>
      <c r="J155" s="7">
        <f t="shared" si="152"/>
        <v>1.0000000000000002</v>
      </c>
      <c r="K155" s="7">
        <f t="shared" ref="K155" si="153">SUM(K151:K154)</f>
        <v>1.0000000000000002</v>
      </c>
      <c r="L155" s="7">
        <f t="shared" si="148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61"/>
  <sheetViews>
    <sheetView topLeftCell="G76" workbookViewId="0"/>
  </sheetViews>
  <sheetFormatPr defaultRowHeight="15"/>
  <cols>
    <col min="1" max="1" width="28.28515625" customWidth="1"/>
    <col min="2" max="5" width="0" hidden="1" customWidth="1"/>
    <col min="12" max="12" width="11" customWidth="1"/>
    <col min="14" max="14" width="31.28515625" customWidth="1"/>
    <col min="15" max="18" width="0" hidden="1" customWidth="1"/>
    <col min="25" max="25" width="10.28515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2" t="s">
        <v>185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PG &amp; E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"/>
      <c r="C11" s="22"/>
      <c r="D11" s="137"/>
      <c r="E11" s="137"/>
      <c r="F11" s="137">
        <f>713+1546</f>
        <v>2259</v>
      </c>
      <c r="G11" s="137">
        <f>456+1415</f>
        <v>1871</v>
      </c>
      <c r="H11" s="137">
        <f>345+1297</f>
        <v>1642</v>
      </c>
      <c r="I11" s="11">
        <f>29+1290</f>
        <v>1319</v>
      </c>
      <c r="J11" s="11">
        <f>527+633</f>
        <v>1160</v>
      </c>
      <c r="K11" s="11">
        <f>291+563</f>
        <v>854</v>
      </c>
      <c r="L11" s="7">
        <f>RATE(5,,-F11,K11)</f>
        <v>-0.17679437757890776</v>
      </c>
      <c r="M11" s="1"/>
      <c r="N11" s="1" t="str">
        <f>A11</f>
        <v>Cash &amp; Equivalents</v>
      </c>
      <c r="O11" s="7" t="e">
        <f t="shared" ref="O11:X15" si="2">B11/B$38</f>
        <v>#DIV/0!</v>
      </c>
      <c r="P11" s="7" t="e">
        <f t="shared" si="2"/>
        <v>#DIV/0!</v>
      </c>
      <c r="Q11" s="7" t="e">
        <f t="shared" si="2"/>
        <v>#DIV/0!</v>
      </c>
      <c r="R11" s="7" t="e">
        <f t="shared" si="2"/>
        <v>#DIV/0!</v>
      </c>
      <c r="S11" s="7">
        <f t="shared" si="2"/>
        <v>6.6296883254094024E-2</v>
      </c>
      <c r="T11" s="7">
        <f t="shared" si="2"/>
        <v>5.375973335631986E-2</v>
      </c>
      <c r="U11" s="7">
        <f t="shared" si="2"/>
        <v>4.4824197423018124E-2</v>
      </c>
      <c r="V11" s="7">
        <f t="shared" si="2"/>
        <v>3.2280959373470385E-2</v>
      </c>
      <c r="W11" s="7">
        <f t="shared" si="2"/>
        <v>2.7011293514960996E-2</v>
      </c>
      <c r="X11" s="7">
        <f t="shared" si="2"/>
        <v>1.8555133079847907E-2</v>
      </c>
      <c r="Y11" s="7">
        <f>SUM(F11:K11)/SUM(F$38:K$38)</f>
        <v>3.8688870098028801E-2</v>
      </c>
      <c r="Z11" s="189"/>
    </row>
    <row r="12" spans="1:26">
      <c r="A12" s="1" t="s">
        <v>13</v>
      </c>
      <c r="B12" s="1"/>
      <c r="C12" s="22"/>
      <c r="D12" s="137"/>
      <c r="E12" s="137"/>
      <c r="F12" s="137">
        <v>2422</v>
      </c>
      <c r="G12" s="137">
        <v>2343</v>
      </c>
      <c r="H12" s="137">
        <v>1599</v>
      </c>
      <c r="I12" s="11">
        <v>1751</v>
      </c>
      <c r="J12" s="11">
        <v>859</v>
      </c>
      <c r="K12" s="11">
        <v>944</v>
      </c>
      <c r="L12" s="7">
        <f t="shared" ref="L12:L15" si="3">RATE(5,,-F12,K12)</f>
        <v>-0.17175357288629936</v>
      </c>
      <c r="M12" s="1"/>
      <c r="N12" s="1" t="str">
        <f>A12</f>
        <v>Accounts Receivable</v>
      </c>
      <c r="O12" s="7" t="e">
        <f t="shared" si="2"/>
        <v>#DIV/0!</v>
      </c>
      <c r="P12" s="7" t="e">
        <f t="shared" si="2"/>
        <v>#DIV/0!</v>
      </c>
      <c r="Q12" s="7" t="e">
        <f t="shared" si="2"/>
        <v>#DIV/0!</v>
      </c>
      <c r="R12" s="7" t="e">
        <f t="shared" si="2"/>
        <v>#DIV/0!</v>
      </c>
      <c r="S12" s="7">
        <f t="shared" si="2"/>
        <v>7.1080589305628925E-2</v>
      </c>
      <c r="T12" s="7">
        <f t="shared" si="2"/>
        <v>6.7321782604947852E-2</v>
      </c>
      <c r="U12" s="7">
        <f t="shared" si="2"/>
        <v>4.3650360340685743E-2</v>
      </c>
      <c r="V12" s="7">
        <f t="shared" si="2"/>
        <v>4.2853646598139991E-2</v>
      </c>
      <c r="W12" s="7">
        <f t="shared" si="2"/>
        <v>2.0002328559785773E-2</v>
      </c>
      <c r="X12" s="7">
        <f t="shared" si="2"/>
        <v>2.051059206952743E-2</v>
      </c>
      <c r="Y12" s="7">
        <f t="shared" ref="Y12:Y15" si="4">SUM(F12:K12)/SUM(F$38:K$38)</f>
        <v>4.2143461134788542E-2</v>
      </c>
      <c r="Z12" s="189"/>
    </row>
    <row r="13" spans="1:26">
      <c r="A13" s="1" t="s">
        <v>14</v>
      </c>
      <c r="B13" s="6"/>
      <c r="C13" s="22"/>
      <c r="D13" s="137"/>
      <c r="E13" s="137"/>
      <c r="F13" s="137">
        <f>231+133</f>
        <v>364</v>
      </c>
      <c r="G13" s="137">
        <f>181+149</f>
        <v>330</v>
      </c>
      <c r="H13" s="137">
        <f>166+61</f>
        <v>227</v>
      </c>
      <c r="I13" s="11">
        <f>191+120</f>
        <v>311</v>
      </c>
      <c r="J13" s="11">
        <f>114+200</f>
        <v>314</v>
      </c>
      <c r="K13" s="11">
        <f>152+205</f>
        <v>357</v>
      </c>
      <c r="L13" s="7">
        <f t="shared" si="3"/>
        <v>-3.876085683213141E-3</v>
      </c>
      <c r="M13" s="1"/>
      <c r="N13" s="1" t="str">
        <f>A13</f>
        <v>Material, Supplies, Fuel</v>
      </c>
      <c r="O13" s="7" t="e">
        <f t="shared" si="2"/>
        <v>#DIV/0!</v>
      </c>
      <c r="P13" s="7" t="e">
        <f t="shared" si="2"/>
        <v>#DIV/0!</v>
      </c>
      <c r="Q13" s="7" t="e">
        <f t="shared" si="2"/>
        <v>#DIV/0!</v>
      </c>
      <c r="R13" s="7" t="e">
        <f t="shared" si="2"/>
        <v>#DIV/0!</v>
      </c>
      <c r="S13" s="7">
        <f t="shared" si="2"/>
        <v>1.0682631918765041E-2</v>
      </c>
      <c r="T13" s="7">
        <f t="shared" si="2"/>
        <v>9.4819412119644866E-3</v>
      </c>
      <c r="U13" s="7">
        <f t="shared" si="2"/>
        <v>6.1967678532430662E-3</v>
      </c>
      <c r="V13" s="7">
        <f t="shared" si="2"/>
        <v>7.611355849241312E-3</v>
      </c>
      <c r="W13" s="7">
        <f t="shared" si="2"/>
        <v>7.3116777273256493E-3</v>
      </c>
      <c r="X13" s="7">
        <f t="shared" si="2"/>
        <v>7.7566539923954372E-3</v>
      </c>
      <c r="Y13" s="7">
        <f t="shared" si="4"/>
        <v>8.0862075559087112E-3</v>
      </c>
      <c r="Z13" s="189"/>
    </row>
    <row r="14" spans="1:26">
      <c r="A14" s="1" t="s">
        <v>15</v>
      </c>
      <c r="B14" s="6"/>
      <c r="C14" s="22"/>
      <c r="D14" s="137"/>
      <c r="E14" s="137"/>
      <c r="F14" s="137">
        <f>5980-5045</f>
        <v>935</v>
      </c>
      <c r="G14" s="137">
        <f>5867-4544</f>
        <v>1323</v>
      </c>
      <c r="H14" s="137">
        <f>5449-3468</f>
        <v>1981</v>
      </c>
      <c r="I14" s="11">
        <f>6403-3381</f>
        <v>3022</v>
      </c>
      <c r="J14" s="11">
        <f>5657-2333</f>
        <v>3324</v>
      </c>
      <c r="K14" s="170">
        <f>5542-2155</f>
        <v>3387</v>
      </c>
      <c r="L14" s="7">
        <f t="shared" si="3"/>
        <v>0.29360211558758365</v>
      </c>
      <c r="M14" s="1"/>
      <c r="N14" s="1" t="str">
        <f>A14</f>
        <v>Other Current Assets</v>
      </c>
      <c r="O14" s="7" t="e">
        <f t="shared" si="2"/>
        <v>#DIV/0!</v>
      </c>
      <c r="P14" s="7" t="e">
        <f t="shared" si="2"/>
        <v>#DIV/0!</v>
      </c>
      <c r="Q14" s="7" t="e">
        <f t="shared" si="2"/>
        <v>#DIV/0!</v>
      </c>
      <c r="R14" s="7" t="e">
        <f t="shared" si="2"/>
        <v>#DIV/0!</v>
      </c>
      <c r="S14" s="7">
        <f t="shared" si="2"/>
        <v>2.744027704408053E-2</v>
      </c>
      <c r="T14" s="7">
        <f t="shared" si="2"/>
        <v>3.8013964313421258E-2</v>
      </c>
      <c r="U14" s="7">
        <f t="shared" si="2"/>
        <v>5.4078401397685084E-2</v>
      </c>
      <c r="V14" s="7">
        <f t="shared" si="2"/>
        <v>7.3959862946647081E-2</v>
      </c>
      <c r="W14" s="7">
        <f t="shared" si="2"/>
        <v>7.7401327279077892E-2</v>
      </c>
      <c r="X14" s="7">
        <f t="shared" si="2"/>
        <v>7.3590439978272679E-2</v>
      </c>
      <c r="Y14" s="7">
        <f t="shared" si="4"/>
        <v>5.9369675234449026E-2</v>
      </c>
      <c r="Z14" s="189"/>
    </row>
    <row r="15" spans="1:26">
      <c r="A15" s="1" t="s">
        <v>16</v>
      </c>
      <c r="B15" s="1">
        <f>SUM(B10:B14)</f>
        <v>0</v>
      </c>
      <c r="C15" s="22">
        <f t="shared" ref="C15:K15" si="5">SUM(C10:C14)</f>
        <v>0</v>
      </c>
      <c r="D15" s="137">
        <f t="shared" si="5"/>
        <v>0</v>
      </c>
      <c r="E15" s="137">
        <f t="shared" si="5"/>
        <v>0</v>
      </c>
      <c r="F15" s="137">
        <f t="shared" si="5"/>
        <v>5980</v>
      </c>
      <c r="G15" s="137">
        <f t="shared" si="5"/>
        <v>5867</v>
      </c>
      <c r="H15" s="137">
        <f t="shared" si="5"/>
        <v>5449</v>
      </c>
      <c r="I15" s="11">
        <f t="shared" si="5"/>
        <v>6403</v>
      </c>
      <c r="J15" s="11">
        <f>SUM(J10:J14)</f>
        <v>5657</v>
      </c>
      <c r="K15" s="11">
        <f t="shared" si="5"/>
        <v>5542</v>
      </c>
      <c r="L15" s="7">
        <f t="shared" si="3"/>
        <v>-1.509789083229157E-2</v>
      </c>
      <c r="M15" s="1"/>
      <c r="N15" s="1" t="str">
        <f>A15</f>
        <v>Total Current Assets</v>
      </c>
      <c r="O15" s="7" t="e">
        <f t="shared" si="2"/>
        <v>#DIV/0!</v>
      </c>
      <c r="P15" s="7" t="e">
        <f t="shared" si="2"/>
        <v>#DIV/0!</v>
      </c>
      <c r="Q15" s="7" t="e">
        <f t="shared" si="2"/>
        <v>#DIV/0!</v>
      </c>
      <c r="R15" s="7" t="e">
        <f t="shared" si="2"/>
        <v>#DIV/0!</v>
      </c>
      <c r="S15" s="7">
        <f t="shared" si="2"/>
        <v>0.17550038152256853</v>
      </c>
      <c r="T15" s="7">
        <f t="shared" si="2"/>
        <v>0.16857742148665344</v>
      </c>
      <c r="U15" s="7">
        <f t="shared" si="2"/>
        <v>0.14874972701463202</v>
      </c>
      <c r="V15" s="7">
        <f t="shared" si="2"/>
        <v>0.15670582476749878</v>
      </c>
      <c r="W15" s="7">
        <f t="shared" si="2"/>
        <v>0.13172662708115032</v>
      </c>
      <c r="X15" s="7">
        <f t="shared" si="2"/>
        <v>0.12041281912004345</v>
      </c>
      <c r="Y15" s="7">
        <f t="shared" si="4"/>
        <v>0.14828821402317507</v>
      </c>
      <c r="Z15" s="189"/>
    </row>
    <row r="16" spans="1:26">
      <c r="A16" s="1"/>
      <c r="B16" s="1"/>
      <c r="C16" s="22"/>
      <c r="D16" s="137"/>
      <c r="E16" s="137"/>
      <c r="F16" s="137"/>
      <c r="G16" s="137"/>
      <c r="H16" s="137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"/>
      <c r="C17" s="22"/>
      <c r="D17" s="137"/>
      <c r="E17" s="137"/>
      <c r="F17" s="137"/>
      <c r="G17" s="137"/>
      <c r="H17" s="137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"/>
      <c r="C18" s="22"/>
      <c r="D18" s="137"/>
      <c r="E18" s="137"/>
      <c r="F18" s="137">
        <v>22482</v>
      </c>
      <c r="G18" s="137">
        <v>24036</v>
      </c>
      <c r="H18" s="137">
        <v>25599</v>
      </c>
      <c r="I18" s="11">
        <v>27638</v>
      </c>
      <c r="J18" s="136">
        <v>30481</v>
      </c>
      <c r="K18" s="136">
        <v>33508</v>
      </c>
      <c r="L18" s="7">
        <f>RATE(5,,-F18,K18)</f>
        <v>8.3085427628041386E-2</v>
      </c>
      <c r="M18" s="1"/>
      <c r="N18" s="1" t="str">
        <f>A18</f>
        <v xml:space="preserve">  Domestic Electric Plant in Service</v>
      </c>
      <c r="O18" s="7" t="e">
        <f t="shared" ref="O18:X22" si="6">B18/B$38</f>
        <v>#DIV/0!</v>
      </c>
      <c r="P18" s="7" t="e">
        <f t="shared" si="6"/>
        <v>#DIV/0!</v>
      </c>
      <c r="Q18" s="7" t="e">
        <f t="shared" si="6"/>
        <v>#DIV/0!</v>
      </c>
      <c r="R18" s="7" t="e">
        <f t="shared" si="6"/>
        <v>#DIV/0!</v>
      </c>
      <c r="S18" s="7">
        <f t="shared" si="6"/>
        <v>0.65979926043317483</v>
      </c>
      <c r="T18" s="7">
        <f t="shared" si="6"/>
        <v>0.6906301180932678</v>
      </c>
      <c r="U18" s="7">
        <f t="shared" si="6"/>
        <v>0.69881524350294821</v>
      </c>
      <c r="V18" s="7">
        <f t="shared" si="6"/>
        <v>0.67640724424865395</v>
      </c>
      <c r="W18" s="7">
        <f t="shared" si="6"/>
        <v>0.70976830830131565</v>
      </c>
      <c r="X18" s="7">
        <f t="shared" si="6"/>
        <v>0.72803910917979364</v>
      </c>
      <c r="Y18" s="7">
        <f t="shared" ref="Y18:Y22" si="7">SUM(F18:K18)/SUM(F$38:K$38)</f>
        <v>0.69577928010232049</v>
      </c>
      <c r="Z18" s="189"/>
    </row>
    <row r="19" spans="1:26">
      <c r="A19" s="1" t="s">
        <v>19</v>
      </c>
      <c r="B19" s="1"/>
      <c r="C19" s="22"/>
      <c r="D19" s="137"/>
      <c r="E19" s="137"/>
      <c r="F19" s="137">
        <v>738</v>
      </c>
      <c r="G19" s="137">
        <v>1047</v>
      </c>
      <c r="H19" s="137">
        <v>1348</v>
      </c>
      <c r="I19" s="11">
        <v>2023</v>
      </c>
      <c r="J19" s="136">
        <v>1888</v>
      </c>
      <c r="K19" s="136">
        <v>1384</v>
      </c>
      <c r="L19" s="7"/>
      <c r="M19" s="1"/>
      <c r="N19" s="1" t="str">
        <f>A19</f>
        <v xml:space="preserve">  Electric Construction Work in Progress</v>
      </c>
      <c r="O19" s="7" t="e">
        <f t="shared" si="6"/>
        <v>#DIV/0!</v>
      </c>
      <c r="P19" s="7" t="e">
        <f t="shared" si="6"/>
        <v>#DIV/0!</v>
      </c>
      <c r="Q19" s="7" t="e">
        <f t="shared" si="6"/>
        <v>#DIV/0!</v>
      </c>
      <c r="R19" s="7" t="e">
        <f t="shared" si="6"/>
        <v>#DIV/0!</v>
      </c>
      <c r="S19" s="7">
        <f t="shared" si="6"/>
        <v>2.1658742736397254E-2</v>
      </c>
      <c r="T19" s="7">
        <f t="shared" si="6"/>
        <v>3.0083613481596414E-2</v>
      </c>
      <c r="U19" s="7">
        <f t="shared" si="6"/>
        <v>3.6798427604280412E-2</v>
      </c>
      <c r="V19" s="7">
        <f t="shared" si="6"/>
        <v>4.9510523739598626E-2</v>
      </c>
      <c r="W19" s="7">
        <f t="shared" si="6"/>
        <v>4.3963208755384793E-2</v>
      </c>
      <c r="X19" s="7">
        <f t="shared" si="6"/>
        <v>3.0070613796849537E-2</v>
      </c>
      <c r="Y19" s="7">
        <f t="shared" si="7"/>
        <v>3.5812168828795905E-2</v>
      </c>
      <c r="Z19" s="189"/>
    </row>
    <row r="20" spans="1:26">
      <c r="A20" s="9" t="s">
        <v>20</v>
      </c>
      <c r="B20" s="1"/>
      <c r="C20" s="22"/>
      <c r="D20" s="137"/>
      <c r="E20" s="137"/>
      <c r="F20" s="137">
        <v>8794</v>
      </c>
      <c r="G20" s="137">
        <v>9115</v>
      </c>
      <c r="H20" s="137">
        <v>9620</v>
      </c>
      <c r="I20" s="11">
        <v>10155</v>
      </c>
      <c r="J20" s="136">
        <v>10697</v>
      </c>
      <c r="K20" s="136">
        <v>11382</v>
      </c>
      <c r="L20" s="7"/>
      <c r="M20" s="1"/>
      <c r="N20" s="1" t="str">
        <f>A20</f>
        <v>Other Regulated PP &amp; E</v>
      </c>
      <c r="O20" s="7" t="e">
        <f t="shared" si="6"/>
        <v>#DIV/0!</v>
      </c>
      <c r="P20" s="7" t="e">
        <f t="shared" si="6"/>
        <v>#DIV/0!</v>
      </c>
      <c r="Q20" s="7" t="e">
        <f t="shared" si="6"/>
        <v>#DIV/0!</v>
      </c>
      <c r="R20" s="7" t="e">
        <f>E20/E$38</f>
        <v>#DIV/0!</v>
      </c>
      <c r="S20" s="7">
        <f t="shared" si="6"/>
        <v>0.2580853436637906</v>
      </c>
      <c r="T20" s="7">
        <f t="shared" si="6"/>
        <v>0.26190270953653422</v>
      </c>
      <c r="U20" s="7">
        <f t="shared" si="6"/>
        <v>0.26261192400087358</v>
      </c>
      <c r="V20" s="7">
        <f t="shared" si="6"/>
        <v>0.24853157121879588</v>
      </c>
      <c r="W20" s="7">
        <f t="shared" si="6"/>
        <v>0.24908604028408429</v>
      </c>
      <c r="X20" s="7">
        <f t="shared" si="6"/>
        <v>0.24730038022813688</v>
      </c>
      <c r="Y20" s="7">
        <f t="shared" si="7"/>
        <v>0.25394431012284407</v>
      </c>
      <c r="Z20" s="189"/>
    </row>
    <row r="21" spans="1:26">
      <c r="A21" s="1" t="s">
        <v>21</v>
      </c>
      <c r="B21" s="1"/>
      <c r="C21" s="22"/>
      <c r="D21" s="137"/>
      <c r="E21" s="137"/>
      <c r="F21" s="137">
        <v>16</v>
      </c>
      <c r="G21" s="137">
        <v>16</v>
      </c>
      <c r="H21" s="137">
        <v>17</v>
      </c>
      <c r="I21" s="11">
        <v>17</v>
      </c>
      <c r="J21" s="136">
        <v>14</v>
      </c>
      <c r="K21" s="136">
        <v>15</v>
      </c>
      <c r="L21" s="7"/>
      <c r="M21" s="1"/>
      <c r="N21" s="1" t="str">
        <f>A21</f>
        <v>Other PP&amp;E</v>
      </c>
      <c r="O21" s="7" t="e">
        <f t="shared" si="6"/>
        <v>#DIV/0!</v>
      </c>
      <c r="P21" s="7" t="e">
        <f t="shared" si="6"/>
        <v>#DIV/0!</v>
      </c>
      <c r="Q21" s="7" t="e">
        <f t="shared" si="6"/>
        <v>#DIV/0!</v>
      </c>
      <c r="R21" s="7" t="e">
        <f>E21/E$38</f>
        <v>#DIV/0!</v>
      </c>
      <c r="S21" s="7">
        <f t="shared" si="6"/>
        <v>4.6956623818747434E-4</v>
      </c>
      <c r="T21" s="7">
        <f t="shared" si="6"/>
        <v>4.5973048300433872E-4</v>
      </c>
      <c r="U21" s="7">
        <f t="shared" si="6"/>
        <v>4.6407512557326928E-4</v>
      </c>
      <c r="V21" s="7">
        <f t="shared" si="6"/>
        <v>4.1605482134116496E-4</v>
      </c>
      <c r="W21" s="7">
        <f t="shared" si="6"/>
        <v>3.2599837000814997E-4</v>
      </c>
      <c r="X21" s="7">
        <f t="shared" si="6"/>
        <v>3.2590983161325367E-4</v>
      </c>
      <c r="Y21" s="7">
        <f t="shared" si="7"/>
        <v>4.0367299937536913E-4</v>
      </c>
      <c r="Z21" s="189"/>
    </row>
    <row r="22" spans="1:26">
      <c r="A22" s="1" t="s">
        <v>22</v>
      </c>
      <c r="B22" s="1">
        <f t="shared" ref="B22:K22" si="8">SUM(B18:B21)</f>
        <v>0</v>
      </c>
      <c r="C22" s="22">
        <f t="shared" si="8"/>
        <v>0</v>
      </c>
      <c r="D22" s="137">
        <f t="shared" si="8"/>
        <v>0</v>
      </c>
      <c r="E22" s="137">
        <f t="shared" si="8"/>
        <v>0</v>
      </c>
      <c r="F22" s="137">
        <f t="shared" si="8"/>
        <v>32030</v>
      </c>
      <c r="G22" s="137">
        <f t="shared" si="8"/>
        <v>34214</v>
      </c>
      <c r="H22" s="137">
        <f t="shared" si="8"/>
        <v>36584</v>
      </c>
      <c r="I22" s="11">
        <f t="shared" si="8"/>
        <v>39833</v>
      </c>
      <c r="J22" s="11">
        <f t="shared" si="8"/>
        <v>43080</v>
      </c>
      <c r="K22" s="11">
        <f t="shared" si="8"/>
        <v>46289</v>
      </c>
      <c r="L22" s="7">
        <f>RATE(5,,-F22,K22)</f>
        <v>7.6425982219471694E-2</v>
      </c>
      <c r="M22" s="1"/>
      <c r="N22" s="1" t="s">
        <v>23</v>
      </c>
      <c r="O22" s="7" t="e">
        <f t="shared" si="6"/>
        <v>#DIV/0!</v>
      </c>
      <c r="P22" s="7" t="e">
        <f t="shared" si="6"/>
        <v>#DIV/0!</v>
      </c>
      <c r="Q22" s="7" t="e">
        <f t="shared" si="6"/>
        <v>#DIV/0!</v>
      </c>
      <c r="R22" s="7" t="e">
        <f>E22/E$38</f>
        <v>#DIV/0!</v>
      </c>
      <c r="S22" s="7">
        <f t="shared" si="6"/>
        <v>0.9400129130715501</v>
      </c>
      <c r="T22" s="7">
        <f t="shared" si="6"/>
        <v>0.98307617159440275</v>
      </c>
      <c r="U22" s="7">
        <f t="shared" si="6"/>
        <v>0.9986896702336755</v>
      </c>
      <c r="V22" s="7">
        <f t="shared" si="6"/>
        <v>0.97486539402838968</v>
      </c>
      <c r="W22" s="7">
        <f t="shared" si="6"/>
        <v>1.0031435557107928</v>
      </c>
      <c r="X22" s="7">
        <f t="shared" si="6"/>
        <v>1.0057360130363933</v>
      </c>
      <c r="Y22" s="7">
        <f t="shared" si="7"/>
        <v>0.98593943205333578</v>
      </c>
      <c r="Z22" s="189"/>
    </row>
    <row r="23" spans="1:26">
      <c r="A23" s="1"/>
      <c r="B23" s="1"/>
      <c r="C23" s="22"/>
      <c r="D23" s="137"/>
      <c r="E23" s="137"/>
      <c r="F23" s="137"/>
      <c r="G23" s="137"/>
      <c r="H23" s="137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"/>
      <c r="C24" s="22"/>
      <c r="D24" s="137"/>
      <c r="E24" s="137"/>
      <c r="F24" s="137">
        <v>12075</v>
      </c>
      <c r="G24" s="137">
        <v>12429</v>
      </c>
      <c r="H24" s="137">
        <v>12928</v>
      </c>
      <c r="I24" s="11">
        <v>13572</v>
      </c>
      <c r="J24" s="11">
        <v>14188</v>
      </c>
      <c r="K24" s="11">
        <v>14840</v>
      </c>
      <c r="L24" s="7">
        <f>RATE(5,,-F24,K24)</f>
        <v>4.2099895398158053E-2</v>
      </c>
      <c r="M24" s="2"/>
      <c r="N24" s="1" t="str">
        <f>A24</f>
        <v>Accumulated Depreciation &amp; Amort.</v>
      </c>
      <c r="O24" s="7" t="e">
        <f t="shared" ref="O24:X24" si="9">B24/B$38</f>
        <v>#DIV/0!</v>
      </c>
      <c r="P24" s="7" t="e">
        <f t="shared" si="9"/>
        <v>#DIV/0!</v>
      </c>
      <c r="Q24" s="7" t="e">
        <f t="shared" si="9"/>
        <v>#DIV/0!</v>
      </c>
      <c r="R24" s="7" t="e">
        <f t="shared" si="9"/>
        <v>#DIV/0!</v>
      </c>
      <c r="S24" s="7">
        <f t="shared" si="9"/>
        <v>0.35437577038210955</v>
      </c>
      <c r="T24" s="7">
        <f t="shared" si="9"/>
        <v>0.35712438582880784</v>
      </c>
      <c r="U24" s="7">
        <f t="shared" si="9"/>
        <v>0.35291548373007209</v>
      </c>
      <c r="V24" s="7">
        <f t="shared" si="9"/>
        <v>0.33215859030837003</v>
      </c>
      <c r="W24" s="7">
        <f t="shared" si="9"/>
        <v>0.33037606240540224</v>
      </c>
      <c r="X24" s="7">
        <f t="shared" si="9"/>
        <v>0.32243346007604562</v>
      </c>
      <c r="Y24" s="7">
        <f>SUM(F24:K24)/SUM(F$38:K$38)</f>
        <v>0.34007113143167939</v>
      </c>
      <c r="Z24" s="189"/>
    </row>
    <row r="25" spans="1:26">
      <c r="A25" s="1"/>
      <c r="B25" s="1"/>
      <c r="C25" s="22"/>
      <c r="D25" s="137"/>
      <c r="E25" s="137"/>
      <c r="F25" s="137"/>
      <c r="G25" s="137"/>
      <c r="H25" s="137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">
        <f t="shared" ref="B26:K26" si="10">B22-B24</f>
        <v>0</v>
      </c>
      <c r="C26" s="22">
        <f t="shared" si="10"/>
        <v>0</v>
      </c>
      <c r="D26" s="137">
        <f t="shared" si="10"/>
        <v>0</v>
      </c>
      <c r="E26" s="137">
        <f t="shared" si="10"/>
        <v>0</v>
      </c>
      <c r="F26" s="137">
        <f t="shared" si="10"/>
        <v>19955</v>
      </c>
      <c r="G26" s="137">
        <f t="shared" si="10"/>
        <v>21785</v>
      </c>
      <c r="H26" s="137">
        <f t="shared" si="10"/>
        <v>23656</v>
      </c>
      <c r="I26" s="137">
        <f t="shared" si="10"/>
        <v>26261</v>
      </c>
      <c r="J26" s="137">
        <f t="shared" si="10"/>
        <v>28892</v>
      </c>
      <c r="K26" s="137">
        <f t="shared" si="10"/>
        <v>31449</v>
      </c>
      <c r="L26" s="7">
        <f>RATE(5,,-F26,K26)</f>
        <v>9.5244350513214754E-2</v>
      </c>
      <c r="M26" s="1"/>
      <c r="N26" s="1" t="s">
        <v>23</v>
      </c>
      <c r="O26" s="7" t="e">
        <f t="shared" ref="O26:X26" si="11">B26/B$38</f>
        <v>#DIV/0!</v>
      </c>
      <c r="P26" s="7" t="e">
        <f t="shared" si="11"/>
        <v>#DIV/0!</v>
      </c>
      <c r="Q26" s="7" t="e">
        <f t="shared" si="11"/>
        <v>#DIV/0!</v>
      </c>
      <c r="R26" s="7" t="e">
        <f t="shared" si="11"/>
        <v>#DIV/0!</v>
      </c>
      <c r="S26" s="7">
        <f t="shared" si="11"/>
        <v>0.58563714268944067</v>
      </c>
      <c r="T26" s="7">
        <f t="shared" si="11"/>
        <v>0.62595178576559496</v>
      </c>
      <c r="U26" s="7">
        <f t="shared" si="11"/>
        <v>0.64577418650360341</v>
      </c>
      <c r="V26" s="7">
        <f t="shared" si="11"/>
        <v>0.64270680372001954</v>
      </c>
      <c r="W26" s="7">
        <f t="shared" si="11"/>
        <v>0.67276749330539065</v>
      </c>
      <c r="X26" s="7">
        <f t="shared" si="11"/>
        <v>0.68330255296034759</v>
      </c>
      <c r="Y26" s="7">
        <f>SUM(F26:K26)/SUM(F$38:K$38)</f>
        <v>0.64586830062165645</v>
      </c>
      <c r="Z26" s="189"/>
    </row>
    <row r="27" spans="1:26">
      <c r="A27" s="1"/>
      <c r="B27" s="1"/>
      <c r="C27" s="22"/>
      <c r="D27" s="137"/>
      <c r="E27" s="137"/>
      <c r="F27" s="137"/>
      <c r="G27" s="137"/>
      <c r="H27" s="137"/>
      <c r="I27" s="11"/>
      <c r="J27" s="11"/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"/>
      <c r="C28" s="22"/>
      <c r="D28" s="137"/>
      <c r="E28" s="137"/>
      <c r="F28" s="137"/>
      <c r="G28" s="137"/>
      <c r="H28" s="137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"/>
      <c r="C29" s="22"/>
      <c r="D29" s="137"/>
      <c r="E29" s="137"/>
      <c r="F29" s="137">
        <v>5578</v>
      </c>
      <c r="G29" s="137">
        <v>4902</v>
      </c>
      <c r="H29" s="137">
        <v>4459</v>
      </c>
      <c r="I29" s="11">
        <v>5996</v>
      </c>
      <c r="J29" s="11">
        <v>5522</v>
      </c>
      <c r="K29" s="11">
        <v>5846</v>
      </c>
      <c r="L29" s="7">
        <f t="shared" ref="L29:L35" si="12">RATE(5,,-F29,K29)</f>
        <v>9.4296571857805812E-3</v>
      </c>
      <c r="M29" s="1"/>
      <c r="N29" s="1" t="s">
        <v>27</v>
      </c>
      <c r="O29" s="7" t="e">
        <f t="shared" ref="O29:X36" si="13">B29/B$38</f>
        <v>#DIV/0!</v>
      </c>
      <c r="P29" s="7" t="e">
        <f t="shared" si="13"/>
        <v>#DIV/0!</v>
      </c>
      <c r="Q29" s="7" t="e">
        <f t="shared" si="13"/>
        <v>#DIV/0!</v>
      </c>
      <c r="R29" s="7" t="e">
        <f t="shared" si="13"/>
        <v>#DIV/0!</v>
      </c>
      <c r="S29" s="7">
        <f t="shared" si="13"/>
        <v>0.16370252978810823</v>
      </c>
      <c r="T29" s="7">
        <f t="shared" si="13"/>
        <v>0.14084992673045427</v>
      </c>
      <c r="U29" s="7">
        <f t="shared" si="13"/>
        <v>0.12172417558418869</v>
      </c>
      <c r="V29" s="7">
        <f t="shared" si="13"/>
        <v>0.14674498286833088</v>
      </c>
      <c r="W29" s="7">
        <f t="shared" si="13"/>
        <v>0.12858307137035743</v>
      </c>
      <c r="X29" s="7">
        <f t="shared" si="13"/>
        <v>0.12701792504073872</v>
      </c>
      <c r="Y29" s="7">
        <f t="shared" ref="Y29:Y36" si="14">SUM(F29:K29)/SUM(F$38:K$38)</f>
        <v>0.13726156735602685</v>
      </c>
      <c r="Z29" s="189"/>
    </row>
    <row r="30" spans="1:26">
      <c r="A30" s="1" t="s">
        <v>28</v>
      </c>
      <c r="B30" s="1"/>
      <c r="C30" s="22"/>
      <c r="D30" s="137"/>
      <c r="E30" s="137"/>
      <c r="F30" s="137"/>
      <c r="G30" s="137"/>
      <c r="H30" s="137"/>
      <c r="I30" s="11"/>
      <c r="J30" s="11"/>
      <c r="K30" s="11"/>
      <c r="L30" s="7"/>
      <c r="M30" s="1"/>
      <c r="N30" s="1" t="str">
        <f>A30</f>
        <v>Intangible Assets-net</v>
      </c>
      <c r="O30" s="7" t="e">
        <f t="shared" si="13"/>
        <v>#DIV/0!</v>
      </c>
      <c r="P30" s="7" t="e">
        <f t="shared" si="13"/>
        <v>#DIV/0!</v>
      </c>
      <c r="Q30" s="7" t="e">
        <f t="shared" si="13"/>
        <v>#DIV/0!</v>
      </c>
      <c r="R30" s="7" t="e">
        <f t="shared" si="13"/>
        <v>#DIV/0!</v>
      </c>
      <c r="S30" s="7">
        <f t="shared" si="13"/>
        <v>0</v>
      </c>
      <c r="T30" s="7">
        <f t="shared" si="13"/>
        <v>0</v>
      </c>
      <c r="U30" s="7">
        <f t="shared" si="13"/>
        <v>0</v>
      </c>
      <c r="V30" s="7">
        <f t="shared" si="13"/>
        <v>0</v>
      </c>
      <c r="W30" s="7">
        <f t="shared" si="13"/>
        <v>0</v>
      </c>
      <c r="X30" s="7">
        <f t="shared" si="13"/>
        <v>0</v>
      </c>
      <c r="Y30" s="7">
        <f t="shared" si="14"/>
        <v>0</v>
      </c>
      <c r="Z30" s="189"/>
    </row>
    <row r="31" spans="1:26">
      <c r="A31" s="1" t="s">
        <v>29</v>
      </c>
      <c r="B31" s="1"/>
      <c r="C31" s="22"/>
      <c r="D31" s="137"/>
      <c r="E31" s="137"/>
      <c r="F31" s="137">
        <v>1719</v>
      </c>
      <c r="G31" s="137">
        <v>1876</v>
      </c>
      <c r="H31" s="137">
        <f>36632-34653</f>
        <v>1979</v>
      </c>
      <c r="I31" s="11">
        <f>40860-39142</f>
        <v>1718</v>
      </c>
      <c r="J31" s="11">
        <v>1899</v>
      </c>
      <c r="K31" s="11">
        <v>2009</v>
      </c>
      <c r="L31" s="7">
        <f t="shared" si="12"/>
        <v>3.1670024147598445E-2</v>
      </c>
      <c r="M31" s="1"/>
      <c r="N31" s="1" t="str">
        <f t="shared" ref="N31:N36" si="15">A31</f>
        <v>Finance Assets</v>
      </c>
      <c r="O31" s="7" t="e">
        <f t="shared" si="13"/>
        <v>#DIV/0!</v>
      </c>
      <c r="P31" s="7" t="e">
        <f t="shared" si="13"/>
        <v>#DIV/0!</v>
      </c>
      <c r="Q31" s="7" t="e">
        <f t="shared" si="13"/>
        <v>#DIV/0!</v>
      </c>
      <c r="R31" s="7" t="e">
        <f t="shared" si="13"/>
        <v>#DIV/0!</v>
      </c>
      <c r="S31" s="7">
        <f t="shared" si="13"/>
        <v>5.0449022715266773E-2</v>
      </c>
      <c r="T31" s="7">
        <f t="shared" si="13"/>
        <v>5.3903399132258716E-2</v>
      </c>
      <c r="U31" s="7">
        <f t="shared" si="13"/>
        <v>5.402380432408823E-2</v>
      </c>
      <c r="V31" s="7">
        <f t="shared" si="13"/>
        <v>4.2046010768477728E-2</v>
      </c>
      <c r="W31" s="7">
        <f t="shared" si="13"/>
        <v>4.4219350331819771E-2</v>
      </c>
      <c r="X31" s="7">
        <f t="shared" si="13"/>
        <v>4.3650190114068441E-2</v>
      </c>
      <c r="Y31" s="7">
        <f t="shared" si="14"/>
        <v>4.7590922031622469E-2</v>
      </c>
      <c r="Z31" s="189"/>
    </row>
    <row r="32" spans="1:26">
      <c r="A32" s="1" t="s">
        <v>30</v>
      </c>
      <c r="B32" s="1"/>
      <c r="C32" s="22"/>
      <c r="D32" s="137"/>
      <c r="E32" s="137"/>
      <c r="F32" s="137"/>
      <c r="G32" s="137"/>
      <c r="H32" s="137"/>
      <c r="I32" s="11"/>
      <c r="J32" s="11"/>
      <c r="K32" s="11"/>
      <c r="L32" s="7"/>
      <c r="M32" s="1"/>
      <c r="N32" s="1" t="str">
        <f t="shared" si="15"/>
        <v xml:space="preserve">Investments </v>
      </c>
      <c r="O32" s="7" t="e">
        <f t="shared" si="13"/>
        <v>#DIV/0!</v>
      </c>
      <c r="P32" s="7" t="e">
        <f t="shared" si="13"/>
        <v>#DIV/0!</v>
      </c>
      <c r="Q32" s="7" t="e">
        <f t="shared" si="13"/>
        <v>#DIV/0!</v>
      </c>
      <c r="R32" s="7" t="e">
        <f t="shared" si="13"/>
        <v>#DIV/0!</v>
      </c>
      <c r="S32" s="7">
        <f t="shared" si="13"/>
        <v>0</v>
      </c>
      <c r="T32" s="7">
        <f t="shared" si="13"/>
        <v>0</v>
      </c>
      <c r="U32" s="7">
        <f t="shared" si="13"/>
        <v>0</v>
      </c>
      <c r="V32" s="7">
        <f t="shared" si="13"/>
        <v>0</v>
      </c>
      <c r="W32" s="7">
        <f t="shared" si="13"/>
        <v>0</v>
      </c>
      <c r="X32" s="7">
        <f t="shared" si="13"/>
        <v>0</v>
      </c>
      <c r="Y32" s="7">
        <f t="shared" si="14"/>
        <v>0</v>
      </c>
      <c r="Z32" s="189"/>
    </row>
    <row r="33" spans="1:26">
      <c r="A33" s="1" t="s">
        <v>31</v>
      </c>
      <c r="B33" s="1"/>
      <c r="C33" s="22"/>
      <c r="D33" s="137"/>
      <c r="E33" s="137"/>
      <c r="F33" s="137">
        <v>842</v>
      </c>
      <c r="G33" s="137">
        <v>373</v>
      </c>
      <c r="H33" s="137">
        <v>1089</v>
      </c>
      <c r="I33" s="11">
        <v>482</v>
      </c>
      <c r="J33" s="11">
        <f>42945-41970</f>
        <v>975</v>
      </c>
      <c r="K33" s="11">
        <f>46025-44846</f>
        <v>1179</v>
      </c>
      <c r="L33" s="7">
        <f t="shared" si="12"/>
        <v>6.9646668151038912E-2</v>
      </c>
      <c r="M33" s="1"/>
      <c r="N33" s="1" t="str">
        <f t="shared" si="15"/>
        <v>Deferred Charges and Other</v>
      </c>
      <c r="O33" s="7" t="e">
        <f t="shared" si="13"/>
        <v>#DIV/0!</v>
      </c>
      <c r="P33" s="7" t="e">
        <f t="shared" si="13"/>
        <v>#DIV/0!</v>
      </c>
      <c r="Q33" s="7" t="e">
        <f t="shared" si="13"/>
        <v>#DIV/0!</v>
      </c>
      <c r="R33" s="7" t="e">
        <f t="shared" si="13"/>
        <v>#DIV/0!</v>
      </c>
      <c r="S33" s="7">
        <f t="shared" si="13"/>
        <v>2.4710923284615837E-2</v>
      </c>
      <c r="T33" s="7">
        <f t="shared" si="13"/>
        <v>1.0717466885038647E-2</v>
      </c>
      <c r="U33" s="7">
        <f t="shared" si="13"/>
        <v>2.9728106573487661E-2</v>
      </c>
      <c r="V33" s="7">
        <f t="shared" si="13"/>
        <v>1.1796377875673029E-2</v>
      </c>
      <c r="W33" s="7">
        <f t="shared" si="13"/>
        <v>2.2703457911281873E-2</v>
      </c>
      <c r="X33" s="7">
        <f t="shared" si="13"/>
        <v>2.5616512764801737E-2</v>
      </c>
      <c r="Y33" s="7">
        <f t="shared" si="14"/>
        <v>2.0990995967519195E-2</v>
      </c>
      <c r="Z33" s="189"/>
    </row>
    <row r="34" spans="1:26">
      <c r="A34" s="1" t="s">
        <v>32</v>
      </c>
      <c r="B34" s="1">
        <f t="shared" ref="B34" si="16">SUM(B29:B33)</f>
        <v>0</v>
      </c>
      <c r="C34" s="22">
        <f t="shared" ref="C34:H34" si="17">SUM(C29:C33)</f>
        <v>0</v>
      </c>
      <c r="D34" s="137">
        <f t="shared" si="17"/>
        <v>0</v>
      </c>
      <c r="E34" s="137">
        <f t="shared" si="17"/>
        <v>0</v>
      </c>
      <c r="F34" s="137">
        <f t="shared" si="17"/>
        <v>8139</v>
      </c>
      <c r="G34" s="137">
        <f t="shared" si="17"/>
        <v>7151</v>
      </c>
      <c r="H34" s="137">
        <f t="shared" si="17"/>
        <v>7527</v>
      </c>
      <c r="I34" s="11">
        <f>SUM(I29:I33)</f>
        <v>8196</v>
      </c>
      <c r="J34" s="11">
        <f>SUM(J29:J33)</f>
        <v>8396</v>
      </c>
      <c r="K34" s="11">
        <f>SUM(K29:K33)</f>
        <v>9034</v>
      </c>
      <c r="L34" s="7">
        <f t="shared" si="12"/>
        <v>2.1084791235311765E-2</v>
      </c>
      <c r="M34" s="1"/>
      <c r="N34" s="1" t="str">
        <f t="shared" si="15"/>
        <v>Total Other Assets</v>
      </c>
      <c r="O34" s="7" t="e">
        <f t="shared" si="13"/>
        <v>#DIV/0!</v>
      </c>
      <c r="P34" s="7" t="e">
        <f t="shared" si="13"/>
        <v>#DIV/0!</v>
      </c>
      <c r="Q34" s="7" t="e">
        <f t="shared" si="13"/>
        <v>#DIV/0!</v>
      </c>
      <c r="R34" s="7" t="e">
        <f t="shared" si="13"/>
        <v>#DIV/0!</v>
      </c>
      <c r="S34" s="7">
        <f t="shared" si="13"/>
        <v>0.23886247578799083</v>
      </c>
      <c r="T34" s="7">
        <f t="shared" si="13"/>
        <v>0.20547079274775162</v>
      </c>
      <c r="U34" s="7">
        <f t="shared" si="13"/>
        <v>0.20547608648176457</v>
      </c>
      <c r="V34" s="7">
        <f t="shared" si="13"/>
        <v>0.20058737151248165</v>
      </c>
      <c r="W34" s="7">
        <f t="shared" si="13"/>
        <v>0.19550587961345908</v>
      </c>
      <c r="X34" s="7">
        <f t="shared" si="13"/>
        <v>0.19628462791960891</v>
      </c>
      <c r="Y34" s="7">
        <f t="shared" si="14"/>
        <v>0.2058434853551685</v>
      </c>
      <c r="Z34" s="189"/>
    </row>
    <row r="35" spans="1:26">
      <c r="A35" s="1" t="s">
        <v>33</v>
      </c>
      <c r="B35" s="1">
        <f t="shared" ref="B35:I35" si="18">B26+B34</f>
        <v>0</v>
      </c>
      <c r="C35" s="22">
        <f t="shared" si="18"/>
        <v>0</v>
      </c>
      <c r="D35" s="137">
        <f t="shared" si="18"/>
        <v>0</v>
      </c>
      <c r="E35" s="137">
        <f t="shared" si="18"/>
        <v>0</v>
      </c>
      <c r="F35" s="137">
        <f t="shared" si="18"/>
        <v>28094</v>
      </c>
      <c r="G35" s="137">
        <f t="shared" si="18"/>
        <v>28936</v>
      </c>
      <c r="H35" s="137">
        <f t="shared" si="18"/>
        <v>31183</v>
      </c>
      <c r="I35" s="11">
        <f t="shared" si="18"/>
        <v>34457</v>
      </c>
      <c r="J35" s="11">
        <f>J26+J34</f>
        <v>37288</v>
      </c>
      <c r="K35" s="11">
        <f>K26+K34</f>
        <v>40483</v>
      </c>
      <c r="L35" s="7">
        <f t="shared" si="12"/>
        <v>7.5800698885379672E-2</v>
      </c>
      <c r="M35" s="1"/>
      <c r="N35" s="1" t="str">
        <f t="shared" si="15"/>
        <v>Total Non-Current Assets</v>
      </c>
      <c r="O35" s="7" t="e">
        <f t="shared" si="13"/>
        <v>#DIV/0!</v>
      </c>
      <c r="P35" s="7" t="e">
        <f t="shared" si="13"/>
        <v>#DIV/0!</v>
      </c>
      <c r="Q35" s="7" t="e">
        <f t="shared" si="13"/>
        <v>#DIV/0!</v>
      </c>
      <c r="R35" s="7" t="e">
        <f t="shared" si="13"/>
        <v>#DIV/0!</v>
      </c>
      <c r="S35" s="7">
        <f t="shared" si="13"/>
        <v>0.82449961847743147</v>
      </c>
      <c r="T35" s="7">
        <f t="shared" si="13"/>
        <v>0.83142257851334656</v>
      </c>
      <c r="U35" s="7">
        <f t="shared" si="13"/>
        <v>0.85125027298536804</v>
      </c>
      <c r="V35" s="7">
        <f t="shared" si="13"/>
        <v>0.84329417523250128</v>
      </c>
      <c r="W35" s="7">
        <f t="shared" si="13"/>
        <v>0.86827337291884965</v>
      </c>
      <c r="X35" s="7">
        <f t="shared" si="13"/>
        <v>0.87958718087995658</v>
      </c>
      <c r="Y35" s="7">
        <f t="shared" si="14"/>
        <v>0.85171178597682495</v>
      </c>
      <c r="Z35" s="189"/>
    </row>
    <row r="36" spans="1:26">
      <c r="A36" s="1" t="s">
        <v>34</v>
      </c>
      <c r="B36" s="1"/>
      <c r="C36" s="22"/>
      <c r="D36" s="137"/>
      <c r="E36" s="137"/>
      <c r="F36" s="137"/>
      <c r="G36" s="137"/>
      <c r="H36" s="137"/>
      <c r="I36" s="11"/>
      <c r="J36" s="11"/>
      <c r="K36" s="11"/>
      <c r="L36" s="7"/>
      <c r="M36" s="1"/>
      <c r="N36" s="1" t="str">
        <f t="shared" si="15"/>
        <v xml:space="preserve"> Electric Assets</v>
      </c>
      <c r="O36" s="7" t="e">
        <f>B36/B$38</f>
        <v>#DIV/0!</v>
      </c>
      <c r="P36" s="7" t="e">
        <f t="shared" si="13"/>
        <v>#DIV/0!</v>
      </c>
      <c r="Q36" s="7" t="e">
        <f t="shared" si="13"/>
        <v>#DIV/0!</v>
      </c>
      <c r="R36" s="7" t="e">
        <f t="shared" si="13"/>
        <v>#DIV/0!</v>
      </c>
      <c r="S36" s="7">
        <f t="shared" si="13"/>
        <v>0</v>
      </c>
      <c r="T36" s="7">
        <f t="shared" si="13"/>
        <v>0</v>
      </c>
      <c r="U36" s="7">
        <f t="shared" si="13"/>
        <v>0</v>
      </c>
      <c r="V36" s="7">
        <f t="shared" si="13"/>
        <v>0</v>
      </c>
      <c r="W36" s="7">
        <f t="shared" si="13"/>
        <v>0</v>
      </c>
      <c r="X36" s="7">
        <f t="shared" si="13"/>
        <v>0</v>
      </c>
      <c r="Y36" s="7">
        <f t="shared" si="14"/>
        <v>0</v>
      </c>
      <c r="Z36" s="189"/>
    </row>
    <row r="37" spans="1:26">
      <c r="A37" s="1" t="s">
        <v>35</v>
      </c>
      <c r="B37" s="1"/>
      <c r="C37" s="22"/>
      <c r="D37" s="137"/>
      <c r="E37" s="137"/>
      <c r="F37" s="137"/>
      <c r="G37" s="137"/>
      <c r="H37" s="137"/>
      <c r="I37" s="11"/>
      <c r="J37" s="11"/>
      <c r="K37" s="11"/>
      <c r="L37" s="7"/>
      <c r="M37" s="1"/>
      <c r="N37" s="1" t="str">
        <f t="shared" ref="N37" si="19">A37</f>
        <v>Other Regulated Assets</v>
      </c>
      <c r="O37" s="7" t="e">
        <f>B37/B$38</f>
        <v>#DIV/0!</v>
      </c>
      <c r="P37" s="7" t="e">
        <f t="shared" ref="P37" si="20">C37/C$38</f>
        <v>#DIV/0!</v>
      </c>
      <c r="Q37" s="7" t="e">
        <f t="shared" ref="Q37" si="21">D37/D$38</f>
        <v>#DIV/0!</v>
      </c>
      <c r="R37" s="7" t="e">
        <f t="shared" ref="R37" si="22">E37/E$38</f>
        <v>#DIV/0!</v>
      </c>
      <c r="S37" s="7">
        <f t="shared" ref="S37" si="23">F37/F$38</f>
        <v>0</v>
      </c>
      <c r="T37" s="7">
        <f t="shared" ref="T37" si="24">G37/G$38</f>
        <v>0</v>
      </c>
      <c r="U37" s="7">
        <f t="shared" ref="U37" si="25">H37/H$38</f>
        <v>0</v>
      </c>
      <c r="V37" s="7">
        <f t="shared" ref="V37" si="26">I37/I$38</f>
        <v>0</v>
      </c>
      <c r="W37" s="7">
        <f t="shared" ref="W37" si="27">J37/J$38</f>
        <v>0</v>
      </c>
      <c r="X37" s="7">
        <f t="shared" ref="X37" si="28">K37/K$38</f>
        <v>0</v>
      </c>
      <c r="Y37" s="7">
        <f t="shared" ref="Y37" si="29">SUM(F37:K37)/SUM(F$38:K$38)</f>
        <v>0</v>
      </c>
      <c r="Z37" s="189"/>
    </row>
    <row r="38" spans="1:26">
      <c r="A38" s="1" t="s">
        <v>36</v>
      </c>
      <c r="B38" s="1">
        <f t="shared" ref="B38:K38" si="30">B15+B26+B34</f>
        <v>0</v>
      </c>
      <c r="C38" s="22">
        <f t="shared" si="30"/>
        <v>0</v>
      </c>
      <c r="D38" s="137">
        <f t="shared" si="30"/>
        <v>0</v>
      </c>
      <c r="E38" s="137">
        <f t="shared" si="30"/>
        <v>0</v>
      </c>
      <c r="F38" s="137">
        <f t="shared" si="30"/>
        <v>34074</v>
      </c>
      <c r="G38" s="137">
        <f t="shared" si="30"/>
        <v>34803</v>
      </c>
      <c r="H38" s="137">
        <f t="shared" si="30"/>
        <v>36632</v>
      </c>
      <c r="I38" s="11">
        <f t="shared" si="30"/>
        <v>40860</v>
      </c>
      <c r="J38" s="11">
        <f t="shared" si="30"/>
        <v>42945</v>
      </c>
      <c r="K38" s="11">
        <f t="shared" si="30"/>
        <v>46025</v>
      </c>
      <c r="L38" s="7">
        <f>RATE(5,,-F38,K38)</f>
        <v>6.1974614870731956E-2</v>
      </c>
      <c r="M38" s="1"/>
      <c r="N38" s="1" t="s">
        <v>36</v>
      </c>
      <c r="O38" s="7" t="e">
        <f t="shared" ref="O38:X38" si="31">B38/B$38</f>
        <v>#DIV/0!</v>
      </c>
      <c r="P38" s="7" t="e">
        <f t="shared" si="31"/>
        <v>#DIV/0!</v>
      </c>
      <c r="Q38" s="7" t="e">
        <f t="shared" si="31"/>
        <v>#DIV/0!</v>
      </c>
      <c r="R38" s="7" t="e">
        <f t="shared" si="31"/>
        <v>#DIV/0!</v>
      </c>
      <c r="S38" s="7">
        <f t="shared" si="31"/>
        <v>1</v>
      </c>
      <c r="T38" s="7">
        <f t="shared" si="31"/>
        <v>1</v>
      </c>
      <c r="U38" s="7">
        <f t="shared" si="31"/>
        <v>1</v>
      </c>
      <c r="V38" s="7">
        <f t="shared" si="31"/>
        <v>1</v>
      </c>
      <c r="W38" s="7">
        <f t="shared" si="31"/>
        <v>1</v>
      </c>
      <c r="X38" s="7">
        <f t="shared" si="31"/>
        <v>1</v>
      </c>
      <c r="Y38" s="7">
        <f>SUM(F38:K38)/SUM(F$38:K$38)</f>
        <v>1</v>
      </c>
      <c r="Z38" s="189"/>
    </row>
    <row r="39" spans="1:26">
      <c r="A39" s="1"/>
      <c r="B39" s="1"/>
      <c r="C39" s="22"/>
      <c r="D39" s="137"/>
      <c r="E39" s="137"/>
      <c r="F39" s="137"/>
      <c r="G39" s="137"/>
      <c r="H39" s="137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"/>
      <c r="C40" s="22"/>
      <c r="D40" s="137"/>
      <c r="E40" s="137"/>
      <c r="F40" s="137"/>
      <c r="G40" s="137"/>
      <c r="H40" s="137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"/>
      <c r="C41" s="22"/>
      <c r="D41" s="137"/>
      <c r="E41" s="137"/>
      <c r="F41" s="137"/>
      <c r="G41" s="137"/>
      <c r="H41" s="137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"/>
      <c r="C42" s="22"/>
      <c r="D42" s="137"/>
      <c r="E42" s="137"/>
      <c r="F42" s="137">
        <v>2</v>
      </c>
      <c r="G42" s="137">
        <v>281</v>
      </c>
      <c r="H42" s="137"/>
      <c r="I42" s="11">
        <v>600</v>
      </c>
      <c r="J42" s="11">
        <v>342</v>
      </c>
      <c r="K42" s="11">
        <v>809</v>
      </c>
      <c r="L42" s="7"/>
      <c r="M42" s="1"/>
      <c r="N42" s="1" t="str">
        <f t="shared" ref="N42:N47" si="32">A42</f>
        <v>Current Maturities LTD</v>
      </c>
      <c r="O42" s="7" t="e">
        <f t="shared" ref="O42:X48" si="33">B42/B$38</f>
        <v>#DIV/0!</v>
      </c>
      <c r="P42" s="7" t="e">
        <f t="shared" si="33"/>
        <v>#DIV/0!</v>
      </c>
      <c r="Q42" s="7" t="e">
        <f t="shared" si="33"/>
        <v>#DIV/0!</v>
      </c>
      <c r="R42" s="7" t="e">
        <f t="shared" si="33"/>
        <v>#DIV/0!</v>
      </c>
      <c r="S42" s="7">
        <f t="shared" si="33"/>
        <v>5.8695779773434292E-5</v>
      </c>
      <c r="T42" s="7">
        <f t="shared" si="33"/>
        <v>8.0740166077636986E-3</v>
      </c>
      <c r="U42" s="7">
        <f t="shared" si="33"/>
        <v>0</v>
      </c>
      <c r="V42" s="7">
        <f t="shared" si="33"/>
        <v>1.4684287812041116E-2</v>
      </c>
      <c r="W42" s="7">
        <f t="shared" si="33"/>
        <v>7.9636744673419486E-3</v>
      </c>
      <c r="X42" s="7">
        <f t="shared" si="33"/>
        <v>1.7577403585008148E-2</v>
      </c>
      <c r="Y42" s="7">
        <f t="shared" ref="Y42:Y48" si="34">SUM(F42:K42)/SUM(F$38:K$38)</f>
        <v>8.6428513761000088E-3</v>
      </c>
      <c r="Z42" s="189"/>
    </row>
    <row r="43" spans="1:26">
      <c r="A43" s="1" t="s">
        <v>39</v>
      </c>
      <c r="B43" s="1"/>
      <c r="C43" s="22"/>
      <c r="D43" s="137"/>
      <c r="E43" s="137"/>
      <c r="F43" s="137">
        <v>260</v>
      </c>
      <c r="G43" s="137">
        <v>759</v>
      </c>
      <c r="H43" s="137">
        <v>519</v>
      </c>
      <c r="I43" s="11">
        <v>287</v>
      </c>
      <c r="J43" s="11">
        <v>833</v>
      </c>
      <c r="K43" s="11">
        <v>853</v>
      </c>
      <c r="L43" s="7">
        <f t="shared" ref="L43:L44" si="35">RATE(5,,-F43,K43)</f>
        <v>0.26822157354819681</v>
      </c>
      <c r="M43" s="1"/>
      <c r="N43" s="1" t="str">
        <f t="shared" si="32"/>
        <v>Notes Payable and Commercial Paper</v>
      </c>
      <c r="O43" s="7" t="e">
        <f t="shared" si="33"/>
        <v>#DIV/0!</v>
      </c>
      <c r="P43" s="7" t="e">
        <f t="shared" si="33"/>
        <v>#DIV/0!</v>
      </c>
      <c r="Q43" s="7" t="e">
        <f t="shared" si="33"/>
        <v>#DIV/0!</v>
      </c>
      <c r="R43" s="7" t="e">
        <f t="shared" si="33"/>
        <v>#DIV/0!</v>
      </c>
      <c r="S43" s="7">
        <f t="shared" si="33"/>
        <v>7.630451370546458E-3</v>
      </c>
      <c r="T43" s="7">
        <f t="shared" si="33"/>
        <v>2.1808464787518318E-2</v>
      </c>
      <c r="U43" s="7">
        <f t="shared" si="33"/>
        <v>1.4167940598383926E-2</v>
      </c>
      <c r="V43" s="7">
        <f t="shared" si="33"/>
        <v>7.0239843367596675E-3</v>
      </c>
      <c r="W43" s="7">
        <f t="shared" si="33"/>
        <v>1.9396903015484922E-2</v>
      </c>
      <c r="X43" s="7">
        <f t="shared" si="33"/>
        <v>1.8533405757740359E-2</v>
      </c>
      <c r="Y43" s="7">
        <f t="shared" si="34"/>
        <v>1.4918904219020222E-2</v>
      </c>
      <c r="Z43" s="189"/>
    </row>
    <row r="44" spans="1:26">
      <c r="A44" s="1" t="s">
        <v>40</v>
      </c>
      <c r="B44" s="1"/>
      <c r="C44" s="22"/>
      <c r="D44" s="137"/>
      <c r="E44" s="137"/>
      <c r="F44" s="137">
        <f>980+1733</f>
        <v>2713</v>
      </c>
      <c r="G44" s="137">
        <f>1075+1709</f>
        <v>2784</v>
      </c>
      <c r="H44" s="137">
        <f>1067+1629</f>
        <v>2696</v>
      </c>
      <c r="I44" s="11">
        <f>1096+1580</f>
        <v>2676</v>
      </c>
      <c r="J44" s="11">
        <f>984+773</f>
        <v>1757</v>
      </c>
      <c r="K44" s="11">
        <f>1129+745</f>
        <v>1874</v>
      </c>
      <c r="L44" s="7">
        <f t="shared" si="35"/>
        <v>-7.1324563570453539E-2</v>
      </c>
      <c r="M44" s="1"/>
      <c r="N44" s="1" t="str">
        <f t="shared" si="32"/>
        <v>Accounts Payable</v>
      </c>
      <c r="O44" s="7" t="e">
        <f t="shared" si="33"/>
        <v>#DIV/0!</v>
      </c>
      <c r="P44" s="7" t="e">
        <f t="shared" si="33"/>
        <v>#DIV/0!</v>
      </c>
      <c r="Q44" s="7" t="e">
        <f t="shared" si="33"/>
        <v>#DIV/0!</v>
      </c>
      <c r="R44" s="7" t="e">
        <f t="shared" si="33"/>
        <v>#DIV/0!</v>
      </c>
      <c r="S44" s="7">
        <f t="shared" si="33"/>
        <v>7.9620825262663619E-2</v>
      </c>
      <c r="T44" s="7">
        <f t="shared" si="33"/>
        <v>7.9993104042754934E-2</v>
      </c>
      <c r="U44" s="7">
        <f t="shared" si="33"/>
        <v>7.3596855208560824E-2</v>
      </c>
      <c r="V44" s="7">
        <f t="shared" si="33"/>
        <v>6.5491923641703378E-2</v>
      </c>
      <c r="W44" s="7">
        <f t="shared" si="33"/>
        <v>4.0912795436022817E-2</v>
      </c>
      <c r="X44" s="7">
        <f t="shared" si="33"/>
        <v>4.0717001629549159E-2</v>
      </c>
      <c r="Y44" s="7">
        <f t="shared" si="34"/>
        <v>6.1613247273082657E-2</v>
      </c>
      <c r="Z44" s="189"/>
    </row>
    <row r="45" spans="1:26">
      <c r="A45" s="1" t="s">
        <v>41</v>
      </c>
      <c r="B45" s="1"/>
      <c r="C45" s="22"/>
      <c r="D45" s="137"/>
      <c r="E45" s="137"/>
      <c r="F45" s="137"/>
      <c r="G45" s="137"/>
      <c r="H45" s="137"/>
      <c r="I45" s="11"/>
      <c r="J45" s="11"/>
      <c r="K45" s="11"/>
      <c r="L45" s="7"/>
      <c r="M45" s="1"/>
      <c r="N45" s="1" t="str">
        <f t="shared" si="32"/>
        <v>Payable to Affiliates</v>
      </c>
      <c r="O45" s="7" t="e">
        <f t="shared" si="33"/>
        <v>#DIV/0!</v>
      </c>
      <c r="P45" s="7" t="e">
        <f t="shared" si="33"/>
        <v>#DIV/0!</v>
      </c>
      <c r="Q45" s="7" t="e">
        <f t="shared" si="33"/>
        <v>#DIV/0!</v>
      </c>
      <c r="R45" s="7" t="e">
        <f t="shared" si="33"/>
        <v>#DIV/0!</v>
      </c>
      <c r="S45" s="7">
        <f t="shared" si="33"/>
        <v>0</v>
      </c>
      <c r="T45" s="7">
        <f t="shared" si="33"/>
        <v>0</v>
      </c>
      <c r="U45" s="7">
        <f t="shared" si="33"/>
        <v>0</v>
      </c>
      <c r="V45" s="7">
        <f t="shared" si="33"/>
        <v>0</v>
      </c>
      <c r="W45" s="7">
        <f t="shared" si="33"/>
        <v>0</v>
      </c>
      <c r="X45" s="7">
        <f t="shared" si="33"/>
        <v>0</v>
      </c>
      <c r="Y45" s="7">
        <f t="shared" si="34"/>
        <v>0</v>
      </c>
      <c r="Z45" s="189"/>
    </row>
    <row r="46" spans="1:26">
      <c r="A46" s="1" t="s">
        <v>42</v>
      </c>
      <c r="B46" s="1"/>
      <c r="C46" s="22"/>
      <c r="D46" s="137"/>
      <c r="E46" s="137"/>
      <c r="F46" s="137">
        <f>6932-4391</f>
        <v>2541</v>
      </c>
      <c r="G46" s="137">
        <f>8250-5337</f>
        <v>2913</v>
      </c>
      <c r="H46" s="137">
        <f>6707-4589</f>
        <v>2118</v>
      </c>
      <c r="I46" s="11">
        <f>7626-5130</f>
        <v>2496</v>
      </c>
      <c r="J46" s="11">
        <f>6813-4433</f>
        <v>2380</v>
      </c>
      <c r="K46" s="11">
        <f>7185-5094</f>
        <v>2091</v>
      </c>
      <c r="L46" s="7">
        <f t="shared" ref="L46:L48" si="36">RATE(5,,-F46,K46)</f>
        <v>-3.8232995560002363E-2</v>
      </c>
      <c r="M46" s="1"/>
      <c r="N46" s="1" t="str">
        <f t="shared" si="32"/>
        <v>Other Payables and Accrued Expenses</v>
      </c>
      <c r="O46" s="7" t="e">
        <f t="shared" si="33"/>
        <v>#DIV/0!</v>
      </c>
      <c r="P46" s="7" t="e">
        <f t="shared" si="33"/>
        <v>#DIV/0!</v>
      </c>
      <c r="Q46" s="7" t="e">
        <f t="shared" si="33"/>
        <v>#DIV/0!</v>
      </c>
      <c r="R46" s="7" t="e">
        <f t="shared" si="33"/>
        <v>#DIV/0!</v>
      </c>
      <c r="S46" s="7">
        <f t="shared" si="33"/>
        <v>7.4572988202148263E-2</v>
      </c>
      <c r="T46" s="7">
        <f t="shared" si="33"/>
        <v>8.3699681061977421E-2</v>
      </c>
      <c r="U46" s="7">
        <f t="shared" si="33"/>
        <v>5.7818300939069665E-2</v>
      </c>
      <c r="V46" s="7">
        <f t="shared" si="33"/>
        <v>6.1086637298091044E-2</v>
      </c>
      <c r="W46" s="7">
        <f t="shared" si="33"/>
        <v>5.5419722901385492E-2</v>
      </c>
      <c r="X46" s="7">
        <f t="shared" si="33"/>
        <v>4.5431830526887561E-2</v>
      </c>
      <c r="Y46" s="7">
        <f t="shared" si="34"/>
        <v>6.1778965662299914E-2</v>
      </c>
      <c r="Z46" s="189"/>
    </row>
    <row r="47" spans="1:26">
      <c r="A47" s="1" t="s">
        <v>43</v>
      </c>
      <c r="B47" s="1"/>
      <c r="C47" s="22"/>
      <c r="D47" s="137"/>
      <c r="E47" s="137"/>
      <c r="F47" s="137">
        <v>1416</v>
      </c>
      <c r="G47" s="137">
        <v>1513</v>
      </c>
      <c r="H47" s="137">
        <v>1374</v>
      </c>
      <c r="I47" s="11">
        <v>1567</v>
      </c>
      <c r="J47" s="11">
        <v>1501</v>
      </c>
      <c r="K47" s="11">
        <v>1558</v>
      </c>
      <c r="L47" s="7">
        <f t="shared" si="36"/>
        <v>1.9297220620558352E-2</v>
      </c>
      <c r="M47" s="1"/>
      <c r="N47" s="1" t="str">
        <f t="shared" si="32"/>
        <v xml:space="preserve">Other </v>
      </c>
      <c r="O47" s="7" t="e">
        <f t="shared" si="33"/>
        <v>#DIV/0!</v>
      </c>
      <c r="P47" s="7" t="e">
        <f t="shared" si="33"/>
        <v>#DIV/0!</v>
      </c>
      <c r="Q47" s="7" t="e">
        <f t="shared" si="33"/>
        <v>#DIV/0!</v>
      </c>
      <c r="R47" s="7" t="e">
        <f t="shared" si="33"/>
        <v>#DIV/0!</v>
      </c>
      <c r="S47" s="7">
        <f t="shared" si="33"/>
        <v>4.1556612079591479E-2</v>
      </c>
      <c r="T47" s="7">
        <f t="shared" si="33"/>
        <v>4.3473263799097779E-2</v>
      </c>
      <c r="U47" s="7">
        <f t="shared" si="33"/>
        <v>3.7508189561039532E-2</v>
      </c>
      <c r="V47" s="7">
        <f t="shared" si="33"/>
        <v>3.8350465002447383E-2</v>
      </c>
      <c r="W47" s="7">
        <f t="shared" si="33"/>
        <v>3.4951682384445223E-2</v>
      </c>
      <c r="X47" s="7">
        <f t="shared" si="33"/>
        <v>3.3851167843563283E-2</v>
      </c>
      <c r="Y47" s="7">
        <f t="shared" si="34"/>
        <v>3.794101275181759E-2</v>
      </c>
      <c r="Z47" s="189"/>
    </row>
    <row r="48" spans="1:26">
      <c r="A48" s="1" t="s">
        <v>44</v>
      </c>
      <c r="B48" s="1">
        <f t="shared" ref="B48:K48" si="37">SUM(B41:B47)</f>
        <v>0</v>
      </c>
      <c r="C48" s="22">
        <f t="shared" ref="C48:H48" si="38">SUM(C41:C47)</f>
        <v>0</v>
      </c>
      <c r="D48" s="137">
        <f t="shared" si="38"/>
        <v>0</v>
      </c>
      <c r="E48" s="137">
        <f t="shared" si="38"/>
        <v>0</v>
      </c>
      <c r="F48" s="137">
        <f t="shared" si="38"/>
        <v>6932</v>
      </c>
      <c r="G48" s="137">
        <f t="shared" si="38"/>
        <v>8250</v>
      </c>
      <c r="H48" s="137">
        <f t="shared" si="38"/>
        <v>6707</v>
      </c>
      <c r="I48" s="11">
        <f t="shared" si="37"/>
        <v>7626</v>
      </c>
      <c r="J48" s="11">
        <f t="shared" si="37"/>
        <v>6813</v>
      </c>
      <c r="K48" s="11">
        <f t="shared" si="37"/>
        <v>7185</v>
      </c>
      <c r="L48" s="7">
        <f t="shared" si="36"/>
        <v>7.1951914246741995E-3</v>
      </c>
      <c r="M48" s="1"/>
      <c r="N48" s="1" t="s">
        <v>44</v>
      </c>
      <c r="O48" s="7" t="e">
        <f t="shared" si="33"/>
        <v>#DIV/0!</v>
      </c>
      <c r="P48" s="7" t="e">
        <f t="shared" si="33"/>
        <v>#DIV/0!</v>
      </c>
      <c r="Q48" s="7" t="e">
        <f t="shared" si="33"/>
        <v>#DIV/0!</v>
      </c>
      <c r="R48" s="7" t="e">
        <f t="shared" si="33"/>
        <v>#DIV/0!</v>
      </c>
      <c r="S48" s="7">
        <f t="shared" si="33"/>
        <v>0.20343957269472324</v>
      </c>
      <c r="T48" s="7">
        <f t="shared" si="33"/>
        <v>0.23704853029911216</v>
      </c>
      <c r="U48" s="7">
        <f t="shared" si="33"/>
        <v>0.18309128630705393</v>
      </c>
      <c r="V48" s="7">
        <f t="shared" si="33"/>
        <v>0.1866372980910426</v>
      </c>
      <c r="W48" s="7">
        <f t="shared" si="33"/>
        <v>0.1586447782046804</v>
      </c>
      <c r="X48" s="7">
        <f t="shared" si="33"/>
        <v>0.15611080934274851</v>
      </c>
      <c r="Y48" s="7">
        <f t="shared" si="34"/>
        <v>0.1848949812823204</v>
      </c>
      <c r="Z48" s="189"/>
    </row>
    <row r="49" spans="1:26">
      <c r="A49" s="1"/>
      <c r="B49" s="1"/>
      <c r="C49" s="22"/>
      <c r="D49" s="137"/>
      <c r="E49" s="137"/>
      <c r="F49" s="137"/>
      <c r="G49" s="137"/>
      <c r="H49" s="137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"/>
      <c r="C50" s="22"/>
      <c r="D50" s="137"/>
      <c r="E50" s="137"/>
      <c r="F50" s="137">
        <v>6976</v>
      </c>
      <c r="G50" s="137">
        <v>6697</v>
      </c>
      <c r="H50" s="137">
        <v>8171</v>
      </c>
      <c r="I50" s="11">
        <v>9321</v>
      </c>
      <c r="J50" s="11">
        <v>10381</v>
      </c>
      <c r="K50" s="11">
        <v>10906</v>
      </c>
      <c r="L50" s="7">
        <f t="shared" ref="L50:L53" si="39">RATE(5,,-F50,K50)</f>
        <v>9.3482417585093028E-2</v>
      </c>
      <c r="M50" s="1"/>
      <c r="N50" s="1" t="str">
        <f>A50</f>
        <v>Long-Term Debt</v>
      </c>
      <c r="O50" s="7" t="e">
        <f t="shared" ref="O50:X53" si="40">B50/B$38</f>
        <v>#DIV/0!</v>
      </c>
      <c r="P50" s="7" t="e">
        <f t="shared" si="40"/>
        <v>#DIV/0!</v>
      </c>
      <c r="Q50" s="7" t="e">
        <f t="shared" si="40"/>
        <v>#DIV/0!</v>
      </c>
      <c r="R50" s="7" t="e">
        <f t="shared" si="40"/>
        <v>#DIV/0!</v>
      </c>
      <c r="S50" s="7">
        <f t="shared" si="40"/>
        <v>0.20473087984973881</v>
      </c>
      <c r="T50" s="7">
        <f t="shared" si="40"/>
        <v>0.19242594029250351</v>
      </c>
      <c r="U50" s="7">
        <f t="shared" si="40"/>
        <v>0.22305634417995196</v>
      </c>
      <c r="V50" s="7">
        <f t="shared" si="40"/>
        <v>0.22812041116005874</v>
      </c>
      <c r="W50" s="7">
        <f t="shared" si="40"/>
        <v>0.24172779136104319</v>
      </c>
      <c r="X50" s="7">
        <f t="shared" si="40"/>
        <v>0.23695817490494298</v>
      </c>
      <c r="Y50" s="7">
        <f t="shared" ref="Y50:Y53" si="41">SUM(F50:K50)/SUM(F$38:K$38)</f>
        <v>0.22287848592880907</v>
      </c>
      <c r="Z50" s="189"/>
    </row>
    <row r="51" spans="1:26">
      <c r="A51" s="1" t="s">
        <v>46</v>
      </c>
      <c r="B51" s="1"/>
      <c r="C51" s="22"/>
      <c r="D51" s="137"/>
      <c r="E51" s="137"/>
      <c r="F51" s="137">
        <v>3092</v>
      </c>
      <c r="G51" s="137">
        <v>2840</v>
      </c>
      <c r="H51" s="137">
        <f>3053+99</f>
        <v>3152</v>
      </c>
      <c r="I51" s="11">
        <f>3397+94</f>
        <v>3491</v>
      </c>
      <c r="J51" s="11">
        <v>4732</v>
      </c>
      <c r="K51" s="11">
        <v>5547</v>
      </c>
      <c r="L51" s="7">
        <f t="shared" si="39"/>
        <v>0.12399333537200619</v>
      </c>
      <c r="M51" s="1"/>
      <c r="N51" s="1" t="str">
        <f>A51</f>
        <v>Deferred Income Taxes</v>
      </c>
      <c r="O51" s="7" t="e">
        <f t="shared" si="40"/>
        <v>#DIV/0!</v>
      </c>
      <c r="P51" s="7" t="e">
        <f t="shared" si="40"/>
        <v>#DIV/0!</v>
      </c>
      <c r="Q51" s="7" t="e">
        <f t="shared" si="40"/>
        <v>#DIV/0!</v>
      </c>
      <c r="R51" s="7" t="e">
        <f t="shared" si="40"/>
        <v>#DIV/0!</v>
      </c>
      <c r="S51" s="7">
        <f t="shared" si="40"/>
        <v>9.0743675529729409E-2</v>
      </c>
      <c r="T51" s="7">
        <f t="shared" si="40"/>
        <v>8.1602160733270118E-2</v>
      </c>
      <c r="U51" s="7">
        <f t="shared" si="40"/>
        <v>8.6044987988643809E-2</v>
      </c>
      <c r="V51" s="7">
        <f t="shared" si="40"/>
        <v>8.5438081253059225E-2</v>
      </c>
      <c r="W51" s="7">
        <f t="shared" si="40"/>
        <v>0.11018744906275468</v>
      </c>
      <c r="X51" s="7">
        <f t="shared" si="40"/>
        <v>0.12052145573058121</v>
      </c>
      <c r="Y51" s="7">
        <f t="shared" si="41"/>
        <v>9.7110976081312486E-2</v>
      </c>
      <c r="Z51" s="189"/>
    </row>
    <row r="52" spans="1:26">
      <c r="A52" s="1" t="s">
        <v>47</v>
      </c>
      <c r="B52" s="1"/>
      <c r="C52" s="22"/>
      <c r="D52" s="137"/>
      <c r="E52" s="137"/>
      <c r="F52" s="137">
        <f>19672-10068</f>
        <v>9604</v>
      </c>
      <c r="G52" s="137">
        <f>18490-9537</f>
        <v>8953</v>
      </c>
      <c r="H52" s="137">
        <f>21120-11323</f>
        <v>9797</v>
      </c>
      <c r="I52" s="11">
        <f>23605-12812</f>
        <v>10793</v>
      </c>
      <c r="J52" s="11">
        <f>15166-4732</f>
        <v>10434</v>
      </c>
      <c r="K52" s="11">
        <f>16400-5547</f>
        <v>10853</v>
      </c>
      <c r="L52" s="7">
        <f t="shared" si="39"/>
        <v>2.4753783198159855E-2</v>
      </c>
      <c r="M52" s="1"/>
      <c r="N52" s="1" t="str">
        <f>A52</f>
        <v>Other Deferred Credits</v>
      </c>
      <c r="O52" s="7" t="e">
        <f t="shared" si="40"/>
        <v>#DIV/0!</v>
      </c>
      <c r="P52" s="7" t="e">
        <f t="shared" si="40"/>
        <v>#DIV/0!</v>
      </c>
      <c r="Q52" s="7" t="e">
        <f t="shared" si="40"/>
        <v>#DIV/0!</v>
      </c>
      <c r="R52" s="7" t="e">
        <f t="shared" si="40"/>
        <v>#DIV/0!</v>
      </c>
      <c r="S52" s="7">
        <f t="shared" si="40"/>
        <v>0.28185713447203148</v>
      </c>
      <c r="T52" s="7">
        <f t="shared" si="40"/>
        <v>0.25724793839611526</v>
      </c>
      <c r="U52" s="7">
        <f t="shared" si="40"/>
        <v>0.26744376501419526</v>
      </c>
      <c r="V52" s="7">
        <f t="shared" si="40"/>
        <v>0.26414586392559963</v>
      </c>
      <c r="W52" s="7">
        <f t="shared" si="40"/>
        <v>0.24296192804750261</v>
      </c>
      <c r="X52" s="7">
        <f t="shared" si="40"/>
        <v>0.2358066268332428</v>
      </c>
      <c r="Y52" s="7">
        <f t="shared" si="41"/>
        <v>0.2567955162552743</v>
      </c>
      <c r="Z52" s="189"/>
    </row>
    <row r="53" spans="1:26">
      <c r="A53" s="1" t="s">
        <v>48</v>
      </c>
      <c r="B53" s="1">
        <f t="shared" ref="B53:K53" si="42">SUM(B50:B52)</f>
        <v>0</v>
      </c>
      <c r="C53" s="22">
        <f t="shared" si="42"/>
        <v>0</v>
      </c>
      <c r="D53" s="137">
        <f t="shared" si="42"/>
        <v>0</v>
      </c>
      <c r="E53" s="137">
        <f t="shared" si="42"/>
        <v>0</v>
      </c>
      <c r="F53" s="137">
        <f t="shared" si="42"/>
        <v>19672</v>
      </c>
      <c r="G53" s="137">
        <f t="shared" si="42"/>
        <v>18490</v>
      </c>
      <c r="H53" s="137">
        <f t="shared" si="42"/>
        <v>21120</v>
      </c>
      <c r="I53" s="11">
        <f t="shared" si="42"/>
        <v>23605</v>
      </c>
      <c r="J53" s="11">
        <f t="shared" si="42"/>
        <v>25547</v>
      </c>
      <c r="K53" s="11">
        <f t="shared" si="42"/>
        <v>27306</v>
      </c>
      <c r="L53" s="7">
        <f t="shared" si="39"/>
        <v>6.7780324456176558E-2</v>
      </c>
      <c r="M53" s="1"/>
      <c r="N53" s="1" t="str">
        <f>A53</f>
        <v>Total LTD &amp; Deferrals</v>
      </c>
      <c r="O53" s="7" t="e">
        <f t="shared" si="40"/>
        <v>#DIV/0!</v>
      </c>
      <c r="P53" s="7" t="e">
        <f t="shared" si="40"/>
        <v>#DIV/0!</v>
      </c>
      <c r="Q53" s="7" t="e">
        <f t="shared" si="40"/>
        <v>#DIV/0!</v>
      </c>
      <c r="R53" s="7" t="e">
        <f t="shared" si="40"/>
        <v>#DIV/0!</v>
      </c>
      <c r="S53" s="7">
        <f t="shared" si="40"/>
        <v>0.57733168985149963</v>
      </c>
      <c r="T53" s="7">
        <f t="shared" si="40"/>
        <v>0.53127603942188895</v>
      </c>
      <c r="U53" s="7">
        <f t="shared" si="40"/>
        <v>0.57654509718279101</v>
      </c>
      <c r="V53" s="7">
        <f t="shared" si="40"/>
        <v>0.57770435633871753</v>
      </c>
      <c r="W53" s="7">
        <f t="shared" si="40"/>
        <v>0.59487716847130045</v>
      </c>
      <c r="X53" s="7">
        <f t="shared" si="40"/>
        <v>0.59328625746876695</v>
      </c>
      <c r="Y53" s="7">
        <f t="shared" si="41"/>
        <v>0.57678497826539588</v>
      </c>
      <c r="Z53" s="189"/>
    </row>
    <row r="54" spans="1:26">
      <c r="A54" s="1"/>
      <c r="B54" s="1"/>
      <c r="C54" s="22"/>
      <c r="D54" s="137"/>
      <c r="E54" s="137"/>
      <c r="F54" s="137"/>
      <c r="G54" s="137"/>
      <c r="H54" s="137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">
        <f t="shared" ref="B55:K55" si="43">B53+B48</f>
        <v>0</v>
      </c>
      <c r="C55" s="22">
        <f t="shared" si="43"/>
        <v>0</v>
      </c>
      <c r="D55" s="137">
        <f t="shared" si="43"/>
        <v>0</v>
      </c>
      <c r="E55" s="137">
        <f t="shared" si="43"/>
        <v>0</v>
      </c>
      <c r="F55" s="137">
        <f t="shared" si="43"/>
        <v>26604</v>
      </c>
      <c r="G55" s="137">
        <f t="shared" si="43"/>
        <v>26740</v>
      </c>
      <c r="H55" s="137">
        <f t="shared" si="43"/>
        <v>27827</v>
      </c>
      <c r="I55" s="11">
        <f t="shared" si="43"/>
        <v>31231</v>
      </c>
      <c r="J55" s="11">
        <f t="shared" si="43"/>
        <v>32360</v>
      </c>
      <c r="K55" s="11">
        <f t="shared" si="43"/>
        <v>34491</v>
      </c>
      <c r="L55" s="7">
        <f>RATE(5,,-F55,K55)</f>
        <v>5.3299236508562192E-2</v>
      </c>
      <c r="M55" s="1"/>
      <c r="N55" s="1" t="s">
        <v>49</v>
      </c>
      <c r="O55" s="7" t="e">
        <f t="shared" ref="O55:X55" si="44">B55/B$38</f>
        <v>#DIV/0!</v>
      </c>
      <c r="P55" s="7" t="e">
        <f t="shared" si="44"/>
        <v>#DIV/0!</v>
      </c>
      <c r="Q55" s="7" t="e">
        <f t="shared" si="44"/>
        <v>#DIV/0!</v>
      </c>
      <c r="R55" s="7" t="e">
        <f t="shared" si="44"/>
        <v>#DIV/0!</v>
      </c>
      <c r="S55" s="7">
        <f t="shared" si="44"/>
        <v>0.78077126254622298</v>
      </c>
      <c r="T55" s="7">
        <f t="shared" si="44"/>
        <v>0.76832456972100105</v>
      </c>
      <c r="U55" s="7">
        <f t="shared" si="44"/>
        <v>0.75963638348984497</v>
      </c>
      <c r="V55" s="7">
        <f t="shared" si="44"/>
        <v>0.76434165442976021</v>
      </c>
      <c r="W55" s="7">
        <f t="shared" si="44"/>
        <v>0.75352194667598094</v>
      </c>
      <c r="X55" s="7">
        <f t="shared" si="44"/>
        <v>0.74939706681151552</v>
      </c>
      <c r="Y55" s="7">
        <f>SUM(F55:K55)/SUM(F$38:K$38)</f>
        <v>0.76167995954771628</v>
      </c>
      <c r="Z55" s="189"/>
    </row>
    <row r="56" spans="1:26">
      <c r="A56" s="1"/>
      <c r="B56" s="1"/>
      <c r="C56" s="22"/>
      <c r="D56" s="22"/>
      <c r="E56" s="22"/>
      <c r="F56" s="22"/>
      <c r="G56" s="22"/>
      <c r="H56" s="22"/>
      <c r="I56" s="1"/>
      <c r="J56" s="1"/>
      <c r="K56" s="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"/>
      <c r="C57" s="22"/>
      <c r="D57" s="22"/>
      <c r="E57" s="22"/>
      <c r="F57" s="154"/>
      <c r="G57" s="154"/>
      <c r="H57" s="154"/>
      <c r="I57" s="180"/>
      <c r="J57" s="180"/>
      <c r="K57" s="180"/>
      <c r="L57" s="7"/>
      <c r="M57" s="1"/>
      <c r="N57" s="1" t="s">
        <v>50</v>
      </c>
      <c r="O57" s="7" t="e">
        <f t="shared" ref="O57:X57" si="45">B57/B$38</f>
        <v>#DIV/0!</v>
      </c>
      <c r="P57" s="7" t="e">
        <f t="shared" si="45"/>
        <v>#DIV/0!</v>
      </c>
      <c r="Q57" s="7" t="e">
        <f t="shared" si="45"/>
        <v>#DIV/0!</v>
      </c>
      <c r="R57" s="7" t="e">
        <f t="shared" si="45"/>
        <v>#DIV/0!</v>
      </c>
      <c r="S57" s="7">
        <f t="shared" si="45"/>
        <v>0</v>
      </c>
      <c r="T57" s="7">
        <f t="shared" si="45"/>
        <v>0</v>
      </c>
      <c r="U57" s="7">
        <f t="shared" si="45"/>
        <v>0</v>
      </c>
      <c r="V57" s="7">
        <f t="shared" si="45"/>
        <v>0</v>
      </c>
      <c r="W57" s="7">
        <f t="shared" si="45"/>
        <v>0</v>
      </c>
      <c r="X57" s="7">
        <f t="shared" si="45"/>
        <v>0</v>
      </c>
      <c r="Y57" s="7">
        <f>SUM(F57:K57)/SUM(F$38:K$38)</f>
        <v>0</v>
      </c>
      <c r="Z57" s="189"/>
    </row>
    <row r="58" spans="1:26">
      <c r="A58" s="1"/>
      <c r="B58" s="1"/>
      <c r="C58" s="22"/>
      <c r="D58" s="22"/>
      <c r="E58" s="22"/>
      <c r="F58" s="22"/>
      <c r="G58" s="22"/>
      <c r="H58" s="22"/>
      <c r="I58" s="1"/>
      <c r="J58" s="1"/>
      <c r="K58" s="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"/>
      <c r="C59" s="22"/>
      <c r="D59" s="22"/>
      <c r="E59" s="22"/>
      <c r="F59" s="22"/>
      <c r="G59" s="22"/>
      <c r="H59" s="22"/>
      <c r="I59" s="1"/>
      <c r="J59" s="1"/>
      <c r="K59" s="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"/>
      <c r="C60" s="22"/>
      <c r="D60" s="137"/>
      <c r="E60" s="137"/>
      <c r="F60" s="137">
        <v>5827</v>
      </c>
      <c r="G60" s="137">
        <v>5877</v>
      </c>
      <c r="H60" s="137">
        <v>6110</v>
      </c>
      <c r="I60" s="11">
        <v>5984</v>
      </c>
      <c r="J60" s="11">
        <v>6280</v>
      </c>
      <c r="K60" s="11">
        <v>6878</v>
      </c>
      <c r="L60" s="7">
        <f t="shared" ref="L60:L63" si="46">RATE(5,,-F60,K60)</f>
        <v>3.3721218128102894E-2</v>
      </c>
      <c r="M60" s="1"/>
      <c r="N60" s="1" t="str">
        <f>A60</f>
        <v>Common Stock</v>
      </c>
      <c r="O60" s="7" t="e">
        <f t="shared" ref="O60:X63" si="47">B60/B$38</f>
        <v>#DIV/0!</v>
      </c>
      <c r="P60" s="7" t="e">
        <f t="shared" si="47"/>
        <v>#DIV/0!</v>
      </c>
      <c r="Q60" s="7" t="e">
        <f t="shared" si="47"/>
        <v>#DIV/0!</v>
      </c>
      <c r="R60" s="7" t="e">
        <f t="shared" si="47"/>
        <v>#DIV/0!</v>
      </c>
      <c r="S60" s="7">
        <f t="shared" si="47"/>
        <v>0.1710101543699008</v>
      </c>
      <c r="T60" s="7">
        <f t="shared" si="47"/>
        <v>0.16886475303853116</v>
      </c>
      <c r="U60" s="7">
        <f t="shared" si="47"/>
        <v>0.16679405983839266</v>
      </c>
      <c r="V60" s="7">
        <f t="shared" si="47"/>
        <v>0.14645129711209007</v>
      </c>
      <c r="W60" s="7">
        <f t="shared" si="47"/>
        <v>0.14623355454651299</v>
      </c>
      <c r="X60" s="7">
        <f t="shared" si="47"/>
        <v>0.14944052145573058</v>
      </c>
      <c r="Y60" s="7">
        <f t="shared" ref="Y60:Y63" si="48">SUM(F60:K60)/SUM(F$38:K$38)</f>
        <v>0.15703304594648571</v>
      </c>
      <c r="Z60" s="189"/>
    </row>
    <row r="61" spans="1:26">
      <c r="A61" s="1" t="s">
        <v>53</v>
      </c>
      <c r="B61" s="1"/>
      <c r="C61" s="22"/>
      <c r="D61" s="137"/>
      <c r="E61" s="137"/>
      <c r="F61" s="137">
        <v>1643</v>
      </c>
      <c r="G61" s="137">
        <v>2186</v>
      </c>
      <c r="H61" s="137">
        <v>2695</v>
      </c>
      <c r="I61" s="11">
        <v>3645</v>
      </c>
      <c r="J61" s="11">
        <v>4305</v>
      </c>
      <c r="K61" s="11">
        <v>4656</v>
      </c>
      <c r="L61" s="7">
        <f t="shared" si="46"/>
        <v>0.23161531775884378</v>
      </c>
      <c r="M61" s="1"/>
      <c r="N61" s="1" t="str">
        <f>A61</f>
        <v>Retained Earnings</v>
      </c>
      <c r="O61" s="7" t="e">
        <f t="shared" si="47"/>
        <v>#DIV/0!</v>
      </c>
      <c r="P61" s="7" t="e">
        <f t="shared" si="47"/>
        <v>#DIV/0!</v>
      </c>
      <c r="Q61" s="7" t="e">
        <f t="shared" si="47"/>
        <v>#DIV/0!</v>
      </c>
      <c r="R61" s="7" t="e">
        <f t="shared" si="47"/>
        <v>#DIV/0!</v>
      </c>
      <c r="S61" s="7">
        <f t="shared" si="47"/>
        <v>4.8218583083876269E-2</v>
      </c>
      <c r="T61" s="7">
        <f t="shared" si="47"/>
        <v>6.281067724046778E-2</v>
      </c>
      <c r="U61" s="7">
        <f t="shared" si="47"/>
        <v>7.356955667176239E-2</v>
      </c>
      <c r="V61" s="7">
        <f t="shared" si="47"/>
        <v>8.9207048458149779E-2</v>
      </c>
      <c r="W61" s="7">
        <f t="shared" si="47"/>
        <v>0.10024449877750612</v>
      </c>
      <c r="X61" s="7">
        <f t="shared" si="47"/>
        <v>0.10116241173275393</v>
      </c>
      <c r="Y61" s="7">
        <f t="shared" si="48"/>
        <v>8.1286994505798016E-2</v>
      </c>
      <c r="Z61" s="189"/>
    </row>
    <row r="62" spans="1:26">
      <c r="A62" s="1" t="s">
        <v>54</v>
      </c>
      <c r="B62" s="1">
        <f t="shared" ref="B62:K62" si="49">SUM(B59:B61)</f>
        <v>0</v>
      </c>
      <c r="C62" s="22">
        <f t="shared" si="49"/>
        <v>0</v>
      </c>
      <c r="D62" s="137">
        <f t="shared" si="49"/>
        <v>0</v>
      </c>
      <c r="E62" s="137">
        <f t="shared" si="49"/>
        <v>0</v>
      </c>
      <c r="F62" s="137">
        <f t="shared" si="49"/>
        <v>7470</v>
      </c>
      <c r="G62" s="137">
        <f t="shared" si="49"/>
        <v>8063</v>
      </c>
      <c r="H62" s="137">
        <f t="shared" si="49"/>
        <v>8805</v>
      </c>
      <c r="I62" s="11">
        <f t="shared" si="49"/>
        <v>9629</v>
      </c>
      <c r="J62" s="11">
        <f t="shared" si="49"/>
        <v>10585</v>
      </c>
      <c r="K62" s="11">
        <f t="shared" si="49"/>
        <v>11534</v>
      </c>
      <c r="L62" s="7">
        <f t="shared" si="46"/>
        <v>9.076669535246519E-2</v>
      </c>
      <c r="M62" s="1"/>
      <c r="N62" s="1" t="str">
        <f>A62</f>
        <v>Total Common Equity</v>
      </c>
      <c r="O62" s="7" t="e">
        <f t="shared" si="47"/>
        <v>#DIV/0!</v>
      </c>
      <c r="P62" s="7" t="e">
        <f t="shared" si="47"/>
        <v>#DIV/0!</v>
      </c>
      <c r="Q62" s="7" t="e">
        <f t="shared" si="47"/>
        <v>#DIV/0!</v>
      </c>
      <c r="R62" s="7" t="e">
        <f t="shared" si="47"/>
        <v>#DIV/0!</v>
      </c>
      <c r="S62" s="7">
        <f t="shared" si="47"/>
        <v>0.21922873745377708</v>
      </c>
      <c r="T62" s="7">
        <f t="shared" si="47"/>
        <v>0.23167543027899895</v>
      </c>
      <c r="U62" s="7">
        <f t="shared" si="47"/>
        <v>0.24036361651015506</v>
      </c>
      <c r="V62" s="7">
        <f t="shared" si="47"/>
        <v>0.23565834557023985</v>
      </c>
      <c r="W62" s="7">
        <f t="shared" si="47"/>
        <v>0.24647805332401909</v>
      </c>
      <c r="X62" s="7">
        <f t="shared" si="47"/>
        <v>0.25060293318848453</v>
      </c>
      <c r="Y62" s="7">
        <f t="shared" si="48"/>
        <v>0.23832004045228372</v>
      </c>
      <c r="Z62" s="189"/>
    </row>
    <row r="63" spans="1:26">
      <c r="A63" s="1" t="s">
        <v>55</v>
      </c>
      <c r="B63" s="1">
        <f t="shared" ref="B63:K63" si="50">B62+B55+B57</f>
        <v>0</v>
      </c>
      <c r="C63" s="22">
        <f t="shared" si="50"/>
        <v>0</v>
      </c>
      <c r="D63" s="137">
        <f t="shared" si="50"/>
        <v>0</v>
      </c>
      <c r="E63" s="137">
        <f t="shared" si="50"/>
        <v>0</v>
      </c>
      <c r="F63" s="137">
        <f t="shared" si="50"/>
        <v>34074</v>
      </c>
      <c r="G63" s="137">
        <f t="shared" si="50"/>
        <v>34803</v>
      </c>
      <c r="H63" s="137">
        <f t="shared" si="50"/>
        <v>36632</v>
      </c>
      <c r="I63" s="11">
        <f t="shared" si="50"/>
        <v>40860</v>
      </c>
      <c r="J63" s="11">
        <f t="shared" si="50"/>
        <v>42945</v>
      </c>
      <c r="K63" s="11">
        <f t="shared" si="50"/>
        <v>46025</v>
      </c>
      <c r="L63" s="7">
        <f t="shared" si="46"/>
        <v>6.1974614870731956E-2</v>
      </c>
      <c r="M63" s="1"/>
      <c r="N63" s="1" t="s">
        <v>55</v>
      </c>
      <c r="O63" s="7" t="e">
        <f t="shared" si="47"/>
        <v>#DIV/0!</v>
      </c>
      <c r="P63" s="7" t="e">
        <f t="shared" si="47"/>
        <v>#DIV/0!</v>
      </c>
      <c r="Q63" s="7" t="e">
        <f t="shared" si="47"/>
        <v>#DIV/0!</v>
      </c>
      <c r="R63" s="7" t="e">
        <f t="shared" si="47"/>
        <v>#DIV/0!</v>
      </c>
      <c r="S63" s="7">
        <f t="shared" si="47"/>
        <v>1</v>
      </c>
      <c r="T63" s="7">
        <f t="shared" si="47"/>
        <v>1</v>
      </c>
      <c r="U63" s="7">
        <f t="shared" si="47"/>
        <v>1</v>
      </c>
      <c r="V63" s="7">
        <f t="shared" si="47"/>
        <v>1</v>
      </c>
      <c r="W63" s="7">
        <f t="shared" si="47"/>
        <v>1</v>
      </c>
      <c r="X63" s="7">
        <f t="shared" si="47"/>
        <v>1</v>
      </c>
      <c r="Y63" s="7">
        <f t="shared" si="48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PG &amp; E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PG &amp; E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2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51">B73+1</f>
        <v>2002</v>
      </c>
      <c r="D73" s="5">
        <f t="shared" si="51"/>
        <v>2003</v>
      </c>
      <c r="E73" s="5">
        <f t="shared" si="51"/>
        <v>2004</v>
      </c>
      <c r="F73" s="5">
        <f t="shared" si="51"/>
        <v>2005</v>
      </c>
      <c r="G73" s="5">
        <f t="shared" si="51"/>
        <v>2006</v>
      </c>
      <c r="H73" s="5">
        <f t="shared" si="51"/>
        <v>2007</v>
      </c>
      <c r="I73" s="5">
        <f>H73+1</f>
        <v>2008</v>
      </c>
      <c r="J73" s="162">
        <f>+J8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52">B73</f>
        <v>2001</v>
      </c>
      <c r="P73" s="5">
        <f t="shared" si="52"/>
        <v>2002</v>
      </c>
      <c r="Q73" s="5">
        <f t="shared" si="52"/>
        <v>2003</v>
      </c>
      <c r="R73" s="5">
        <f t="shared" si="52"/>
        <v>2004</v>
      </c>
      <c r="S73" s="5">
        <f t="shared" si="52"/>
        <v>2005</v>
      </c>
      <c r="T73" s="5">
        <f t="shared" si="52"/>
        <v>2006</v>
      </c>
      <c r="U73" s="5">
        <f t="shared" si="52"/>
        <v>2007</v>
      </c>
      <c r="V73" s="5">
        <f t="shared" si="52"/>
        <v>2008</v>
      </c>
      <c r="W73" s="162">
        <f>J8</f>
        <v>2009</v>
      </c>
      <c r="X73" s="162">
        <f>K8</f>
        <v>2010</v>
      </c>
      <c r="Y73" s="10" t="s">
        <v>10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tr">
        <f>+A74</f>
        <v>Operating Sales and Revenues: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/>
      <c r="C75" s="22"/>
      <c r="D75" s="137"/>
      <c r="E75" s="137"/>
      <c r="F75" s="137">
        <v>7927</v>
      </c>
      <c r="G75" s="137">
        <v>8752</v>
      </c>
      <c r="H75" s="137">
        <v>9480</v>
      </c>
      <c r="I75" s="136">
        <v>10738</v>
      </c>
      <c r="J75" s="136">
        <v>10257</v>
      </c>
      <c r="K75" s="136">
        <v>10645</v>
      </c>
      <c r="L75" s="7">
        <f>RATE(5,,-F75,K75)</f>
        <v>6.0736129509190773E-2</v>
      </c>
      <c r="M75" s="1"/>
      <c r="N75" s="1" t="str">
        <f>+A75</f>
        <v>Electric</v>
      </c>
      <c r="O75" s="1"/>
      <c r="P75" s="1"/>
      <c r="Q75" s="1"/>
      <c r="R75" s="1"/>
      <c r="S75" s="7">
        <f t="shared" ref="S75:S77" si="53">F75/F$78</f>
        <v>0.6773476886268478</v>
      </c>
      <c r="T75" s="7">
        <f t="shared" ref="T75:T77" si="54">G75/G$78</f>
        <v>0.6979822952388548</v>
      </c>
      <c r="U75" s="7">
        <f t="shared" ref="U75:U77" si="55">H75/H$78</f>
        <v>0.71617435974918786</v>
      </c>
      <c r="V75" s="7">
        <f t="shared" ref="V75:V77" si="56">I75/I$78</f>
        <v>0.73407164342357123</v>
      </c>
      <c r="W75" s="7">
        <f t="shared" ref="W75:W77" si="57">J75/J$78</f>
        <v>0.76550488842450926</v>
      </c>
      <c r="X75" s="7">
        <f t="shared" ref="X75:X77" si="58">K75/K$78</f>
        <v>0.76909182862509939</v>
      </c>
      <c r="Y75" s="7">
        <f t="shared" ref="Y75:Y77" si="59">SUM(F75:K75)/SUM(F$78:K$78)</f>
        <v>0.72843333711419467</v>
      </c>
    </row>
    <row r="76" spans="1:25">
      <c r="A76" s="1" t="s">
        <v>64</v>
      </c>
      <c r="B76" s="1"/>
      <c r="C76" s="22"/>
      <c r="D76" s="137"/>
      <c r="E76" s="137"/>
      <c r="F76" s="137">
        <v>3776</v>
      </c>
      <c r="G76" s="137">
        <v>3787</v>
      </c>
      <c r="H76" s="137">
        <v>3757</v>
      </c>
      <c r="I76" s="136">
        <v>3890</v>
      </c>
      <c r="J76" s="136">
        <v>3142</v>
      </c>
      <c r="K76" s="136">
        <v>3196</v>
      </c>
      <c r="L76" s="7">
        <f>RATE(5,,-F76,K76)</f>
        <v>-3.2802963877570764E-2</v>
      </c>
      <c r="M76" s="1"/>
      <c r="N76" s="1" t="str">
        <f t="shared" ref="N76:N78" si="60">+A76</f>
        <v>Other Regulated Operations</v>
      </c>
      <c r="O76" s="7" t="e">
        <f t="shared" ref="O76:R77" si="61">B77/B$78</f>
        <v>#DIV/0!</v>
      </c>
      <c r="P76" s="7" t="e">
        <f t="shared" si="61"/>
        <v>#DIV/0!</v>
      </c>
      <c r="Q76" s="7" t="e">
        <f t="shared" si="61"/>
        <v>#DIV/0!</v>
      </c>
      <c r="R76" s="7" t="e">
        <f t="shared" si="61"/>
        <v>#DIV/0!</v>
      </c>
      <c r="S76" s="7">
        <f t="shared" si="53"/>
        <v>0.3226523113731522</v>
      </c>
      <c r="T76" s="7">
        <f t="shared" si="54"/>
        <v>0.3020177047611452</v>
      </c>
      <c r="U76" s="7">
        <f t="shared" si="55"/>
        <v>0.28382564025081214</v>
      </c>
      <c r="V76" s="7">
        <f t="shared" si="56"/>
        <v>0.26592835657642877</v>
      </c>
      <c r="W76" s="7">
        <f t="shared" si="57"/>
        <v>0.23449511157549072</v>
      </c>
      <c r="X76" s="7">
        <f t="shared" si="58"/>
        <v>0.23090817137490066</v>
      </c>
      <c r="Y76" s="7">
        <f t="shared" si="59"/>
        <v>0.27156666288580539</v>
      </c>
    </row>
    <row r="77" spans="1:25">
      <c r="A77" s="1" t="s">
        <v>65</v>
      </c>
      <c r="B77" s="1"/>
      <c r="C77" s="22"/>
      <c r="D77" s="137"/>
      <c r="E77" s="137"/>
      <c r="F77" s="137"/>
      <c r="G77" s="137"/>
      <c r="H77" s="137"/>
      <c r="I77" s="136"/>
      <c r="J77" s="136"/>
      <c r="K77" s="136"/>
      <c r="L77" s="7"/>
      <c r="M77" s="1"/>
      <c r="N77" s="1" t="str">
        <f t="shared" si="60"/>
        <v>Non-Regulated Operations</v>
      </c>
      <c r="O77" s="7" t="e">
        <f t="shared" si="61"/>
        <v>#DIV/0!</v>
      </c>
      <c r="P77" s="7" t="e">
        <f t="shared" si="61"/>
        <v>#DIV/0!</v>
      </c>
      <c r="Q77" s="7" t="e">
        <f t="shared" si="61"/>
        <v>#DIV/0!</v>
      </c>
      <c r="R77" s="7" t="e">
        <f t="shared" si="61"/>
        <v>#DIV/0!</v>
      </c>
      <c r="S77" s="7">
        <f t="shared" si="53"/>
        <v>0</v>
      </c>
      <c r="T77" s="7">
        <f t="shared" si="54"/>
        <v>0</v>
      </c>
      <c r="U77" s="7">
        <f t="shared" si="55"/>
        <v>0</v>
      </c>
      <c r="V77" s="7">
        <f t="shared" si="56"/>
        <v>0</v>
      </c>
      <c r="W77" s="7">
        <f t="shared" si="57"/>
        <v>0</v>
      </c>
      <c r="X77" s="7">
        <f t="shared" si="58"/>
        <v>0</v>
      </c>
      <c r="Y77" s="7">
        <f t="shared" si="59"/>
        <v>0</v>
      </c>
    </row>
    <row r="78" spans="1:25">
      <c r="A78" s="1" t="s">
        <v>67</v>
      </c>
      <c r="B78" s="1">
        <f t="shared" ref="B78:K78" si="62">SUM(B74:B77)</f>
        <v>0</v>
      </c>
      <c r="C78" s="22">
        <f t="shared" si="62"/>
        <v>0</v>
      </c>
      <c r="D78" s="137">
        <f t="shared" si="62"/>
        <v>0</v>
      </c>
      <c r="E78" s="137">
        <f t="shared" si="62"/>
        <v>0</v>
      </c>
      <c r="F78" s="137">
        <f t="shared" si="62"/>
        <v>11703</v>
      </c>
      <c r="G78" s="137">
        <f t="shared" si="62"/>
        <v>12539</v>
      </c>
      <c r="H78" s="137">
        <f t="shared" si="62"/>
        <v>13237</v>
      </c>
      <c r="I78" s="11">
        <f t="shared" si="62"/>
        <v>14628</v>
      </c>
      <c r="J78" s="11">
        <f t="shared" si="62"/>
        <v>13399</v>
      </c>
      <c r="K78" s="11">
        <f t="shared" si="62"/>
        <v>13841</v>
      </c>
      <c r="L78" s="7">
        <f>RATE(5,,-F78,K78)</f>
        <v>3.4127417804390082E-2</v>
      </c>
      <c r="M78" s="1"/>
      <c r="N78" s="1" t="str">
        <f t="shared" si="60"/>
        <v>Total Revenues</v>
      </c>
      <c r="O78" s="7"/>
      <c r="P78" s="7"/>
      <c r="Q78" s="7"/>
      <c r="R78" s="7"/>
      <c r="S78" s="7">
        <f t="shared" ref="S78:X78" si="63">F78/F$78</f>
        <v>1</v>
      </c>
      <c r="T78" s="7">
        <f t="shared" si="63"/>
        <v>1</v>
      </c>
      <c r="U78" s="7">
        <f t="shared" si="63"/>
        <v>1</v>
      </c>
      <c r="V78" s="7">
        <f t="shared" si="63"/>
        <v>1</v>
      </c>
      <c r="W78" s="7">
        <f t="shared" si="63"/>
        <v>1</v>
      </c>
      <c r="X78" s="7">
        <f t="shared" si="63"/>
        <v>1</v>
      </c>
      <c r="Y78" s="7">
        <f>SUM(F78:K78)/SUM(F$78:K$78)</f>
        <v>1</v>
      </c>
    </row>
    <row r="79" spans="1:25">
      <c r="A79" s="1"/>
      <c r="B79" s="1"/>
      <c r="C79" s="22"/>
      <c r="D79" s="137"/>
      <c r="E79" s="137"/>
      <c r="F79" s="137"/>
      <c r="G79" s="137"/>
      <c r="H79" s="137"/>
      <c r="I79" s="11"/>
      <c r="J79" s="11"/>
      <c r="K79" s="1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22"/>
      <c r="D80" s="137"/>
      <c r="E80" s="137"/>
      <c r="F80" s="137"/>
      <c r="G80" s="137"/>
      <c r="H80" s="137"/>
      <c r="I80" s="11"/>
      <c r="J80" s="11"/>
      <c r="K80" s="1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"/>
      <c r="C81" s="22"/>
      <c r="D81" s="137"/>
      <c r="E81" s="137"/>
      <c r="F81" s="137">
        <v>2410</v>
      </c>
      <c r="G81" s="137">
        <v>2922</v>
      </c>
      <c r="H81" s="137">
        <v>3437</v>
      </c>
      <c r="I81" s="11">
        <v>4425</v>
      </c>
      <c r="J81" s="11">
        <v>3711</v>
      </c>
      <c r="K81" s="11">
        <v>3898</v>
      </c>
      <c r="L81" s="7">
        <f>RATE(5,,-F81,K81)</f>
        <v>0.10094331424582728</v>
      </c>
      <c r="M81" s="1"/>
      <c r="N81" s="1" t="str">
        <f>A81</f>
        <v xml:space="preserve">   Purchased power</v>
      </c>
      <c r="O81" s="7" t="e">
        <f t="shared" ref="O81:R87" si="64">B81/B$78</f>
        <v>#DIV/0!</v>
      </c>
      <c r="P81" s="7" t="e">
        <f t="shared" si="64"/>
        <v>#DIV/0!</v>
      </c>
      <c r="Q81" s="7" t="e">
        <f t="shared" si="64"/>
        <v>#DIV/0!</v>
      </c>
      <c r="R81" s="7" t="e">
        <f t="shared" si="64"/>
        <v>#DIV/0!</v>
      </c>
      <c r="S81" s="7">
        <f t="shared" ref="S81:S88" si="65">F81/F$78</f>
        <v>0.20593010339229256</v>
      </c>
      <c r="T81" s="7">
        <f t="shared" ref="T81:T88" si="66">G81/G$78</f>
        <v>0.23303293723582422</v>
      </c>
      <c r="U81" s="7">
        <f t="shared" ref="U81:U88" si="67">H81/H$78</f>
        <v>0.2596509783183501</v>
      </c>
      <c r="V81" s="7">
        <f t="shared" ref="V81:V88" si="68">I81/I$78</f>
        <v>0.30250205086136178</v>
      </c>
      <c r="W81" s="7">
        <f t="shared" ref="W81:W88" si="69">J81/J$78</f>
        <v>0.27696096723636093</v>
      </c>
      <c r="X81" s="7">
        <f t="shared" ref="X81:X88" si="70">K81/K$78</f>
        <v>0.28162705006863664</v>
      </c>
      <c r="Y81" s="7">
        <f t="shared" ref="Y81:Y88" si="71">SUM(F81:K81)/SUM(F$78:K$78)</f>
        <v>0.2621775240399763</v>
      </c>
    </row>
    <row r="82" spans="1:25">
      <c r="A82" s="1" t="s">
        <v>70</v>
      </c>
      <c r="B82" s="1"/>
      <c r="C82" s="22"/>
      <c r="D82" s="137"/>
      <c r="E82" s="137"/>
      <c r="F82" s="137"/>
      <c r="G82" s="137"/>
      <c r="H82" s="137"/>
      <c r="I82" s="11"/>
      <c r="J82" s="11"/>
      <c r="K82" s="11"/>
      <c r="L82" s="7"/>
      <c r="M82" s="1"/>
      <c r="N82" s="1" t="str">
        <f t="shared" ref="N82:N87" si="72">A82</f>
        <v xml:space="preserve">   Fuel</v>
      </c>
      <c r="O82" s="7" t="e">
        <f t="shared" si="64"/>
        <v>#DIV/0!</v>
      </c>
      <c r="P82" s="7" t="e">
        <f t="shared" si="64"/>
        <v>#DIV/0!</v>
      </c>
      <c r="Q82" s="7" t="e">
        <f t="shared" si="64"/>
        <v>#DIV/0!</v>
      </c>
      <c r="R82" s="7" t="e">
        <f t="shared" si="64"/>
        <v>#DIV/0!</v>
      </c>
      <c r="S82" s="7">
        <f t="shared" si="65"/>
        <v>0</v>
      </c>
      <c r="T82" s="7">
        <f t="shared" si="66"/>
        <v>0</v>
      </c>
      <c r="U82" s="7">
        <f t="shared" si="67"/>
        <v>0</v>
      </c>
      <c r="V82" s="7">
        <f t="shared" si="68"/>
        <v>0</v>
      </c>
      <c r="W82" s="7">
        <f t="shared" si="69"/>
        <v>0</v>
      </c>
      <c r="X82" s="7">
        <f t="shared" si="70"/>
        <v>0</v>
      </c>
      <c r="Y82" s="7">
        <f t="shared" si="71"/>
        <v>0</v>
      </c>
    </row>
    <row r="83" spans="1:25">
      <c r="A83" s="1" t="s">
        <v>71</v>
      </c>
      <c r="B83" s="1"/>
      <c r="C83" s="22"/>
      <c r="D83" s="137"/>
      <c r="E83" s="137"/>
      <c r="F83" s="137">
        <f>9733-6336</f>
        <v>3397</v>
      </c>
      <c r="G83" s="137">
        <v>3703</v>
      </c>
      <c r="H83" s="137">
        <v>3881</v>
      </c>
      <c r="I83" s="11">
        <v>4201</v>
      </c>
      <c r="J83" s="11">
        <v>4346</v>
      </c>
      <c r="K83" s="11">
        <v>4439</v>
      </c>
      <c r="L83" s="7">
        <f t="shared" ref="L83:L87" si="73">RATE(5,,-F83,K83)</f>
        <v>5.496467962029055E-2</v>
      </c>
      <c r="M83" s="1"/>
      <c r="N83" s="1" t="str">
        <f t="shared" si="72"/>
        <v xml:space="preserve">   Other operations and maintenance</v>
      </c>
      <c r="O83" s="7" t="e">
        <f t="shared" si="64"/>
        <v>#DIV/0!</v>
      </c>
      <c r="P83" s="7" t="e">
        <f t="shared" si="64"/>
        <v>#DIV/0!</v>
      </c>
      <c r="Q83" s="7" t="e">
        <f t="shared" si="64"/>
        <v>#DIV/0!</v>
      </c>
      <c r="R83" s="7" t="e">
        <f t="shared" si="64"/>
        <v>#DIV/0!</v>
      </c>
      <c r="S83" s="7">
        <f t="shared" si="65"/>
        <v>0.29026745278988292</v>
      </c>
      <c r="T83" s="7">
        <f t="shared" si="66"/>
        <v>0.29531860594943776</v>
      </c>
      <c r="U83" s="7">
        <f t="shared" si="67"/>
        <v>0.29319332174964113</v>
      </c>
      <c r="V83" s="7">
        <f t="shared" si="68"/>
        <v>0.28718895269346456</v>
      </c>
      <c r="W83" s="7">
        <f t="shared" si="69"/>
        <v>0.32435256362415105</v>
      </c>
      <c r="X83" s="7">
        <f t="shared" si="70"/>
        <v>0.32071382125568959</v>
      </c>
      <c r="Y83" s="7">
        <f t="shared" si="71"/>
        <v>0.30205300767514842</v>
      </c>
    </row>
    <row r="84" spans="1:25">
      <c r="A84" s="1" t="s">
        <v>72</v>
      </c>
      <c r="B84" s="1"/>
      <c r="C84" s="22"/>
      <c r="D84" s="137"/>
      <c r="E84" s="137"/>
      <c r="F84" s="137">
        <v>1735</v>
      </c>
      <c r="G84" s="137">
        <v>1709</v>
      </c>
      <c r="H84" s="137">
        <v>1770</v>
      </c>
      <c r="I84" s="11">
        <v>1651</v>
      </c>
      <c r="J84" s="11">
        <v>1752</v>
      </c>
      <c r="K84" s="11">
        <v>1905</v>
      </c>
      <c r="L84" s="7">
        <f t="shared" si="73"/>
        <v>1.8870763122558993E-2</v>
      </c>
      <c r="M84" s="1"/>
      <c r="N84" s="1" t="str">
        <f t="shared" si="72"/>
        <v xml:space="preserve">   Depreciation and amortization</v>
      </c>
      <c r="O84" s="7" t="e">
        <f t="shared" si="64"/>
        <v>#DIV/0!</v>
      </c>
      <c r="P84" s="7" t="e">
        <f t="shared" si="64"/>
        <v>#DIV/0!</v>
      </c>
      <c r="Q84" s="7" t="e">
        <f t="shared" si="64"/>
        <v>#DIV/0!</v>
      </c>
      <c r="R84" s="7" t="e">
        <f t="shared" si="64"/>
        <v>#DIV/0!</v>
      </c>
      <c r="S84" s="7">
        <f t="shared" si="65"/>
        <v>0.14825258480731437</v>
      </c>
      <c r="T84" s="7">
        <f t="shared" si="66"/>
        <v>0.13629476034771512</v>
      </c>
      <c r="U84" s="7">
        <f t="shared" si="67"/>
        <v>0.13371609881393065</v>
      </c>
      <c r="V84" s="7">
        <f t="shared" si="68"/>
        <v>0.11286573694284933</v>
      </c>
      <c r="W84" s="7">
        <f t="shared" si="69"/>
        <v>0.13075602656914695</v>
      </c>
      <c r="X84" s="7">
        <f t="shared" si="70"/>
        <v>0.1376345639765913</v>
      </c>
      <c r="Y84" s="7">
        <f t="shared" si="71"/>
        <v>0.13260740796753501</v>
      </c>
    </row>
    <row r="85" spans="1:25">
      <c r="A85" s="1" t="s">
        <v>73</v>
      </c>
      <c r="B85" s="1"/>
      <c r="C85" s="22"/>
      <c r="D85" s="137"/>
      <c r="E85" s="137"/>
      <c r="F85" s="137"/>
      <c r="G85" s="137"/>
      <c r="H85" s="137"/>
      <c r="I85" s="11"/>
      <c r="J85" s="11"/>
      <c r="K85" s="11"/>
      <c r="L85" s="7"/>
      <c r="M85" s="1"/>
      <c r="N85" s="1" t="str">
        <f t="shared" si="72"/>
        <v xml:space="preserve">   Taxes, other than income taxes</v>
      </c>
      <c r="O85" s="7" t="e">
        <f t="shared" si="64"/>
        <v>#DIV/0!</v>
      </c>
      <c r="P85" s="7" t="e">
        <f t="shared" si="64"/>
        <v>#DIV/0!</v>
      </c>
      <c r="Q85" s="7" t="e">
        <f t="shared" si="64"/>
        <v>#DIV/0!</v>
      </c>
      <c r="R85" s="7" t="e">
        <f t="shared" si="64"/>
        <v>#DIV/0!</v>
      </c>
      <c r="S85" s="7">
        <f t="shared" si="65"/>
        <v>0</v>
      </c>
      <c r="T85" s="7">
        <f t="shared" si="66"/>
        <v>0</v>
      </c>
      <c r="U85" s="7">
        <f t="shared" si="67"/>
        <v>0</v>
      </c>
      <c r="V85" s="7">
        <f t="shared" si="68"/>
        <v>0</v>
      </c>
      <c r="W85" s="7">
        <f t="shared" si="69"/>
        <v>0</v>
      </c>
      <c r="X85" s="7">
        <f t="shared" si="70"/>
        <v>0</v>
      </c>
      <c r="Y85" s="7">
        <f t="shared" si="71"/>
        <v>0</v>
      </c>
    </row>
    <row r="86" spans="1:25">
      <c r="A86" s="1" t="s">
        <v>74</v>
      </c>
      <c r="B86" s="1"/>
      <c r="C86" s="22"/>
      <c r="D86" s="168"/>
      <c r="E86" s="168"/>
      <c r="F86" s="168">
        <v>2191</v>
      </c>
      <c r="G86" s="168">
        <v>2097</v>
      </c>
      <c r="H86" s="168">
        <v>2035</v>
      </c>
      <c r="I86" s="169">
        <v>2090</v>
      </c>
      <c r="J86" s="169">
        <v>1291</v>
      </c>
      <c r="K86" s="169">
        <v>1291</v>
      </c>
      <c r="L86" s="7">
        <f t="shared" si="73"/>
        <v>-0.1003848243871687</v>
      </c>
      <c r="M86" s="1"/>
      <c r="N86" s="1" t="str">
        <f t="shared" si="72"/>
        <v xml:space="preserve">   Other Operating Expenses</v>
      </c>
      <c r="O86" s="7" t="e">
        <f t="shared" si="64"/>
        <v>#DIV/0!</v>
      </c>
      <c r="P86" s="7" t="e">
        <f t="shared" si="64"/>
        <v>#DIV/0!</v>
      </c>
      <c r="Q86" s="7" t="e">
        <f t="shared" si="64"/>
        <v>#DIV/0!</v>
      </c>
      <c r="R86" s="7" t="e">
        <f t="shared" si="64"/>
        <v>#DIV/0!</v>
      </c>
      <c r="S86" s="7">
        <f t="shared" si="65"/>
        <v>0.18721695291805521</v>
      </c>
      <c r="T86" s="7">
        <f t="shared" si="66"/>
        <v>0.16723821676369727</v>
      </c>
      <c r="U86" s="7">
        <f t="shared" si="67"/>
        <v>0.15373574072675078</v>
      </c>
      <c r="V86" s="7">
        <f t="shared" si="68"/>
        <v>0.1428766748701121</v>
      </c>
      <c r="W86" s="7">
        <f t="shared" si="69"/>
        <v>9.635047391596388E-2</v>
      </c>
      <c r="X86" s="7">
        <f t="shared" si="70"/>
        <v>9.3273607398309366E-2</v>
      </c>
      <c r="Y86" s="7">
        <f t="shared" si="71"/>
        <v>0.13856856591931643</v>
      </c>
    </row>
    <row r="87" spans="1:25">
      <c r="A87" s="1" t="s">
        <v>75</v>
      </c>
      <c r="B87" s="1">
        <f t="shared" ref="B87" si="74">SUM(B80:B86)</f>
        <v>0</v>
      </c>
      <c r="C87" s="22">
        <f t="shared" ref="C87:H87" si="75">SUM(C80:C86)</f>
        <v>0</v>
      </c>
      <c r="D87" s="137">
        <f t="shared" si="75"/>
        <v>0</v>
      </c>
      <c r="E87" s="137">
        <f t="shared" si="75"/>
        <v>0</v>
      </c>
      <c r="F87" s="137">
        <f t="shared" si="75"/>
        <v>9733</v>
      </c>
      <c r="G87" s="137">
        <f t="shared" si="75"/>
        <v>10431</v>
      </c>
      <c r="H87" s="137">
        <f t="shared" si="75"/>
        <v>11123</v>
      </c>
      <c r="I87" s="11">
        <f>SUM(I81:I86)</f>
        <v>12367</v>
      </c>
      <c r="J87" s="11">
        <f>SUM(J81:J86)</f>
        <v>11100</v>
      </c>
      <c r="K87" s="11">
        <f>SUM(K81:K86)</f>
        <v>11533</v>
      </c>
      <c r="L87" s="7">
        <f t="shared" si="73"/>
        <v>3.452053022548069E-2</v>
      </c>
      <c r="M87" s="1"/>
      <c r="N87" s="1" t="str">
        <f t="shared" si="72"/>
        <v>Total Operating Expenses</v>
      </c>
      <c r="O87" s="7" t="e">
        <f t="shared" si="64"/>
        <v>#DIV/0!</v>
      </c>
      <c r="P87" s="7" t="e">
        <f t="shared" si="64"/>
        <v>#DIV/0!</v>
      </c>
      <c r="Q87" s="7" t="e">
        <f t="shared" si="64"/>
        <v>#DIV/0!</v>
      </c>
      <c r="R87" s="7" t="e">
        <f t="shared" si="64"/>
        <v>#DIV/0!</v>
      </c>
      <c r="S87" s="7">
        <f t="shared" si="65"/>
        <v>0.83166709390754512</v>
      </c>
      <c r="T87" s="7">
        <f t="shared" si="66"/>
        <v>0.83188452029667437</v>
      </c>
      <c r="U87" s="7">
        <f t="shared" si="67"/>
        <v>0.84029613960867267</v>
      </c>
      <c r="V87" s="7">
        <f t="shared" si="68"/>
        <v>0.84543341536778782</v>
      </c>
      <c r="W87" s="7">
        <f t="shared" si="69"/>
        <v>0.82842003134562281</v>
      </c>
      <c r="X87" s="7">
        <f t="shared" si="70"/>
        <v>0.83324904269922695</v>
      </c>
      <c r="Y87" s="7">
        <f t="shared" si="71"/>
        <v>0.83540650560197616</v>
      </c>
    </row>
    <row r="88" spans="1:25">
      <c r="A88" s="1" t="s">
        <v>76</v>
      </c>
      <c r="B88" s="1"/>
      <c r="C88" s="22"/>
      <c r="D88" s="137"/>
      <c r="E88" s="137"/>
      <c r="F88" s="137"/>
      <c r="G88" s="137"/>
      <c r="H88" s="137"/>
      <c r="I88" s="11"/>
      <c r="J88" s="11"/>
      <c r="K88" s="11"/>
      <c r="L88" s="7"/>
      <c r="M88" s="1"/>
      <c r="N88" s="1" t="str">
        <f>A88</f>
        <v xml:space="preserve">  Electric Earnings from Operations</v>
      </c>
      <c r="O88" s="7" t="e">
        <f t="shared" ref="O88:R88" si="76">B90/B$78</f>
        <v>#DIV/0!</v>
      </c>
      <c r="P88" s="7" t="e">
        <f t="shared" si="76"/>
        <v>#DIV/0!</v>
      </c>
      <c r="Q88" s="7" t="e">
        <f t="shared" si="76"/>
        <v>#DIV/0!</v>
      </c>
      <c r="R88" s="7" t="e">
        <f t="shared" si="76"/>
        <v>#DIV/0!</v>
      </c>
      <c r="S88" s="7">
        <f t="shared" si="65"/>
        <v>0</v>
      </c>
      <c r="T88" s="7">
        <f t="shared" si="66"/>
        <v>0</v>
      </c>
      <c r="U88" s="7">
        <f t="shared" si="67"/>
        <v>0</v>
      </c>
      <c r="V88" s="7">
        <f t="shared" si="68"/>
        <v>0</v>
      </c>
      <c r="W88" s="7">
        <f t="shared" si="69"/>
        <v>0</v>
      </c>
      <c r="X88" s="7">
        <f t="shared" si="70"/>
        <v>0</v>
      </c>
      <c r="Y88" s="7">
        <f t="shared" si="71"/>
        <v>0</v>
      </c>
    </row>
    <row r="89" spans="1:25">
      <c r="A89" s="1" t="s">
        <v>77</v>
      </c>
      <c r="B89" s="1"/>
      <c r="C89" s="22"/>
      <c r="D89" s="168"/>
      <c r="E89" s="168"/>
      <c r="F89" s="168"/>
      <c r="G89" s="168"/>
      <c r="H89" s="168"/>
      <c r="I89" s="169"/>
      <c r="J89" s="169"/>
      <c r="K89" s="169"/>
      <c r="L89" s="164"/>
      <c r="M89" s="1"/>
      <c r="N89" s="1" t="str">
        <f t="shared" ref="N89:N90" si="77">A89</f>
        <v xml:space="preserve">  Other Regulated Operating Earnings</v>
      </c>
      <c r="O89" s="7" t="e">
        <f t="shared" ref="O89:O90" si="78">B91/B$78</f>
        <v>#DIV/0!</v>
      </c>
      <c r="P89" s="7" t="e">
        <f t="shared" ref="P89:P90" si="79">C91/C$78</f>
        <v>#DIV/0!</v>
      </c>
      <c r="Q89" s="7" t="e">
        <f t="shared" ref="Q89:Q90" si="80">D91/D$78</f>
        <v>#DIV/0!</v>
      </c>
      <c r="R89" s="7" t="e">
        <f t="shared" ref="R89:R90" si="81">E91/E$78</f>
        <v>#DIV/0!</v>
      </c>
      <c r="S89" s="7">
        <f t="shared" ref="S89:S90" si="82">F89/F$78</f>
        <v>0</v>
      </c>
      <c r="T89" s="7">
        <f t="shared" ref="T89:T90" si="83">G89/G$78</f>
        <v>0</v>
      </c>
      <c r="U89" s="7">
        <f t="shared" ref="U89:U90" si="84">H89/H$78</f>
        <v>0</v>
      </c>
      <c r="V89" s="7">
        <f t="shared" ref="V89:V90" si="85">I89/I$78</f>
        <v>0</v>
      </c>
      <c r="W89" s="7">
        <f t="shared" ref="W89:W90" si="86">J89/J$78</f>
        <v>0</v>
      </c>
      <c r="X89" s="7">
        <f t="shared" ref="X89:X90" si="87">K89/K$78</f>
        <v>0</v>
      </c>
      <c r="Y89" s="7">
        <f t="shared" ref="Y89:Y90" si="88">SUM(F89:K89)/SUM(F$78:K$78)</f>
        <v>0</v>
      </c>
    </row>
    <row r="90" spans="1:25">
      <c r="A90" s="1" t="s">
        <v>78</v>
      </c>
      <c r="B90" s="1">
        <f t="shared" ref="B90:H90" si="89">B78-B87</f>
        <v>0</v>
      </c>
      <c r="C90" s="22">
        <f t="shared" si="89"/>
        <v>0</v>
      </c>
      <c r="D90" s="137">
        <f t="shared" si="89"/>
        <v>0</v>
      </c>
      <c r="E90" s="137">
        <f t="shared" si="89"/>
        <v>0</v>
      </c>
      <c r="F90" s="137">
        <f t="shared" si="89"/>
        <v>1970</v>
      </c>
      <c r="G90" s="137">
        <f t="shared" si="89"/>
        <v>2108</v>
      </c>
      <c r="H90" s="137">
        <f t="shared" si="89"/>
        <v>2114</v>
      </c>
      <c r="I90" s="11">
        <f>I78-I87+I88</f>
        <v>2261</v>
      </c>
      <c r="J90" s="11">
        <f>J78-J87</f>
        <v>2299</v>
      </c>
      <c r="K90" s="11">
        <f>K78-K87</f>
        <v>2308</v>
      </c>
      <c r="L90" s="7">
        <f>RATE(5,,-F90,K90)</f>
        <v>3.217637780303776E-2</v>
      </c>
      <c r="M90" s="1"/>
      <c r="N90" s="1" t="str">
        <f t="shared" si="77"/>
        <v>Total Earnings From Operations</v>
      </c>
      <c r="O90" s="7" t="e">
        <f t="shared" si="78"/>
        <v>#DIV/0!</v>
      </c>
      <c r="P90" s="7" t="e">
        <f t="shared" si="79"/>
        <v>#DIV/0!</v>
      </c>
      <c r="Q90" s="7" t="e">
        <f t="shared" si="80"/>
        <v>#DIV/0!</v>
      </c>
      <c r="R90" s="7" t="e">
        <f t="shared" si="81"/>
        <v>#DIV/0!</v>
      </c>
      <c r="S90" s="7">
        <f t="shared" si="82"/>
        <v>0.16833290609245494</v>
      </c>
      <c r="T90" s="7">
        <f t="shared" si="83"/>
        <v>0.16811547970332563</v>
      </c>
      <c r="U90" s="7">
        <f t="shared" si="84"/>
        <v>0.15970386039132733</v>
      </c>
      <c r="V90" s="7">
        <f t="shared" si="85"/>
        <v>0.15456658463221221</v>
      </c>
      <c r="W90" s="7">
        <f t="shared" si="86"/>
        <v>0.17157996865437719</v>
      </c>
      <c r="X90" s="7">
        <f t="shared" si="87"/>
        <v>0.16675095730077308</v>
      </c>
      <c r="Y90" s="7">
        <f t="shared" si="88"/>
        <v>0.16459349439802387</v>
      </c>
    </row>
    <row r="91" spans="1:25">
      <c r="A91" s="1"/>
      <c r="B91" s="1"/>
      <c r="C91" s="22"/>
      <c r="D91" s="137"/>
      <c r="E91" s="137"/>
      <c r="F91" s="137"/>
      <c r="G91" s="137"/>
      <c r="H91" s="137"/>
      <c r="I91" s="11"/>
      <c r="J91" s="11"/>
      <c r="K91" s="11"/>
      <c r="L91" s="7"/>
      <c r="M91" s="1"/>
      <c r="N91" s="1"/>
      <c r="O91" s="1"/>
      <c r="P91" s="1"/>
      <c r="Q91" s="1"/>
      <c r="R91" s="1"/>
      <c r="S91" s="7"/>
      <c r="T91" s="7"/>
      <c r="U91" s="7"/>
      <c r="V91" s="7"/>
      <c r="W91" s="7"/>
      <c r="X91" s="7"/>
      <c r="Y91" s="7"/>
    </row>
    <row r="92" spans="1:25">
      <c r="A92" s="1" t="s">
        <v>79</v>
      </c>
      <c r="B92" s="1"/>
      <c r="C92" s="22"/>
      <c r="D92" s="137"/>
      <c r="E92" s="137"/>
      <c r="F92" s="137">
        <v>583</v>
      </c>
      <c r="G92" s="137">
        <v>738</v>
      </c>
      <c r="H92" s="137">
        <v>762</v>
      </c>
      <c r="I92" s="11">
        <v>728</v>
      </c>
      <c r="J92" s="11">
        <v>705</v>
      </c>
      <c r="K92" s="11">
        <v>684</v>
      </c>
      <c r="L92" s="7">
        <f t="shared" ref="L92:L96" si="90">RATE(5,,-F92,K92)</f>
        <v>3.2470161596368251E-2</v>
      </c>
      <c r="M92" s="1"/>
      <c r="N92" s="1" t="str">
        <f>A92</f>
        <v xml:space="preserve">   Interest expense (net)</v>
      </c>
      <c r="O92" s="7" t="e">
        <f t="shared" ref="O92:R96" si="91">B92/B$78</f>
        <v>#DIV/0!</v>
      </c>
      <c r="P92" s="7" t="e">
        <f t="shared" si="91"/>
        <v>#DIV/0!</v>
      </c>
      <c r="Q92" s="7" t="e">
        <f t="shared" si="91"/>
        <v>#DIV/0!</v>
      </c>
      <c r="R92" s="7" t="e">
        <f t="shared" si="91"/>
        <v>#DIV/0!</v>
      </c>
      <c r="S92" s="7">
        <f t="shared" ref="S92:S101" si="92">F92/F$78</f>
        <v>4.9816286422284882E-2</v>
      </c>
      <c r="T92" s="7">
        <f t="shared" ref="T92:T101" si="93">G92/G$78</f>
        <v>5.8856368131429936E-2</v>
      </c>
      <c r="U92" s="7">
        <f t="shared" ref="U92:U101" si="94">H92/H$78</f>
        <v>5.756591372667523E-2</v>
      </c>
      <c r="V92" s="7">
        <f t="shared" ref="V92:V101" si="95">I92/I$78</f>
        <v>4.9767569045665844E-2</v>
      </c>
      <c r="W92" s="7">
        <f t="shared" ref="W92:W101" si="96">J92/J$78</f>
        <v>5.2615866855735501E-2</v>
      </c>
      <c r="X92" s="7">
        <f t="shared" ref="X92:X101" si="97">K92/K$78</f>
        <v>4.9418394624665851E-2</v>
      </c>
      <c r="Y92" s="7">
        <f t="shared" ref="Y92:Y101" si="98">SUM(F92:K92)/SUM(F$78:K$78)</f>
        <v>5.293205792279481E-2</v>
      </c>
    </row>
    <row r="93" spans="1:25">
      <c r="A93" s="1" t="s">
        <v>80</v>
      </c>
      <c r="B93" s="1"/>
      <c r="C93" s="22"/>
      <c r="D93" s="137"/>
      <c r="E93" s="137"/>
      <c r="F93" s="137">
        <v>-80</v>
      </c>
      <c r="G93" s="137">
        <v>-188</v>
      </c>
      <c r="H93" s="137">
        <v>-164</v>
      </c>
      <c r="I93" s="11">
        <v>-94</v>
      </c>
      <c r="J93" s="11">
        <v>-33</v>
      </c>
      <c r="K93" s="11">
        <v>-9</v>
      </c>
      <c r="L93" s="7">
        <f t="shared" si="90"/>
        <v>-0.35400299502206278</v>
      </c>
      <c r="M93" s="1"/>
      <c r="N93" s="1" t="str">
        <f>A93</f>
        <v xml:space="preserve">   Interest income</v>
      </c>
      <c r="O93" s="7" t="e">
        <f t="shared" si="91"/>
        <v>#DIV/0!</v>
      </c>
      <c r="P93" s="7" t="e">
        <f t="shared" si="91"/>
        <v>#DIV/0!</v>
      </c>
      <c r="Q93" s="7" t="e">
        <f t="shared" si="91"/>
        <v>#DIV/0!</v>
      </c>
      <c r="R93" s="7" t="e">
        <f t="shared" si="91"/>
        <v>#DIV/0!</v>
      </c>
      <c r="S93" s="7">
        <f t="shared" si="92"/>
        <v>-6.8358540545159358E-3</v>
      </c>
      <c r="T93" s="7">
        <f t="shared" si="93"/>
        <v>-1.4993221150011962E-2</v>
      </c>
      <c r="U93" s="7">
        <f t="shared" si="94"/>
        <v>-1.2389514240386795E-2</v>
      </c>
      <c r="V93" s="7">
        <f t="shared" si="95"/>
        <v>-6.4260322668854251E-3</v>
      </c>
      <c r="W93" s="7">
        <f t="shared" si="96"/>
        <v>-2.4628703634599599E-3</v>
      </c>
      <c r="X93" s="7">
        <f t="shared" si="97"/>
        <v>-6.5024203453507693E-4</v>
      </c>
      <c r="Y93" s="7">
        <f t="shared" si="98"/>
        <v>-7.1584306905112987E-3</v>
      </c>
    </row>
    <row r="94" spans="1:25">
      <c r="A94" s="1" t="s">
        <v>81</v>
      </c>
      <c r="B94" s="1"/>
      <c r="C94" s="22"/>
      <c r="D94" s="137"/>
      <c r="E94" s="137"/>
      <c r="F94" s="137"/>
      <c r="G94" s="137"/>
      <c r="H94" s="137"/>
      <c r="I94" s="11"/>
      <c r="J94" s="11"/>
      <c r="K94" s="11"/>
      <c r="L94" s="7"/>
      <c r="M94" s="1"/>
      <c r="N94" s="1" t="str">
        <f>A94</f>
        <v xml:space="preserve">   Loss (Gain) on Sale of Assets</v>
      </c>
      <c r="O94" s="7" t="e">
        <f t="shared" si="91"/>
        <v>#DIV/0!</v>
      </c>
      <c r="P94" s="7" t="e">
        <f t="shared" si="91"/>
        <v>#DIV/0!</v>
      </c>
      <c r="Q94" s="7" t="e">
        <f t="shared" si="91"/>
        <v>#DIV/0!</v>
      </c>
      <c r="R94" s="7" t="e">
        <f t="shared" si="91"/>
        <v>#DIV/0!</v>
      </c>
      <c r="S94" s="7">
        <f t="shared" si="92"/>
        <v>0</v>
      </c>
      <c r="T94" s="7">
        <f t="shared" si="93"/>
        <v>0</v>
      </c>
      <c r="U94" s="7">
        <f t="shared" si="94"/>
        <v>0</v>
      </c>
      <c r="V94" s="7">
        <f t="shared" si="95"/>
        <v>0</v>
      </c>
      <c r="W94" s="7">
        <f t="shared" si="96"/>
        <v>0</v>
      </c>
      <c r="X94" s="7">
        <f t="shared" si="97"/>
        <v>0</v>
      </c>
      <c r="Y94" s="7">
        <f t="shared" si="98"/>
        <v>0</v>
      </c>
    </row>
    <row r="95" spans="1:25">
      <c r="A95" s="1" t="s">
        <v>157</v>
      </c>
      <c r="B95" s="1"/>
      <c r="C95" s="22"/>
      <c r="D95" s="168"/>
      <c r="E95" s="168"/>
      <c r="F95" s="168">
        <v>19</v>
      </c>
      <c r="G95" s="168">
        <v>13</v>
      </c>
      <c r="H95" s="168">
        <v>-29</v>
      </c>
      <c r="I95" s="169">
        <v>4</v>
      </c>
      <c r="J95" s="169">
        <v>-67</v>
      </c>
      <c r="K95" s="169">
        <v>-27</v>
      </c>
      <c r="L95" s="7"/>
      <c r="M95" s="1"/>
      <c r="N95" s="1" t="str">
        <f>A95</f>
        <v xml:space="preserve">   Other (Income) Expense</v>
      </c>
      <c r="O95" s="7" t="e">
        <f t="shared" si="91"/>
        <v>#DIV/0!</v>
      </c>
      <c r="P95" s="7" t="e">
        <f t="shared" si="91"/>
        <v>#DIV/0!</v>
      </c>
      <c r="Q95" s="7" t="e">
        <f t="shared" si="91"/>
        <v>#DIV/0!</v>
      </c>
      <c r="R95" s="7" t="e">
        <f t="shared" si="91"/>
        <v>#DIV/0!</v>
      </c>
      <c r="S95" s="7">
        <f t="shared" si="92"/>
        <v>1.6235153379475348E-3</v>
      </c>
      <c r="T95" s="7">
        <f t="shared" si="93"/>
        <v>1.0367652922880612E-3</v>
      </c>
      <c r="U95" s="7">
        <f t="shared" si="94"/>
        <v>-2.1908287376293722E-3</v>
      </c>
      <c r="V95" s="7">
        <f t="shared" si="95"/>
        <v>2.7344818156959256E-4</v>
      </c>
      <c r="W95" s="7">
        <f t="shared" si="96"/>
        <v>-5.0003731621762817E-3</v>
      </c>
      <c r="X95" s="7">
        <f t="shared" si="97"/>
        <v>-1.9507261036052308E-3</v>
      </c>
      <c r="Y95" s="7">
        <f t="shared" si="98"/>
        <v>-1.0964497712578926E-3</v>
      </c>
    </row>
    <row r="96" spans="1:25">
      <c r="A96" s="1" t="s">
        <v>83</v>
      </c>
      <c r="B96" s="1">
        <f t="shared" ref="B96:K96" si="99">SUM(B92:B95)</f>
        <v>0</v>
      </c>
      <c r="C96" s="22">
        <f t="shared" si="99"/>
        <v>0</v>
      </c>
      <c r="D96" s="137">
        <f t="shared" si="99"/>
        <v>0</v>
      </c>
      <c r="E96" s="137">
        <f t="shared" si="99"/>
        <v>0</v>
      </c>
      <c r="F96" s="137">
        <f t="shared" si="99"/>
        <v>522</v>
      </c>
      <c r="G96" s="137">
        <f t="shared" si="99"/>
        <v>563</v>
      </c>
      <c r="H96" s="137">
        <f t="shared" si="99"/>
        <v>569</v>
      </c>
      <c r="I96" s="11">
        <f t="shared" si="99"/>
        <v>638</v>
      </c>
      <c r="J96" s="11">
        <f t="shared" si="99"/>
        <v>605</v>
      </c>
      <c r="K96" s="11">
        <f t="shared" si="99"/>
        <v>648</v>
      </c>
      <c r="L96" s="7">
        <f t="shared" si="90"/>
        <v>4.4193295943926521E-2</v>
      </c>
      <c r="M96" s="1"/>
      <c r="N96" s="1" t="str">
        <f>A96</f>
        <v>Total Other Income/Expense</v>
      </c>
      <c r="O96" s="7" t="e">
        <f t="shared" si="91"/>
        <v>#DIV/0!</v>
      </c>
      <c r="P96" s="7" t="e">
        <f t="shared" si="91"/>
        <v>#DIV/0!</v>
      </c>
      <c r="Q96" s="7" t="e">
        <f t="shared" si="91"/>
        <v>#DIV/0!</v>
      </c>
      <c r="R96" s="7" t="e">
        <f t="shared" si="91"/>
        <v>#DIV/0!</v>
      </c>
      <c r="S96" s="7">
        <f t="shared" si="92"/>
        <v>4.4603947705716483E-2</v>
      </c>
      <c r="T96" s="7">
        <f t="shared" si="93"/>
        <v>4.4899912273706037E-2</v>
      </c>
      <c r="U96" s="7">
        <f t="shared" si="94"/>
        <v>4.2985570748659059E-2</v>
      </c>
      <c r="V96" s="7">
        <f t="shared" si="95"/>
        <v>4.361498496035001E-2</v>
      </c>
      <c r="W96" s="7">
        <f t="shared" si="96"/>
        <v>4.5152623330099263E-2</v>
      </c>
      <c r="X96" s="7">
        <f t="shared" si="97"/>
        <v>4.6817426486525537E-2</v>
      </c>
      <c r="Y96" s="7">
        <f t="shared" si="98"/>
        <v>4.4677177461025619E-2</v>
      </c>
    </row>
    <row r="97" spans="1:25">
      <c r="A97" s="1"/>
      <c r="B97" s="1"/>
      <c r="C97" s="22"/>
      <c r="D97" s="137"/>
      <c r="E97" s="137"/>
      <c r="F97" s="137"/>
      <c r="G97" s="137"/>
      <c r="H97" s="137"/>
      <c r="I97" s="11"/>
      <c r="J97" s="11"/>
      <c r="K97" s="11"/>
      <c r="L97" s="7"/>
      <c r="M97" s="1"/>
      <c r="N97" s="1"/>
      <c r="O97" s="1"/>
      <c r="P97" s="1"/>
      <c r="Q97" s="1"/>
      <c r="R97" s="1"/>
      <c r="S97" s="7"/>
      <c r="T97" s="7"/>
      <c r="U97" s="7"/>
      <c r="V97" s="7"/>
      <c r="W97" s="7"/>
      <c r="X97" s="7"/>
      <c r="Y97" s="7"/>
    </row>
    <row r="98" spans="1:25">
      <c r="A98" s="1" t="s">
        <v>84</v>
      </c>
      <c r="B98" s="1">
        <f t="shared" ref="B98:H98" si="100">B90-B96</f>
        <v>0</v>
      </c>
      <c r="C98" s="22">
        <f t="shared" si="100"/>
        <v>0</v>
      </c>
      <c r="D98" s="137">
        <f t="shared" si="100"/>
        <v>0</v>
      </c>
      <c r="E98" s="137">
        <f t="shared" si="100"/>
        <v>0</v>
      </c>
      <c r="F98" s="137">
        <f t="shared" si="100"/>
        <v>1448</v>
      </c>
      <c r="G98" s="137">
        <f t="shared" si="100"/>
        <v>1545</v>
      </c>
      <c r="H98" s="137">
        <f t="shared" si="100"/>
        <v>1545</v>
      </c>
      <c r="I98" s="11">
        <f>I90-I96</f>
        <v>1623</v>
      </c>
      <c r="J98" s="11">
        <f>J90-J96</f>
        <v>1694</v>
      </c>
      <c r="K98" s="11">
        <f>K90-K96</f>
        <v>1660</v>
      </c>
      <c r="L98" s="7">
        <f t="shared" ref="L98:L101" si="101">RATE(5,,-F98,K98)</f>
        <v>2.7703664819631883E-2</v>
      </c>
      <c r="M98" s="1"/>
      <c r="N98" s="1" t="s">
        <v>84</v>
      </c>
      <c r="O98" s="7" t="e">
        <f t="shared" ref="O98:R101" si="102">B98/B$78</f>
        <v>#DIV/0!</v>
      </c>
      <c r="P98" s="7" t="e">
        <f t="shared" si="102"/>
        <v>#DIV/0!</v>
      </c>
      <c r="Q98" s="7" t="e">
        <f t="shared" si="102"/>
        <v>#DIV/0!</v>
      </c>
      <c r="R98" s="7" t="e">
        <f t="shared" si="102"/>
        <v>#DIV/0!</v>
      </c>
      <c r="S98" s="7">
        <f t="shared" si="92"/>
        <v>0.12372895838673845</v>
      </c>
      <c r="T98" s="7">
        <f t="shared" si="93"/>
        <v>0.12321556742961959</v>
      </c>
      <c r="U98" s="7">
        <f t="shared" si="94"/>
        <v>0.11671828964266828</v>
      </c>
      <c r="V98" s="7">
        <f t="shared" si="95"/>
        <v>0.11095159967186219</v>
      </c>
      <c r="W98" s="7">
        <f t="shared" si="96"/>
        <v>0.12642734532427793</v>
      </c>
      <c r="X98" s="7">
        <f t="shared" si="97"/>
        <v>0.11993353081424753</v>
      </c>
      <c r="Y98" s="7">
        <f t="shared" si="98"/>
        <v>0.11991631693699825</v>
      </c>
    </row>
    <row r="99" spans="1:25">
      <c r="A99" s="1" t="s">
        <v>85</v>
      </c>
      <c r="B99" s="1"/>
      <c r="C99" s="22"/>
      <c r="D99" s="137"/>
      <c r="E99" s="137"/>
      <c r="F99" s="137"/>
      <c r="G99" s="137"/>
      <c r="H99" s="137"/>
      <c r="I99" s="11">
        <v>154</v>
      </c>
      <c r="J99" s="11"/>
      <c r="K99" s="11"/>
      <c r="L99" s="7"/>
      <c r="M99" s="1"/>
      <c r="N99" s="1" t="str">
        <f>A99</f>
        <v>Extraordinary Items</v>
      </c>
      <c r="O99" s="7" t="e">
        <f t="shared" si="102"/>
        <v>#DIV/0!</v>
      </c>
      <c r="P99" s="7" t="e">
        <f t="shared" si="102"/>
        <v>#DIV/0!</v>
      </c>
      <c r="Q99" s="7" t="e">
        <f t="shared" si="102"/>
        <v>#DIV/0!</v>
      </c>
      <c r="R99" s="7" t="e">
        <f t="shared" si="102"/>
        <v>#DIV/0!</v>
      </c>
      <c r="S99" s="7">
        <f t="shared" si="92"/>
        <v>0</v>
      </c>
      <c r="T99" s="7">
        <f t="shared" si="93"/>
        <v>0</v>
      </c>
      <c r="U99" s="7">
        <f t="shared" si="94"/>
        <v>0</v>
      </c>
      <c r="V99" s="7">
        <f t="shared" si="95"/>
        <v>1.0527754990429313E-2</v>
      </c>
      <c r="W99" s="7">
        <f t="shared" si="96"/>
        <v>0</v>
      </c>
      <c r="X99" s="7">
        <f t="shared" si="97"/>
        <v>0</v>
      </c>
      <c r="Y99" s="7">
        <f t="shared" si="98"/>
        <v>1.9408421238358098E-3</v>
      </c>
    </row>
    <row r="100" spans="1:25">
      <c r="A100" s="1" t="s">
        <v>86</v>
      </c>
      <c r="B100" s="1"/>
      <c r="C100" s="22"/>
      <c r="D100" s="137"/>
      <c r="E100" s="137"/>
      <c r="F100" s="137">
        <v>544</v>
      </c>
      <c r="G100" s="137">
        <v>554</v>
      </c>
      <c r="H100" s="137">
        <v>539</v>
      </c>
      <c r="I100" s="11">
        <v>425</v>
      </c>
      <c r="J100" s="11">
        <v>460</v>
      </c>
      <c r="K100" s="11">
        <v>547</v>
      </c>
      <c r="L100" s="7">
        <f t="shared" si="101"/>
        <v>1.1005162372769303E-3</v>
      </c>
      <c r="M100" s="1"/>
      <c r="N100" s="1" t="str">
        <f>A100</f>
        <v>Income Taxes</v>
      </c>
      <c r="O100" s="7" t="e">
        <f t="shared" si="102"/>
        <v>#DIV/0!</v>
      </c>
      <c r="P100" s="7" t="e">
        <f t="shared" si="102"/>
        <v>#DIV/0!</v>
      </c>
      <c r="Q100" s="7" t="e">
        <f t="shared" si="102"/>
        <v>#DIV/0!</v>
      </c>
      <c r="R100" s="7" t="e">
        <f t="shared" si="102"/>
        <v>#DIV/0!</v>
      </c>
      <c r="S100" s="7">
        <f t="shared" si="92"/>
        <v>4.6483807570708364E-2</v>
      </c>
      <c r="T100" s="7">
        <f t="shared" si="93"/>
        <v>4.4182151686737378E-2</v>
      </c>
      <c r="U100" s="7">
        <f t="shared" si="94"/>
        <v>4.0719196192490745E-2</v>
      </c>
      <c r="V100" s="7">
        <f t="shared" si="95"/>
        <v>2.9053869291769209E-2</v>
      </c>
      <c r="W100" s="7">
        <f t="shared" si="96"/>
        <v>3.4330920217926712E-2</v>
      </c>
      <c r="X100" s="7">
        <f t="shared" si="97"/>
        <v>3.952026587674301E-2</v>
      </c>
      <c r="Y100" s="7">
        <f t="shared" si="98"/>
        <v>3.867821089644221E-2</v>
      </c>
    </row>
    <row r="101" spans="1:25">
      <c r="A101" s="1" t="s">
        <v>87</v>
      </c>
      <c r="B101" s="1">
        <f t="shared" ref="B101" si="103">B98+B99-B100</f>
        <v>0</v>
      </c>
      <c r="C101" s="22">
        <f t="shared" ref="C101:H101" si="104">C98-C99-C100</f>
        <v>0</v>
      </c>
      <c r="D101" s="137">
        <f t="shared" si="104"/>
        <v>0</v>
      </c>
      <c r="E101" s="137">
        <f t="shared" si="104"/>
        <v>0</v>
      </c>
      <c r="F101" s="137">
        <f t="shared" si="104"/>
        <v>904</v>
      </c>
      <c r="G101" s="137">
        <f>G98-G99-G100</f>
        <v>991</v>
      </c>
      <c r="H101" s="137">
        <f t="shared" si="104"/>
        <v>1006</v>
      </c>
      <c r="I101" s="11">
        <f>I98+I99-I100</f>
        <v>1352</v>
      </c>
      <c r="J101" s="11">
        <f>J98+J99-J100</f>
        <v>1234</v>
      </c>
      <c r="K101" s="11">
        <f>K98+K99-K100</f>
        <v>1113</v>
      </c>
      <c r="L101" s="7">
        <f t="shared" si="101"/>
        <v>4.2474275051509081E-2</v>
      </c>
      <c r="M101" s="1"/>
      <c r="N101" s="1" t="s">
        <v>87</v>
      </c>
      <c r="O101" s="7" t="e">
        <f t="shared" si="102"/>
        <v>#DIV/0!</v>
      </c>
      <c r="P101" s="7" t="e">
        <f t="shared" si="102"/>
        <v>#DIV/0!</v>
      </c>
      <c r="Q101" s="7" t="e">
        <f t="shared" si="102"/>
        <v>#DIV/0!</v>
      </c>
      <c r="R101" s="7" t="e">
        <f t="shared" si="102"/>
        <v>#DIV/0!</v>
      </c>
      <c r="S101" s="7">
        <f t="shared" si="92"/>
        <v>7.7245150816030075E-2</v>
      </c>
      <c r="T101" s="7">
        <f t="shared" si="93"/>
        <v>7.903341574288221E-2</v>
      </c>
      <c r="U101" s="7">
        <f t="shared" si="94"/>
        <v>7.5999093450177538E-2</v>
      </c>
      <c r="V101" s="7">
        <f t="shared" si="95"/>
        <v>9.2425485370522281E-2</v>
      </c>
      <c r="W101" s="7">
        <f t="shared" si="96"/>
        <v>9.2096425106351215E-2</v>
      </c>
      <c r="X101" s="7">
        <f t="shared" si="97"/>
        <v>8.0413264937504517E-2</v>
      </c>
      <c r="Y101" s="7">
        <f t="shared" si="98"/>
        <v>8.317894816439185E-2</v>
      </c>
    </row>
    <row r="102" spans="1:25">
      <c r="A102" s="1"/>
      <c r="B102" s="1"/>
      <c r="C102" s="22"/>
      <c r="D102" s="137"/>
      <c r="E102" s="137"/>
      <c r="F102" s="137"/>
      <c r="G102" s="137"/>
      <c r="H102" s="137"/>
      <c r="I102" s="11"/>
      <c r="J102" s="11"/>
      <c r="K102" s="1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"/>
      <c r="C103" s="23"/>
      <c r="D103" s="137"/>
      <c r="E103" s="137"/>
      <c r="F103" s="137"/>
      <c r="G103" s="137"/>
      <c r="H103" s="137"/>
      <c r="I103" s="11"/>
      <c r="J103" s="11"/>
      <c r="K103" s="11"/>
      <c r="L103" s="7"/>
      <c r="M103" s="1"/>
      <c r="N103" s="1" t="s">
        <v>89</v>
      </c>
      <c r="O103" s="7" t="e">
        <f t="shared" ref="O103:X104" si="105">B103/B$101</f>
        <v>#DIV/0!</v>
      </c>
      <c r="P103" s="7" t="e">
        <f t="shared" si="105"/>
        <v>#DIV/0!</v>
      </c>
      <c r="Q103" s="7" t="e">
        <f t="shared" si="105"/>
        <v>#DIV/0!</v>
      </c>
      <c r="R103" s="7" t="e">
        <f t="shared" si="105"/>
        <v>#DIV/0!</v>
      </c>
      <c r="S103" s="7">
        <f t="shared" si="105"/>
        <v>0</v>
      </c>
      <c r="T103" s="7">
        <f t="shared" si="105"/>
        <v>0</v>
      </c>
      <c r="U103" s="7">
        <f t="shared" si="105"/>
        <v>0</v>
      </c>
      <c r="V103" s="7">
        <f t="shared" si="105"/>
        <v>0</v>
      </c>
      <c r="W103" s="7">
        <f t="shared" si="105"/>
        <v>0</v>
      </c>
      <c r="X103" s="7">
        <f t="shared" si="105"/>
        <v>0</v>
      </c>
      <c r="Y103" s="7">
        <f>SUM(F103:K103)/SUM(F$101:K$101)</f>
        <v>0</v>
      </c>
    </row>
    <row r="104" spans="1:25">
      <c r="A104" s="1" t="s">
        <v>90</v>
      </c>
      <c r="B104" s="1"/>
      <c r="C104" s="24"/>
      <c r="D104" s="137"/>
      <c r="E104" s="137"/>
      <c r="F104" s="137">
        <v>334</v>
      </c>
      <c r="G104" s="137">
        <v>456</v>
      </c>
      <c r="H104" s="137">
        <v>496</v>
      </c>
      <c r="I104" s="11">
        <v>546</v>
      </c>
      <c r="J104" s="11">
        <v>590</v>
      </c>
      <c r="K104" s="11">
        <v>662</v>
      </c>
      <c r="L104" s="7">
        <f>RATE(5,,-F104,K104)</f>
        <v>0.14662737092984202</v>
      </c>
      <c r="M104" s="1"/>
      <c r="N104" s="1" t="s">
        <v>91</v>
      </c>
      <c r="O104" s="7" t="e">
        <f t="shared" si="105"/>
        <v>#DIV/0!</v>
      </c>
      <c r="P104" s="7" t="e">
        <f t="shared" si="105"/>
        <v>#DIV/0!</v>
      </c>
      <c r="Q104" s="7" t="e">
        <f t="shared" si="105"/>
        <v>#DIV/0!</v>
      </c>
      <c r="R104" s="7" t="e">
        <f t="shared" si="105"/>
        <v>#DIV/0!</v>
      </c>
      <c r="S104" s="7">
        <f t="shared" si="105"/>
        <v>0.36946902654867259</v>
      </c>
      <c r="T104" s="7">
        <f t="shared" si="105"/>
        <v>0.46014127144298689</v>
      </c>
      <c r="U104" s="7">
        <f t="shared" si="105"/>
        <v>0.49304174950298213</v>
      </c>
      <c r="V104" s="7">
        <f t="shared" si="105"/>
        <v>0.40384615384615385</v>
      </c>
      <c r="W104" s="7">
        <f>J104/J$101</f>
        <v>0.47811993517017826</v>
      </c>
      <c r="X104" s="7">
        <f>K104/K$101</f>
        <v>0.59478885893980238</v>
      </c>
      <c r="Y104" s="7">
        <f>SUM(F104:K104)/SUM(F$101:K$101)</f>
        <v>0.46727272727272728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PG &amp; E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106">O8</f>
        <v>2001</v>
      </c>
      <c r="C114" s="5">
        <f t="shared" si="106"/>
        <v>2002</v>
      </c>
      <c r="D114" s="5">
        <f t="shared" si="106"/>
        <v>2003</v>
      </c>
      <c r="E114" s="5">
        <f t="shared" si="106"/>
        <v>2004</v>
      </c>
      <c r="F114" s="5">
        <f t="shared" si="106"/>
        <v>2005</v>
      </c>
      <c r="G114" s="5">
        <f t="shared" si="106"/>
        <v>2006</v>
      </c>
      <c r="H114" s="5">
        <f>U8</f>
        <v>2007</v>
      </c>
      <c r="I114" s="5">
        <f>V8</f>
        <v>2008</v>
      </c>
      <c r="J114" s="5">
        <f t="shared" ref="J114:K114" si="107">W8</f>
        <v>2009</v>
      </c>
      <c r="K114" s="5">
        <f t="shared" si="107"/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 t="e">
        <f t="shared" ref="B117:G117" si="108">B15/B48</f>
        <v>#DIV/0!</v>
      </c>
      <c r="C117" s="1" t="e">
        <f t="shared" si="108"/>
        <v>#DIV/0!</v>
      </c>
      <c r="D117" s="1" t="e">
        <f t="shared" si="108"/>
        <v>#DIV/0!</v>
      </c>
      <c r="E117" s="1" t="e">
        <f t="shared" si="108"/>
        <v>#DIV/0!</v>
      </c>
      <c r="F117" s="1">
        <f t="shared" si="108"/>
        <v>0.86266589728793996</v>
      </c>
      <c r="G117" s="1">
        <f t="shared" si="108"/>
        <v>0.7111515151515152</v>
      </c>
      <c r="H117" s="1">
        <f>H15/H48</f>
        <v>0.81243476964365591</v>
      </c>
      <c r="I117" s="1">
        <f>I15/I48</f>
        <v>0.83962758982428531</v>
      </c>
      <c r="J117" s="1">
        <f>J15/J48</f>
        <v>0.83032437986202845</v>
      </c>
      <c r="K117" s="1">
        <f>K15/K48</f>
        <v>0.77132915796798884</v>
      </c>
      <c r="L117" s="12">
        <f>AVERAGE(F117:K117)</f>
        <v>0.80458888495623559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 t="e">
        <f t="shared" ref="B118:G118" si="109">(B11+B12)/B48</f>
        <v>#DIV/0!</v>
      </c>
      <c r="C118" s="1" t="e">
        <f t="shared" si="109"/>
        <v>#DIV/0!</v>
      </c>
      <c r="D118" s="1" t="e">
        <f t="shared" si="109"/>
        <v>#DIV/0!</v>
      </c>
      <c r="E118" s="1" t="e">
        <f t="shared" si="109"/>
        <v>#DIV/0!</v>
      </c>
      <c r="F118" s="1">
        <f t="shared" si="109"/>
        <v>0.67527409117137915</v>
      </c>
      <c r="G118" s="1">
        <f t="shared" si="109"/>
        <v>0.51078787878787879</v>
      </c>
      <c r="H118" s="1">
        <f>(H11+H12)/H48</f>
        <v>0.48322647979722677</v>
      </c>
      <c r="I118" s="1">
        <f>(I11+I12)/I48</f>
        <v>0.40257015473380542</v>
      </c>
      <c r="J118" s="1">
        <f>(J11+J12)/J48</f>
        <v>0.29634522236900046</v>
      </c>
      <c r="K118" s="1">
        <f>(K11+K12)/K48</f>
        <v>0.25024356297842726</v>
      </c>
      <c r="L118" s="12">
        <f t="shared" ref="L118:L119" si="110">AVERAGE(F118:K118)</f>
        <v>0.43640789830628629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 t="e">
        <f t="shared" ref="C119:I119" si="111">365*(((B12+C12)/2)/((B78+C78)/2))</f>
        <v>#DIV/0!</v>
      </c>
      <c r="D119" s="1" t="e">
        <f t="shared" si="111"/>
        <v>#DIV/0!</v>
      </c>
      <c r="E119" s="1" t="e">
        <f t="shared" si="111"/>
        <v>#DIV/0!</v>
      </c>
      <c r="F119" s="1">
        <f>365*(((E12+F12))/((E78+F78)))</f>
        <v>75.538750747671543</v>
      </c>
      <c r="G119" s="1">
        <f t="shared" si="111"/>
        <v>71.744286775018566</v>
      </c>
      <c r="H119" s="1">
        <f t="shared" si="111"/>
        <v>55.820530726256983</v>
      </c>
      <c r="I119" s="1">
        <f t="shared" si="111"/>
        <v>43.881212991207605</v>
      </c>
      <c r="J119" s="1">
        <f>365*((I12+J12)/2)/((I78+J78*(2))/2)</f>
        <v>22.996427364457105</v>
      </c>
      <c r="K119" s="1">
        <f>365*((J12+K12)/2)/((J78+K78*(2))/2)</f>
        <v>16.019449380492198</v>
      </c>
      <c r="L119" s="12">
        <f t="shared" si="110"/>
        <v>47.666776330850659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 t="e">
        <f t="shared" ref="B122:I122" si="112">B62/B55</f>
        <v>#DIV/0!</v>
      </c>
      <c r="C122" s="1" t="e">
        <f t="shared" si="112"/>
        <v>#DIV/0!</v>
      </c>
      <c r="D122" s="1" t="e">
        <f t="shared" si="112"/>
        <v>#DIV/0!</v>
      </c>
      <c r="E122" s="1" t="e">
        <f t="shared" si="112"/>
        <v>#DIV/0!</v>
      </c>
      <c r="F122" s="1">
        <f t="shared" si="112"/>
        <v>0.28078484438430312</v>
      </c>
      <c r="G122" s="1">
        <f t="shared" si="112"/>
        <v>0.30153328347045627</v>
      </c>
      <c r="H122" s="1">
        <f t="shared" si="112"/>
        <v>0.31641930499155496</v>
      </c>
      <c r="I122" s="1">
        <f t="shared" si="112"/>
        <v>0.30831545579712466</v>
      </c>
      <c r="J122" s="1">
        <f>J62/J55</f>
        <v>0.32710135970333748</v>
      </c>
      <c r="K122" s="1">
        <f>K62/K55</f>
        <v>0.33440607694760954</v>
      </c>
      <c r="L122" s="12">
        <f t="shared" ref="L122:L125" si="113">AVERAGE(F122:K122)</f>
        <v>0.31142672088239765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 t="e">
        <f t="shared" ref="B123:I123" si="114">B62/B53</f>
        <v>#DIV/0!</v>
      </c>
      <c r="C123" s="1" t="e">
        <f t="shared" si="114"/>
        <v>#DIV/0!</v>
      </c>
      <c r="D123" s="1" t="e">
        <f t="shared" si="114"/>
        <v>#DIV/0!</v>
      </c>
      <c r="E123" s="1" t="e">
        <f t="shared" si="114"/>
        <v>#DIV/0!</v>
      </c>
      <c r="F123" s="1">
        <f t="shared" si="114"/>
        <v>0.37972753151687677</v>
      </c>
      <c r="G123" s="1">
        <f t="shared" si="114"/>
        <v>0.43607355327203895</v>
      </c>
      <c r="H123" s="1">
        <f t="shared" si="114"/>
        <v>0.41690340909090912</v>
      </c>
      <c r="I123" s="1">
        <f t="shared" si="114"/>
        <v>0.40792205041304808</v>
      </c>
      <c r="J123" s="1">
        <f>J62/J53</f>
        <v>0.41433436411320312</v>
      </c>
      <c r="K123" s="1">
        <f>K62/K53</f>
        <v>0.42239800776386144</v>
      </c>
      <c r="L123" s="12">
        <f t="shared" si="113"/>
        <v>0.41289315269498955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 t="e">
        <f t="shared" ref="B124:I124" si="115">B62/B26</f>
        <v>#DIV/0!</v>
      </c>
      <c r="C124" s="1" t="e">
        <f t="shared" si="115"/>
        <v>#DIV/0!</v>
      </c>
      <c r="D124" s="1" t="e">
        <f t="shared" si="115"/>
        <v>#DIV/0!</v>
      </c>
      <c r="E124" s="1" t="e">
        <f t="shared" si="115"/>
        <v>#DIV/0!</v>
      </c>
      <c r="F124" s="1">
        <f t="shared" si="115"/>
        <v>0.3743422701077424</v>
      </c>
      <c r="G124" s="1">
        <f t="shared" si="115"/>
        <v>0.37011705301813175</v>
      </c>
      <c r="H124" s="1">
        <f t="shared" si="115"/>
        <v>0.37221001014541766</v>
      </c>
      <c r="I124" s="1">
        <f t="shared" si="115"/>
        <v>0.36666539735729792</v>
      </c>
      <c r="J124" s="1">
        <f>J62/J26</f>
        <v>0.36636439152706629</v>
      </c>
      <c r="K124" s="1">
        <f>K62/K26</f>
        <v>0.36675251995293967</v>
      </c>
      <c r="L124" s="12">
        <f t="shared" si="113"/>
        <v>0.3694086070180993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116">(B98+B92)/B92</f>
        <v>#DIV/0!</v>
      </c>
      <c r="C125" s="1" t="e">
        <f t="shared" si="116"/>
        <v>#DIV/0!</v>
      </c>
      <c r="D125" s="1" t="e">
        <f t="shared" si="116"/>
        <v>#DIV/0!</v>
      </c>
      <c r="E125" s="1" t="e">
        <f t="shared" si="116"/>
        <v>#DIV/0!</v>
      </c>
      <c r="F125" s="1">
        <f t="shared" si="116"/>
        <v>3.4837049742710122</v>
      </c>
      <c r="G125" s="1">
        <f t="shared" si="116"/>
        <v>3.0934959349593494</v>
      </c>
      <c r="H125" s="1">
        <f t="shared" si="116"/>
        <v>3.0275590551181102</v>
      </c>
      <c r="I125" s="1">
        <f t="shared" si="116"/>
        <v>3.2293956043956045</v>
      </c>
      <c r="J125" s="1">
        <f>(J98+J92)/J92</f>
        <v>3.4028368794326243</v>
      </c>
      <c r="K125" s="1">
        <f>(K98+K92)/K92</f>
        <v>3.4269005847953218</v>
      </c>
      <c r="L125" s="12">
        <f t="shared" si="113"/>
        <v>3.2773155054953373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 t="e">
        <f t="shared" ref="C128:E128" si="117">(C101+(C92*(1-(C100/C98))))/((B38+C38)/2)</f>
        <v>#DIV/0!</v>
      </c>
      <c r="D128" s="7" t="e">
        <f t="shared" si="117"/>
        <v>#DIV/0!</v>
      </c>
      <c r="E128" s="7" t="e">
        <f t="shared" si="117"/>
        <v>#DIV/0!</v>
      </c>
      <c r="F128" s="7">
        <f>(F101+(F92*(1-(F100/F98))))/((E38+F38))</f>
        <v>3.7212313661167104E-2</v>
      </c>
      <c r="G128" s="7">
        <f t="shared" ref="G128" si="118">(G101+(G92*(1-(G100/G98))))/((F38+G38)/2)</f>
        <v>4.2521331468745961E-2</v>
      </c>
      <c r="H128" s="7">
        <f t="shared" ref="H128:K128" si="119">(H101+(H92*(1-(H100/H98))))/((G38+H38)/2)</f>
        <v>4.2056781879922074E-2</v>
      </c>
      <c r="I128" s="7">
        <f t="shared" si="119"/>
        <v>4.8762849655873686E-2</v>
      </c>
      <c r="J128" s="7">
        <f t="shared" si="119"/>
        <v>4.1705378490447725E-2</v>
      </c>
      <c r="K128" s="7">
        <f t="shared" si="119"/>
        <v>3.5328979173973631E-2</v>
      </c>
      <c r="L128" s="7">
        <f>AVERAGE(F128:K128)</f>
        <v>4.1264605721688365E-2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 t="e">
        <f t="shared" ref="C129:E129" si="120">(C101+(C92*(1-(C100/C98))))/((B50+C50+B57+C57+B62+C62)/2)</f>
        <v>#DIV/0!</v>
      </c>
      <c r="D129" s="7" t="e">
        <f t="shared" si="120"/>
        <v>#DIV/0!</v>
      </c>
      <c r="E129" s="7" t="e">
        <f t="shared" si="120"/>
        <v>#DIV/0!</v>
      </c>
      <c r="F129" s="7">
        <f>(F101+(F92*(1-(F100/F98))))/((E42+F42+E50+F50+E57+F57+E62+F62))</f>
        <v>8.7761100200069747E-2</v>
      </c>
      <c r="G129" s="7">
        <f t="shared" ref="G129" si="121">(G101+(G92*(1-(G100/G98))))/((F42+G42+F50+G50+F57+G57+F62+G62)/2)</f>
        <v>9.931641451296469E-2</v>
      </c>
      <c r="H129" s="7">
        <f t="shared" ref="H129:K129" si="122">(H101+(H92*(1-(H100/H98))))/((G42+H42+G50+H50+G57+H57+G62+H62)/2)</f>
        <v>9.3835344148178568E-2</v>
      </c>
      <c r="I129" s="7">
        <f t="shared" si="122"/>
        <v>0.10345317706655434</v>
      </c>
      <c r="J129" s="7">
        <f t="shared" si="122"/>
        <v>8.5543082000880413E-2</v>
      </c>
      <c r="K129" s="7">
        <f t="shared" si="122"/>
        <v>7.0543781608017456E-2</v>
      </c>
      <c r="L129" s="7">
        <f t="shared" ref="L129:L130" si="123">AVERAGE(F129:K129)</f>
        <v>9.0075483256110866E-2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 t="e">
        <f>(B101-B103)/((B62)/1)</f>
        <v>#DIV/0!</v>
      </c>
      <c r="C130" s="7" t="e">
        <f t="shared" ref="C130:E130" si="124">(C101-C103)/((C62+B62)/2)</f>
        <v>#DIV/0!</v>
      </c>
      <c r="D130" s="7" t="e">
        <f t="shared" si="124"/>
        <v>#DIV/0!</v>
      </c>
      <c r="E130" s="7" t="e">
        <f t="shared" si="124"/>
        <v>#DIV/0!</v>
      </c>
      <c r="F130" s="7">
        <f>(F101-F103)/((F62+E62))</f>
        <v>0.12101740294511379</v>
      </c>
      <c r="G130" s="7">
        <f t="shared" ref="G130" si="125">(G101-G103)/((G62+F62)/2)</f>
        <v>0.12759930470610958</v>
      </c>
      <c r="H130" s="7">
        <f t="shared" ref="H130" si="126">(H101-H103)/((H62+G62)/2)</f>
        <v>0.11927910837087977</v>
      </c>
      <c r="I130" s="7">
        <f t="shared" ref="I130" si="127">(I101-I103)/((I62+H62)/2)</f>
        <v>0.1466854724964739</v>
      </c>
      <c r="J130" s="7">
        <f t="shared" ref="J130" si="128">(J101-J103)/((J62+I62)/2)</f>
        <v>0.12209359849609182</v>
      </c>
      <c r="K130" s="7">
        <f t="shared" ref="K130" si="129">(K101-K103)/((K62+J62)/2)</f>
        <v>0.10063746100637461</v>
      </c>
      <c r="L130" s="7">
        <f t="shared" si="123"/>
        <v>0.12288539133684057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 t="e">
        <f>B78/B11</f>
        <v>#DIV/0!</v>
      </c>
      <c r="C133" s="1" t="e">
        <f t="shared" ref="C133:E133" si="130">C78/((B11+C11)/2)</f>
        <v>#DIV/0!</v>
      </c>
      <c r="D133" s="1" t="e">
        <f t="shared" si="130"/>
        <v>#DIV/0!</v>
      </c>
      <c r="E133" s="1" t="e">
        <f t="shared" si="130"/>
        <v>#DIV/0!</v>
      </c>
      <c r="F133" s="1">
        <f>F78/((E11+F11))</f>
        <v>5.1806108897742362</v>
      </c>
      <c r="G133" s="1">
        <f t="shared" ref="G133" si="131">G78/((F11+G11)/2)</f>
        <v>6.0721549636803873</v>
      </c>
      <c r="H133" s="1">
        <f t="shared" ref="H133" si="132">H78/((G11+H11)/2)</f>
        <v>7.5360091090236265</v>
      </c>
      <c r="I133" s="1">
        <f t="shared" ref="I133" si="133">I78/((H11+I11)/2)</f>
        <v>9.880445795339412</v>
      </c>
      <c r="J133" s="1">
        <f t="shared" ref="J133" si="134">J78/((I11+J11)/2)</f>
        <v>10.810004033884631</v>
      </c>
      <c r="K133" s="1">
        <f t="shared" ref="K133" si="135">K78/((J11+K11)/2)</f>
        <v>13.744786494538232</v>
      </c>
      <c r="L133" s="12">
        <f t="shared" ref="L133:L137" si="136">AVERAGE(F133:K133)</f>
        <v>8.8706685477067548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 t="e">
        <f>B78/B12</f>
        <v>#DIV/0!</v>
      </c>
      <c r="C134" s="1" t="e">
        <f t="shared" ref="C134:E134" si="137">C78/((B12+C12)/2)</f>
        <v>#DIV/0!</v>
      </c>
      <c r="D134" s="1" t="e">
        <f t="shared" si="137"/>
        <v>#DIV/0!</v>
      </c>
      <c r="E134" s="1" t="e">
        <f t="shared" si="137"/>
        <v>#DIV/0!</v>
      </c>
      <c r="F134" s="1">
        <f>F78/((E12+F12))</f>
        <v>4.83195706028076</v>
      </c>
      <c r="G134" s="1">
        <f t="shared" ref="G134" si="138">G78/((F12+G12)/2)</f>
        <v>5.2629590766002101</v>
      </c>
      <c r="H134" s="1">
        <f t="shared" ref="H134" si="139">H78/((G12+H12)/2)</f>
        <v>6.7158802638254693</v>
      </c>
      <c r="I134" s="1">
        <f t="shared" ref="I134" si="140">I78/((H12+I12)/2)</f>
        <v>8.7331343283582097</v>
      </c>
      <c r="J134" s="1">
        <f t="shared" ref="J134" si="141">J78/((I12+J12)/2)</f>
        <v>10.267432950191571</v>
      </c>
      <c r="K134" s="1">
        <f t="shared" ref="K134" si="142">K78/((J12+K12)/2)</f>
        <v>15.353300055463118</v>
      </c>
      <c r="L134" s="12">
        <f t="shared" si="136"/>
        <v>8.5274439557865556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 t="e">
        <f>B78/(B15-B48)</f>
        <v>#DIV/0!</v>
      </c>
      <c r="C135" s="1" t="e">
        <f t="shared" ref="C135:E135" si="143">C78/((B15+C15-B48-C48)/2)</f>
        <v>#DIV/0!</v>
      </c>
      <c r="D135" s="1" t="e">
        <f t="shared" si="143"/>
        <v>#DIV/0!</v>
      </c>
      <c r="E135" s="1" t="e">
        <f t="shared" si="143"/>
        <v>#DIV/0!</v>
      </c>
      <c r="F135" s="1">
        <f>F78/((E15+F15-E48-F48))</f>
        <v>-12.293067226890756</v>
      </c>
      <c r="G135" s="1">
        <f t="shared" ref="G135" si="144">G78/((F15+G15-F48-G48)/2)</f>
        <v>-7.519640179910045</v>
      </c>
      <c r="H135" s="1">
        <f t="shared" ref="H135" si="145">H78/((G15+H15-G48-H48)/2)</f>
        <v>-7.2710793737984067</v>
      </c>
      <c r="I135" s="1">
        <f t="shared" ref="I135" si="146">I78/((H15+I15-H48-I48)/2)</f>
        <v>-11.792019347037485</v>
      </c>
      <c r="J135" s="1">
        <f t="shared" ref="J135" si="147">J78/((I15+J15-I48-J48)/2)</f>
        <v>-11.264396805380413</v>
      </c>
      <c r="K135" s="1">
        <f t="shared" ref="K135" si="148">K78/((J15+K15-J48-K48)/2)</f>
        <v>-9.8899607002500893</v>
      </c>
      <c r="L135" s="12">
        <f t="shared" si="136"/>
        <v>-10.005027272211199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 t="e">
        <f>B78/(B26)</f>
        <v>#DIV/0!</v>
      </c>
      <c r="C136" s="1" t="e">
        <f t="shared" ref="C136:E136" si="149">C78/((B26+C26)/2)</f>
        <v>#DIV/0!</v>
      </c>
      <c r="D136" s="1" t="e">
        <f t="shared" si="149"/>
        <v>#DIV/0!</v>
      </c>
      <c r="E136" s="1" t="e">
        <f t="shared" si="149"/>
        <v>#DIV/0!</v>
      </c>
      <c r="F136" s="1">
        <f>F78/((E26+F26))</f>
        <v>0.58646955650212984</v>
      </c>
      <c r="G136" s="1">
        <f t="shared" ref="G136" si="150">G78/((F26+G26)/2)</f>
        <v>0.60081456636320074</v>
      </c>
      <c r="H136" s="1">
        <f t="shared" ref="H136" si="151">H78/((G26+H26)/2)</f>
        <v>0.58260161528135379</v>
      </c>
      <c r="I136" s="1">
        <f t="shared" ref="I136" si="152">I78/((H26+I26)/2)</f>
        <v>0.58609291423763443</v>
      </c>
      <c r="J136" s="1">
        <f t="shared" ref="J136" si="153">J78/((I26+J26)/2)</f>
        <v>0.4858847206860914</v>
      </c>
      <c r="K136" s="1">
        <f t="shared" ref="K136" si="154">K78/((J26+K26)/2)</f>
        <v>0.45875938416665285</v>
      </c>
      <c r="L136" s="12">
        <f t="shared" si="136"/>
        <v>0.55010379287284383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 t="e">
        <f>B78/B38</f>
        <v>#DIV/0!</v>
      </c>
      <c r="C137" s="1" t="e">
        <f t="shared" ref="C137:E137" si="155">C78/((B38+C38)/2)</f>
        <v>#DIV/0!</v>
      </c>
      <c r="D137" s="1" t="e">
        <f t="shared" si="155"/>
        <v>#DIV/0!</v>
      </c>
      <c r="E137" s="1" t="e">
        <f t="shared" si="155"/>
        <v>#DIV/0!</v>
      </c>
      <c r="F137" s="1">
        <f>F78/((E38+F38))</f>
        <v>0.34345835534425073</v>
      </c>
      <c r="G137" s="1">
        <f t="shared" ref="G137" si="156">G78/((F38+G38)/2)</f>
        <v>0.36409832019396898</v>
      </c>
      <c r="H137" s="1">
        <f t="shared" ref="H137" si="157">H78/((G38+H38)/2)</f>
        <v>0.37060264576188146</v>
      </c>
      <c r="I137" s="1">
        <f t="shared" ref="I137" si="158">I78/((H38+I38)/2)</f>
        <v>0.37753574562535486</v>
      </c>
      <c r="J137" s="1">
        <f t="shared" ref="J137" si="159">J78/((I38+J38)/2)</f>
        <v>0.3197661237396337</v>
      </c>
      <c r="K137" s="1">
        <f t="shared" ref="K137" si="160">K78/((J38+K38)/2)</f>
        <v>0.31113858604023831</v>
      </c>
      <c r="L137" s="12">
        <f t="shared" si="136"/>
        <v>0.34776662945088793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 t="e">
        <f t="shared" ref="B145:K145" si="161">(B$42+B$50)/(B$42+B$50+B$57+B$62)</f>
        <v>#DIV/0!</v>
      </c>
      <c r="C145" s="7" t="e">
        <f t="shared" si="161"/>
        <v>#DIV/0!</v>
      </c>
      <c r="D145" s="7" t="e">
        <f t="shared" si="161"/>
        <v>#DIV/0!</v>
      </c>
      <c r="E145" s="7" t="e">
        <f t="shared" si="161"/>
        <v>#DIV/0!</v>
      </c>
      <c r="F145" s="7">
        <f t="shared" si="161"/>
        <v>0.48297342192691028</v>
      </c>
      <c r="G145" s="7">
        <f>(G$42+G$50)/(G$42+G$50+G$57+G$62)</f>
        <v>0.4639319194202513</v>
      </c>
      <c r="H145" s="7">
        <f t="shared" si="161"/>
        <v>0.48132657869934026</v>
      </c>
      <c r="I145" s="7">
        <f t="shared" si="161"/>
        <v>0.50746803069053703</v>
      </c>
      <c r="J145" s="7">
        <f t="shared" si="161"/>
        <v>0.50323822038670918</v>
      </c>
      <c r="K145" s="7">
        <f t="shared" si="161"/>
        <v>0.50389264054367933</v>
      </c>
      <c r="L145" s="7">
        <f t="shared" ref="L145:L148" si="162">AVERAGE(F145:K145)</f>
        <v>0.4904718019445713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 t="e">
        <f t="shared" ref="B146:K146" si="163">B$57/(B$42+B$50+B$57+B$62)</f>
        <v>#DIV/0!</v>
      </c>
      <c r="C146" s="7" t="e">
        <f t="shared" si="163"/>
        <v>#DIV/0!</v>
      </c>
      <c r="D146" s="7" t="e">
        <f t="shared" si="163"/>
        <v>#DIV/0!</v>
      </c>
      <c r="E146" s="7" t="e">
        <f t="shared" si="163"/>
        <v>#DIV/0!</v>
      </c>
      <c r="F146" s="7">
        <f t="shared" si="163"/>
        <v>0</v>
      </c>
      <c r="G146" s="7">
        <f>G$57/(G$42+G$50+G$57+G$62)</f>
        <v>0</v>
      </c>
      <c r="H146" s="7">
        <f t="shared" si="163"/>
        <v>0</v>
      </c>
      <c r="I146" s="7">
        <f t="shared" si="163"/>
        <v>0</v>
      </c>
      <c r="J146" s="7">
        <f t="shared" si="163"/>
        <v>0</v>
      </c>
      <c r="K146" s="7">
        <f t="shared" si="163"/>
        <v>0</v>
      </c>
      <c r="L146" s="7">
        <f t="shared" si="162"/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 t="e">
        <f t="shared" ref="B147:K147" si="164">B$62/(B$42+B$50+B$57+B$62)</f>
        <v>#DIV/0!</v>
      </c>
      <c r="C147" s="16" t="e">
        <f t="shared" si="164"/>
        <v>#DIV/0!</v>
      </c>
      <c r="D147" s="16" t="e">
        <f t="shared" si="164"/>
        <v>#DIV/0!</v>
      </c>
      <c r="E147" s="16" t="e">
        <f t="shared" si="164"/>
        <v>#DIV/0!</v>
      </c>
      <c r="F147" s="16">
        <f t="shared" si="164"/>
        <v>0.51702657807308972</v>
      </c>
      <c r="G147" s="16">
        <f>G$62/(G$42+G$50+G$57+G$62)</f>
        <v>0.53606808057974864</v>
      </c>
      <c r="H147" s="16">
        <f t="shared" si="164"/>
        <v>0.51867342130065974</v>
      </c>
      <c r="I147" s="16">
        <f t="shared" si="164"/>
        <v>0.49253196930946291</v>
      </c>
      <c r="J147" s="16">
        <f t="shared" si="164"/>
        <v>0.49676177961329077</v>
      </c>
      <c r="K147" s="16">
        <f t="shared" si="164"/>
        <v>0.49610735945632073</v>
      </c>
      <c r="L147" s="7">
        <f t="shared" si="162"/>
        <v>0.5095281980554287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 t="e">
        <f>SUM(B145:B147)</f>
        <v>#DIV/0!</v>
      </c>
      <c r="C148" s="7" t="e">
        <f t="shared" ref="C148:K148" si="165">SUM(C145:C147)</f>
        <v>#DIV/0!</v>
      </c>
      <c r="D148" s="7" t="e">
        <f t="shared" si="165"/>
        <v>#DIV/0!</v>
      </c>
      <c r="E148" s="7" t="e">
        <f t="shared" si="165"/>
        <v>#DIV/0!</v>
      </c>
      <c r="F148" s="7">
        <f t="shared" si="165"/>
        <v>1</v>
      </c>
      <c r="G148" s="7">
        <f t="shared" si="165"/>
        <v>1</v>
      </c>
      <c r="H148" s="7">
        <f t="shared" si="165"/>
        <v>1</v>
      </c>
      <c r="I148" s="7">
        <f t="shared" si="165"/>
        <v>1</v>
      </c>
      <c r="J148" s="7">
        <f t="shared" si="165"/>
        <v>1</v>
      </c>
      <c r="K148" s="7">
        <f t="shared" si="165"/>
        <v>1</v>
      </c>
      <c r="L148" s="7">
        <f t="shared" si="162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 t="e">
        <f t="shared" ref="B151:K151" si="166">B$43/(B$43+B$42+B$50+B$57+B$62)</f>
        <v>#DIV/0!</v>
      </c>
      <c r="C151" s="7" t="e">
        <f t="shared" si="166"/>
        <v>#DIV/0!</v>
      </c>
      <c r="D151" s="7" t="e">
        <f t="shared" si="166"/>
        <v>#DIV/0!</v>
      </c>
      <c r="E151" s="7" t="e">
        <f t="shared" si="166"/>
        <v>#DIV/0!</v>
      </c>
      <c r="F151" s="7">
        <f t="shared" si="166"/>
        <v>1.7677454446559694E-2</v>
      </c>
      <c r="G151" s="7">
        <f>G$43/(G$43+G$42+G$50+G$57+G$62)</f>
        <v>4.8037974683544302E-2</v>
      </c>
      <c r="H151" s="7">
        <f t="shared" si="166"/>
        <v>2.9665618748213777E-2</v>
      </c>
      <c r="I151" s="7">
        <f t="shared" si="166"/>
        <v>1.446791349498412E-2</v>
      </c>
      <c r="J151" s="7">
        <f t="shared" si="166"/>
        <v>3.7622510275055331E-2</v>
      </c>
      <c r="K151" s="7">
        <f t="shared" si="166"/>
        <v>3.5391253837855782E-2</v>
      </c>
      <c r="L151" s="7">
        <f t="shared" ref="L151:L155" si="167">AVERAGE(F151:K151)</f>
        <v>3.0477120914368837E-2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 t="e">
        <f t="shared" ref="B152:K152" si="168">(B$42+B$50)/(B$43+B$42+B$50+B$57+B$62)</f>
        <v>#DIV/0!</v>
      </c>
      <c r="C152" s="7" t="e">
        <f t="shared" si="168"/>
        <v>#DIV/0!</v>
      </c>
      <c r="D152" s="7" t="e">
        <f t="shared" si="168"/>
        <v>#DIV/0!</v>
      </c>
      <c r="E152" s="7" t="e">
        <f t="shared" si="168"/>
        <v>#DIV/0!</v>
      </c>
      <c r="F152" s="7">
        <f t="shared" si="168"/>
        <v>0.47443568126189828</v>
      </c>
      <c r="G152" s="7">
        <f>(G$42+G$50)/(G$43+G$42+G$50+G$57+G$62)</f>
        <v>0.44164556962025314</v>
      </c>
      <c r="H152" s="7">
        <f t="shared" si="168"/>
        <v>0.46704772792226351</v>
      </c>
      <c r="I152" s="7">
        <f t="shared" si="168"/>
        <v>0.50012602712103649</v>
      </c>
      <c r="J152" s="7">
        <f t="shared" si="168"/>
        <v>0.48430513526940971</v>
      </c>
      <c r="K152" s="7">
        <f t="shared" si="168"/>
        <v>0.48605924819517055</v>
      </c>
      <c r="L152" s="7">
        <f t="shared" si="167"/>
        <v>0.47560323156500534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 t="e">
        <f t="shared" ref="B153:K153" si="169">B$57/(B$43+B$42+B$50+B$57+B$62)</f>
        <v>#DIV/0!</v>
      </c>
      <c r="C153" s="7" t="e">
        <f t="shared" si="169"/>
        <v>#DIV/0!</v>
      </c>
      <c r="D153" s="7" t="e">
        <f t="shared" si="169"/>
        <v>#DIV/0!</v>
      </c>
      <c r="E153" s="7" t="e">
        <f t="shared" si="169"/>
        <v>#DIV/0!</v>
      </c>
      <c r="F153" s="7">
        <f t="shared" si="169"/>
        <v>0</v>
      </c>
      <c r="G153" s="7">
        <f>G$57/(G$43+G$42+G$50+G$57+G$62)</f>
        <v>0</v>
      </c>
      <c r="H153" s="7">
        <f t="shared" si="169"/>
        <v>0</v>
      </c>
      <c r="I153" s="7">
        <f t="shared" si="169"/>
        <v>0</v>
      </c>
      <c r="J153" s="7">
        <f t="shared" si="169"/>
        <v>0</v>
      </c>
      <c r="K153" s="7">
        <f t="shared" si="169"/>
        <v>0</v>
      </c>
      <c r="L153" s="7">
        <f t="shared" si="167"/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 t="e">
        <f t="shared" ref="B154:K154" si="170">B$62/(B$43+B$42+B$50+B$57+B$62)</f>
        <v>#DIV/0!</v>
      </c>
      <c r="C154" s="16" t="e">
        <f t="shared" si="170"/>
        <v>#DIV/0!</v>
      </c>
      <c r="D154" s="16" t="e">
        <f t="shared" si="170"/>
        <v>#DIV/0!</v>
      </c>
      <c r="E154" s="16" t="e">
        <f t="shared" si="170"/>
        <v>#DIV/0!</v>
      </c>
      <c r="F154" s="16">
        <f t="shared" si="170"/>
        <v>0.50788686429154206</v>
      </c>
      <c r="G154" s="16">
        <f>G$62/(G$43+G$42+G$50+G$57+G$62)</f>
        <v>0.51031645569620254</v>
      </c>
      <c r="H154" s="16">
        <f t="shared" si="170"/>
        <v>0.50328665332952272</v>
      </c>
      <c r="I154" s="16">
        <f t="shared" si="170"/>
        <v>0.4854060593839794</v>
      </c>
      <c r="J154" s="16">
        <f t="shared" si="170"/>
        <v>0.47807235445553498</v>
      </c>
      <c r="K154" s="16">
        <f t="shared" si="170"/>
        <v>0.47854949796697371</v>
      </c>
      <c r="L154" s="7">
        <f t="shared" si="167"/>
        <v>0.49391964752062584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 t="e">
        <f>SUM(B151:B154)</f>
        <v>#DIV/0!</v>
      </c>
      <c r="C155" s="7" t="e">
        <f t="shared" ref="C155:K155" si="171">SUM(C151:C154)</f>
        <v>#DIV/0!</v>
      </c>
      <c r="D155" s="7" t="e">
        <f t="shared" si="171"/>
        <v>#DIV/0!</v>
      </c>
      <c r="E155" s="7" t="e">
        <f t="shared" si="171"/>
        <v>#DIV/0!</v>
      </c>
      <c r="F155" s="7">
        <f t="shared" si="171"/>
        <v>1</v>
      </c>
      <c r="G155" s="7">
        <f t="shared" si="171"/>
        <v>1</v>
      </c>
      <c r="H155" s="7">
        <f t="shared" si="171"/>
        <v>1</v>
      </c>
      <c r="I155" s="7">
        <f t="shared" si="171"/>
        <v>1</v>
      </c>
      <c r="J155" s="7">
        <f t="shared" si="171"/>
        <v>1</v>
      </c>
      <c r="K155" s="7">
        <f t="shared" si="171"/>
        <v>1</v>
      </c>
      <c r="L155" s="7">
        <f t="shared" si="167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61"/>
  <sheetViews>
    <sheetView topLeftCell="A73" workbookViewId="0">
      <pane xSplit="3" topLeftCell="K1" activePane="topRight" state="frozen"/>
      <selection activeCell="A7" sqref="A7"/>
      <selection pane="topRight" activeCell="A7" sqref="A7"/>
    </sheetView>
  </sheetViews>
  <sheetFormatPr defaultRowHeight="15"/>
  <cols>
    <col min="1" max="1" width="25.7109375" customWidth="1"/>
    <col min="2" max="3" width="9.140625" hidden="1" customWidth="1"/>
    <col min="4" max="4" width="9.5703125" hidden="1" customWidth="1"/>
    <col min="5" max="5" width="0" hidden="1" customWidth="1"/>
    <col min="6" max="12" width="10.7109375" customWidth="1"/>
    <col min="13" max="13" width="8.42578125" customWidth="1"/>
    <col min="14" max="14" width="32.28515625" bestFit="1" customWidth="1"/>
    <col min="15" max="16" width="9.140625" hidden="1" customWidth="1"/>
    <col min="17" max="18" width="0" hidden="1" customWidth="1"/>
    <col min="19" max="24" width="9.7109375" customWidth="1"/>
    <col min="25" max="25" width="11.140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27" t="s">
        <v>125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SCANA Corp</v>
      </c>
      <c r="O3" s="2"/>
      <c r="P3" s="2"/>
      <c r="Q3" s="2"/>
      <c r="R3" s="2"/>
      <c r="S3" s="2"/>
      <c r="T3" s="2"/>
      <c r="U3" s="2"/>
      <c r="V3" s="2"/>
      <c r="W3" s="2"/>
      <c r="X3" s="2"/>
      <c r="Y3" s="10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10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10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10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"/>
      <c r="C11" s="22">
        <f>374</f>
        <v>374</v>
      </c>
      <c r="D11" s="137">
        <f>117</f>
        <v>117</v>
      </c>
      <c r="E11" s="137">
        <f>119</f>
        <v>119</v>
      </c>
      <c r="F11" s="137">
        <f>62</f>
        <v>62</v>
      </c>
      <c r="G11" s="137">
        <f>201</f>
        <v>201</v>
      </c>
      <c r="H11" s="137">
        <v>134</v>
      </c>
      <c r="I11" s="11">
        <v>272</v>
      </c>
      <c r="J11" s="11">
        <v>162</v>
      </c>
      <c r="K11" s="11">
        <v>55</v>
      </c>
      <c r="L11" s="7">
        <f>RATE(5,,-F11,K11)</f>
        <v>-2.367547231397665E-2</v>
      </c>
      <c r="M11" s="1"/>
      <c r="N11" s="1" t="str">
        <f>A11</f>
        <v>Cash &amp; Equivalents</v>
      </c>
      <c r="O11" s="7" t="e">
        <f t="shared" ref="O11:X15" si="2">B11/B$38</f>
        <v>#DIV/0!</v>
      </c>
      <c r="P11" s="7">
        <f t="shared" si="2"/>
        <v>4.632152588555858E-2</v>
      </c>
      <c r="Q11" s="7">
        <f t="shared" si="2"/>
        <v>1.3833057460392527E-2</v>
      </c>
      <c r="R11" s="7">
        <f t="shared" si="2"/>
        <v>1.3213413280035531E-2</v>
      </c>
      <c r="S11" s="7">
        <f t="shared" si="2"/>
        <v>6.513289211051581E-3</v>
      </c>
      <c r="T11" s="7">
        <f t="shared" si="2"/>
        <v>2.0474686767851687E-2</v>
      </c>
      <c r="U11" s="7">
        <f t="shared" si="2"/>
        <v>1.3182488932611904E-2</v>
      </c>
      <c r="V11" s="7">
        <f t="shared" si="2"/>
        <v>2.3648061206746653E-2</v>
      </c>
      <c r="W11" s="7">
        <f t="shared" si="2"/>
        <v>1.3395071936497437E-2</v>
      </c>
      <c r="X11" s="7">
        <f t="shared" si="2"/>
        <v>4.2412091301665634E-3</v>
      </c>
      <c r="Y11" s="7">
        <f>SUM(F11:K11)/SUM(F$38:K$38)</f>
        <v>1.3411034587149019E-2</v>
      </c>
      <c r="Z11" s="189"/>
    </row>
    <row r="12" spans="1:26">
      <c r="A12" s="1" t="s">
        <v>13</v>
      </c>
      <c r="B12" s="1"/>
      <c r="C12" s="22">
        <f>481+8</f>
        <v>489</v>
      </c>
      <c r="D12" s="137">
        <f>503  +13</f>
        <v>516</v>
      </c>
      <c r="E12" s="137">
        <f>712 +19</f>
        <v>731</v>
      </c>
      <c r="F12" s="137">
        <f>881+24</f>
        <v>905</v>
      </c>
      <c r="G12" s="137">
        <f>655+32</f>
        <v>687</v>
      </c>
      <c r="H12" s="137">
        <f>641+29</f>
        <v>670</v>
      </c>
      <c r="I12" s="11">
        <v>828</v>
      </c>
      <c r="J12" s="11">
        <v>694</v>
      </c>
      <c r="K12" s="11">
        <v>837</v>
      </c>
      <c r="L12" s="7">
        <f t="shared" ref="L12:L15" si="3">RATE(5,,-F12,K12)</f>
        <v>-1.5500781435864027E-2</v>
      </c>
      <c r="M12" s="1"/>
      <c r="N12" s="1" t="str">
        <f>A12</f>
        <v>Accounts Receivable</v>
      </c>
      <c r="O12" s="7" t="e">
        <f t="shared" si="2"/>
        <v>#DIV/0!</v>
      </c>
      <c r="P12" s="7">
        <f t="shared" si="2"/>
        <v>6.0564775823631407E-2</v>
      </c>
      <c r="Q12" s="7">
        <f t="shared" si="2"/>
        <v>6.1007330338141402E-2</v>
      </c>
      <c r="R12" s="7">
        <f t="shared" si="2"/>
        <v>8.1168110148789691E-2</v>
      </c>
      <c r="S12" s="7">
        <f t="shared" si="2"/>
        <v>9.5073011870994859E-2</v>
      </c>
      <c r="T12" s="7">
        <f t="shared" si="2"/>
        <v>6.9980645818478154E-2</v>
      </c>
      <c r="U12" s="7">
        <f t="shared" si="2"/>
        <v>6.5912444663059525E-2</v>
      </c>
      <c r="V12" s="7">
        <f t="shared" si="2"/>
        <v>7.1987480438184662E-2</v>
      </c>
      <c r="W12" s="7">
        <f t="shared" si="2"/>
        <v>5.7383826690921118E-2</v>
      </c>
      <c r="X12" s="7">
        <f t="shared" si="2"/>
        <v>6.4543491671807521E-2</v>
      </c>
      <c r="Y12" s="7">
        <f t="shared" ref="Y12:Y15" si="4">SUM(F12:K12)/SUM(F$38:K$38)</f>
        <v>6.9946265042004088E-2</v>
      </c>
      <c r="Z12" s="189"/>
    </row>
    <row r="13" spans="1:26">
      <c r="A13" s="1" t="s">
        <v>14</v>
      </c>
      <c r="B13" s="6"/>
      <c r="C13" s="22">
        <f>166+61+10</f>
        <v>237</v>
      </c>
      <c r="D13" s="137">
        <f>147  +60   +6</f>
        <v>213</v>
      </c>
      <c r="E13" s="137">
        <f>191 +70 +9</f>
        <v>270</v>
      </c>
      <c r="F13" s="137">
        <f>284+79+54</f>
        <v>417</v>
      </c>
      <c r="G13" s="137">
        <f>93+22+300</f>
        <v>415</v>
      </c>
      <c r="H13" s="137">
        <f>286+107+33</f>
        <v>426</v>
      </c>
      <c r="I13" s="11">
        <f>358+108+15</f>
        <v>481</v>
      </c>
      <c r="J13" s="11">
        <f>376+115</f>
        <v>491</v>
      </c>
      <c r="K13" s="11">
        <f>316+125</f>
        <v>441</v>
      </c>
      <c r="L13" s="7">
        <f t="shared" si="3"/>
        <v>1.1254592439536805E-2</v>
      </c>
      <c r="M13" s="1"/>
      <c r="N13" s="1" t="str">
        <f>A13</f>
        <v>Material, Supplies, Fuel</v>
      </c>
      <c r="O13" s="7" t="e">
        <f t="shared" si="2"/>
        <v>#DIV/0!</v>
      </c>
      <c r="P13" s="7">
        <f t="shared" si="2"/>
        <v>2.9353480307158782E-2</v>
      </c>
      <c r="Q13" s="7">
        <f t="shared" si="2"/>
        <v>2.5183258453535116E-2</v>
      </c>
      <c r="R13" s="7">
        <f t="shared" si="2"/>
        <v>2.9980013324450366E-2</v>
      </c>
      <c r="S13" s="7">
        <f t="shared" si="2"/>
        <v>4.3807122596911441E-2</v>
      </c>
      <c r="T13" s="7">
        <f t="shared" si="2"/>
        <v>4.2273607008250995E-2</v>
      </c>
      <c r="U13" s="7">
        <f t="shared" si="2"/>
        <v>4.1908509591736351E-2</v>
      </c>
      <c r="V13" s="7">
        <f t="shared" si="2"/>
        <v>4.18188141192836E-2</v>
      </c>
      <c r="W13" s="7">
        <f t="shared" si="2"/>
        <v>4.0598643955680504E-2</v>
      </c>
      <c r="X13" s="7">
        <f t="shared" si="2"/>
        <v>3.4006785934608263E-2</v>
      </c>
      <c r="Y13" s="7">
        <f t="shared" si="4"/>
        <v>4.0429879663967307E-2</v>
      </c>
      <c r="Z13" s="189"/>
    </row>
    <row r="14" spans="1:26">
      <c r="A14" s="1" t="s">
        <v>15</v>
      </c>
      <c r="B14" s="6"/>
      <c r="C14" s="22">
        <f>40</f>
        <v>40</v>
      </c>
      <c r="D14" s="137">
        <f>47</f>
        <v>47</v>
      </c>
      <c r="E14" s="137">
        <f>52+10</f>
        <v>62</v>
      </c>
      <c r="F14" s="137">
        <f>54+26</f>
        <v>80</v>
      </c>
      <c r="G14" s="137">
        <f>39+34</f>
        <v>73</v>
      </c>
      <c r="H14" s="137">
        <f>62+9</f>
        <v>71</v>
      </c>
      <c r="I14" s="11">
        <f>232+23</f>
        <v>255</v>
      </c>
      <c r="J14" s="11">
        <v>174</v>
      </c>
      <c r="K14" s="11">
        <f>21+271+6</f>
        <v>298</v>
      </c>
      <c r="L14" s="7">
        <f t="shared" si="3"/>
        <v>0.30084411159772867</v>
      </c>
      <c r="M14" s="1"/>
      <c r="N14" s="1" t="str">
        <f>A14</f>
        <v>Other Current Assets</v>
      </c>
      <c r="O14" s="7" t="e">
        <f t="shared" si="2"/>
        <v>#DIV/0!</v>
      </c>
      <c r="P14" s="7">
        <f t="shared" si="2"/>
        <v>4.9541738915035915E-3</v>
      </c>
      <c r="Q14" s="7">
        <f t="shared" si="2"/>
        <v>5.5568692362260586E-3</v>
      </c>
      <c r="R14" s="7">
        <f t="shared" si="2"/>
        <v>6.8842993559848987E-3</v>
      </c>
      <c r="S14" s="7">
        <f t="shared" si="2"/>
        <v>8.4042441432923623E-3</v>
      </c>
      <c r="T14" s="7">
        <f t="shared" si="2"/>
        <v>7.4360802689212588E-3</v>
      </c>
      <c r="U14" s="7">
        <f t="shared" si="2"/>
        <v>6.9847515986227252E-3</v>
      </c>
      <c r="V14" s="7">
        <f t="shared" si="2"/>
        <v>2.2170057381324985E-2</v>
      </c>
      <c r="W14" s="7">
        <f t="shared" si="2"/>
        <v>1.43872994873491E-2</v>
      </c>
      <c r="X14" s="7">
        <f t="shared" si="2"/>
        <v>2.2979642196175199E-2</v>
      </c>
      <c r="Y14" s="7">
        <f t="shared" si="4"/>
        <v>1.4394914099750246E-2</v>
      </c>
      <c r="Z14" s="189"/>
    </row>
    <row r="15" spans="1:26">
      <c r="A15" s="1" t="s">
        <v>16</v>
      </c>
      <c r="B15" s="1">
        <f>SUM(B10:B14)</f>
        <v>0</v>
      </c>
      <c r="C15" s="22">
        <f t="shared" ref="C15:H15" si="5">SUM(C10:C14)</f>
        <v>1140</v>
      </c>
      <c r="D15" s="137">
        <f t="shared" si="5"/>
        <v>893</v>
      </c>
      <c r="E15" s="137">
        <f t="shared" si="5"/>
        <v>1182</v>
      </c>
      <c r="F15" s="137">
        <f t="shared" si="5"/>
        <v>1464</v>
      </c>
      <c r="G15" s="137">
        <f t="shared" si="5"/>
        <v>1376</v>
      </c>
      <c r="H15" s="137">
        <f t="shared" si="5"/>
        <v>1301</v>
      </c>
      <c r="I15" s="11">
        <f t="shared" ref="I15" si="6">SUM(I10:I14)</f>
        <v>1836</v>
      </c>
      <c r="J15" s="11">
        <f>SUM(J10:J14)</f>
        <v>1521</v>
      </c>
      <c r="K15" s="11">
        <f>SUM(K10:K14)</f>
        <v>1631</v>
      </c>
      <c r="L15" s="7">
        <f t="shared" si="3"/>
        <v>2.1839241664841975E-2</v>
      </c>
      <c r="M15" s="1"/>
      <c r="N15" s="1" t="str">
        <f>A15</f>
        <v>Total Current Assets</v>
      </c>
      <c r="O15" s="7" t="e">
        <f t="shared" si="2"/>
        <v>#DIV/0!</v>
      </c>
      <c r="P15" s="7">
        <f t="shared" si="2"/>
        <v>0.14119395590785236</v>
      </c>
      <c r="Q15" s="7">
        <f t="shared" si="2"/>
        <v>0.1055805154882951</v>
      </c>
      <c r="R15" s="7">
        <f t="shared" si="2"/>
        <v>0.13124583610926049</v>
      </c>
      <c r="S15" s="7">
        <f t="shared" si="2"/>
        <v>0.15379766782225024</v>
      </c>
      <c r="T15" s="7">
        <f t="shared" si="2"/>
        <v>0.14016501986350208</v>
      </c>
      <c r="U15" s="7">
        <f t="shared" si="2"/>
        <v>0.12798819478603049</v>
      </c>
      <c r="V15" s="7">
        <f t="shared" si="2"/>
        <v>0.15962441314553991</v>
      </c>
      <c r="W15" s="7">
        <f t="shared" si="2"/>
        <v>0.12576484207044816</v>
      </c>
      <c r="X15" s="7">
        <f t="shared" si="2"/>
        <v>0.12577112893275755</v>
      </c>
      <c r="Y15" s="7">
        <f t="shared" si="4"/>
        <v>0.13818209339287066</v>
      </c>
      <c r="Z15" s="189"/>
    </row>
    <row r="16" spans="1:26">
      <c r="A16" s="1"/>
      <c r="B16" s="1"/>
      <c r="C16" s="22"/>
      <c r="D16" s="137"/>
      <c r="E16" s="137"/>
      <c r="F16" s="137"/>
      <c r="G16" s="137"/>
      <c r="H16" s="137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"/>
      <c r="C17" s="22"/>
      <c r="D17" s="137"/>
      <c r="E17" s="137"/>
      <c r="F17" s="137"/>
      <c r="G17" s="137"/>
      <c r="H17" s="137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"/>
      <c r="C18" s="22">
        <f>5228+1593</f>
        <v>6821</v>
      </c>
      <c r="D18" s="137">
        <f>7438</f>
        <v>7438</v>
      </c>
      <c r="E18" s="137">
        <f>8373</f>
        <v>8373</v>
      </c>
      <c r="F18" s="137">
        <f>8999</f>
        <v>8999</v>
      </c>
      <c r="G18" s="137">
        <f>9227</f>
        <v>9227</v>
      </c>
      <c r="H18" s="137">
        <v>9807</v>
      </c>
      <c r="I18" s="11">
        <v>10433</v>
      </c>
      <c r="J18" s="136">
        <v>10835</v>
      </c>
      <c r="K18" s="136">
        <v>11714</v>
      </c>
      <c r="L18" s="7">
        <f t="shared" ref="L18:L20" si="7">RATE(5,,-F18,K18)</f>
        <v>5.4149467168733513E-2</v>
      </c>
      <c r="M18" s="1"/>
      <c r="N18" s="1" t="str">
        <f>A18</f>
        <v xml:space="preserve">  Domestic Electric Plant in Service</v>
      </c>
      <c r="O18" s="7" t="e">
        <f t="shared" ref="O18:X22" si="8">B18/B$38</f>
        <v>#DIV/0!</v>
      </c>
      <c r="P18" s="7">
        <f t="shared" si="8"/>
        <v>0.84481050284865</v>
      </c>
      <c r="Q18" s="7">
        <f t="shared" si="8"/>
        <v>0.87940411444786004</v>
      </c>
      <c r="R18" s="7">
        <f t="shared" si="8"/>
        <v>0.92971352431712195</v>
      </c>
      <c r="S18" s="7">
        <f t="shared" si="8"/>
        <v>0.94537241306859965</v>
      </c>
      <c r="T18" s="7">
        <f t="shared" si="8"/>
        <v>0.93990017316899255</v>
      </c>
      <c r="U18" s="7">
        <f t="shared" si="8"/>
        <v>0.96478111165764879</v>
      </c>
      <c r="V18" s="7">
        <f t="shared" si="8"/>
        <v>0.90705964180142584</v>
      </c>
      <c r="W18" s="7">
        <f t="shared" si="8"/>
        <v>0.8958987927898131</v>
      </c>
      <c r="X18" s="7">
        <f t="shared" si="8"/>
        <v>0.90330043183220232</v>
      </c>
      <c r="Y18" s="7">
        <f t="shared" ref="Y18:Y22" si="9">SUM(F18:K18)/SUM(F$38:K$38)</f>
        <v>0.92356013017482785</v>
      </c>
      <c r="Z18" s="189"/>
    </row>
    <row r="19" spans="1:26">
      <c r="A19" s="1" t="s">
        <v>19</v>
      </c>
      <c r="B19" s="1"/>
      <c r="C19" s="22">
        <f>677</f>
        <v>677</v>
      </c>
      <c r="D19" s="137">
        <f>987</f>
        <v>987</v>
      </c>
      <c r="E19" s="137">
        <f>432</f>
        <v>432</v>
      </c>
      <c r="F19" s="137">
        <f>175</f>
        <v>175</v>
      </c>
      <c r="G19" s="137">
        <f>326</f>
        <v>326</v>
      </c>
      <c r="H19" s="137">
        <v>400</v>
      </c>
      <c r="I19" s="11">
        <v>711</v>
      </c>
      <c r="J19" s="136">
        <v>1149</v>
      </c>
      <c r="K19" s="136">
        <v>1081</v>
      </c>
      <c r="L19" s="7">
        <f t="shared" si="7"/>
        <v>0.43932055976522544</v>
      </c>
      <c r="M19" s="1"/>
      <c r="N19" s="1" t="str">
        <f>A19</f>
        <v xml:space="preserve">  Electric Construction Work in Progress</v>
      </c>
      <c r="O19" s="7" t="e">
        <f t="shared" si="8"/>
        <v>#DIV/0!</v>
      </c>
      <c r="P19" s="7">
        <f t="shared" si="8"/>
        <v>8.3849393113698295E-2</v>
      </c>
      <c r="Q19" s="7">
        <f t="shared" si="8"/>
        <v>0.11669425396074722</v>
      </c>
      <c r="R19" s="7">
        <f t="shared" si="8"/>
        <v>4.7968021319120584E-2</v>
      </c>
      <c r="S19" s="7">
        <f t="shared" si="8"/>
        <v>1.8384284063452043E-2</v>
      </c>
      <c r="T19" s="7">
        <f t="shared" si="8"/>
        <v>3.3207700926963429E-2</v>
      </c>
      <c r="U19" s="7">
        <f t="shared" si="8"/>
        <v>3.9350713231677326E-2</v>
      </c>
      <c r="V19" s="7">
        <f t="shared" si="8"/>
        <v>6.1815336463223784E-2</v>
      </c>
      <c r="W19" s="7">
        <f t="shared" si="8"/>
        <v>9.5005787994046631E-2</v>
      </c>
      <c r="X19" s="7">
        <f t="shared" si="8"/>
        <v>8.3359037631091912E-2</v>
      </c>
      <c r="Y19" s="7">
        <f t="shared" si="9"/>
        <v>5.8154847498675548E-2</v>
      </c>
      <c r="Z19" s="189"/>
    </row>
    <row r="20" spans="1:26">
      <c r="A20" s="9" t="s">
        <v>20</v>
      </c>
      <c r="B20" s="1"/>
      <c r="C20" s="22">
        <f>184+38+230</f>
        <v>452</v>
      </c>
      <c r="D20" s="137">
        <f>42+230</f>
        <v>272</v>
      </c>
      <c r="E20" s="137">
        <f>42
 +230</f>
        <v>272</v>
      </c>
      <c r="F20" s="137">
        <f>28+230</f>
        <v>258</v>
      </c>
      <c r="G20" s="137">
        <f>230+39</f>
        <v>269</v>
      </c>
      <c r="H20" s="137">
        <f>82+230</f>
        <v>312</v>
      </c>
      <c r="I20" s="11">
        <f>77+230</f>
        <v>307</v>
      </c>
      <c r="J20" s="136">
        <f>97+230</f>
        <v>327</v>
      </c>
      <c r="K20" s="136">
        <f>132+230</f>
        <v>362</v>
      </c>
      <c r="L20" s="7">
        <f t="shared" si="7"/>
        <v>7.008375956868429E-2</v>
      </c>
      <c r="M20" s="1"/>
      <c r="N20" s="1" t="str">
        <f>A20</f>
        <v>Other Regulated PP &amp; E</v>
      </c>
      <c r="O20" s="7" t="e">
        <f t="shared" si="8"/>
        <v>#DIV/0!</v>
      </c>
      <c r="P20" s="7">
        <f t="shared" si="8"/>
        <v>5.598216497399059E-2</v>
      </c>
      <c r="Q20" s="7">
        <f t="shared" si="8"/>
        <v>3.2158902813903996E-2</v>
      </c>
      <c r="R20" s="7">
        <f>E20/E$38</f>
        <v>3.0202087497224073E-2</v>
      </c>
      <c r="S20" s="7">
        <f t="shared" si="8"/>
        <v>2.7103687362117868E-2</v>
      </c>
      <c r="T20" s="7">
        <f t="shared" si="8"/>
        <v>2.7401446470408476E-2</v>
      </c>
      <c r="U20" s="7">
        <f t="shared" si="8"/>
        <v>3.0693556320708314E-2</v>
      </c>
      <c r="V20" s="7">
        <f t="shared" si="8"/>
        <v>2.6691010259085376E-2</v>
      </c>
      <c r="W20" s="7">
        <f t="shared" si="8"/>
        <v>2.703820076070779E-2</v>
      </c>
      <c r="X20" s="7">
        <f t="shared" si="8"/>
        <v>2.7914867365823565E-2</v>
      </c>
      <c r="Y20" s="7">
        <f t="shared" si="9"/>
        <v>2.7775675471126922E-2</v>
      </c>
      <c r="Z20" s="189"/>
    </row>
    <row r="21" spans="1:26">
      <c r="A21" s="1" t="s">
        <v>21</v>
      </c>
      <c r="B21" s="1"/>
      <c r="C21" s="22"/>
      <c r="D21" s="137"/>
      <c r="E21" s="137"/>
      <c r="F21" s="137"/>
      <c r="G21" s="137"/>
      <c r="H21" s="137"/>
      <c r="I21" s="11"/>
      <c r="J21" s="136"/>
      <c r="K21" s="136"/>
      <c r="L21" s="7"/>
      <c r="M21" s="1"/>
      <c r="N21" s="1" t="str">
        <f>A21</f>
        <v>Other PP&amp;E</v>
      </c>
      <c r="O21" s="7" t="e">
        <f t="shared" si="8"/>
        <v>#DIV/0!</v>
      </c>
      <c r="P21" s="7">
        <f t="shared" si="8"/>
        <v>0</v>
      </c>
      <c r="Q21" s="7">
        <f t="shared" si="8"/>
        <v>0</v>
      </c>
      <c r="R21" s="7">
        <f>E21/E$38</f>
        <v>0</v>
      </c>
      <c r="S21" s="7">
        <f t="shared" si="8"/>
        <v>0</v>
      </c>
      <c r="T21" s="7">
        <f t="shared" si="8"/>
        <v>0</v>
      </c>
      <c r="U21" s="7">
        <f t="shared" si="8"/>
        <v>0</v>
      </c>
      <c r="V21" s="7">
        <f t="shared" si="8"/>
        <v>0</v>
      </c>
      <c r="W21" s="7">
        <f t="shared" si="8"/>
        <v>0</v>
      </c>
      <c r="X21" s="7">
        <f t="shared" si="8"/>
        <v>0</v>
      </c>
      <c r="Y21" s="7">
        <f t="shared" si="9"/>
        <v>0</v>
      </c>
      <c r="Z21" s="189"/>
    </row>
    <row r="22" spans="1:26">
      <c r="A22" s="1" t="s">
        <v>22</v>
      </c>
      <c r="B22" s="1">
        <f t="shared" ref="B22:J22" si="10">SUM(B18:B21)</f>
        <v>0</v>
      </c>
      <c r="C22" s="22">
        <f t="shared" ref="C22:H22" si="11">SUM(C18:C21)</f>
        <v>7950</v>
      </c>
      <c r="D22" s="137">
        <f t="shared" si="11"/>
        <v>8697</v>
      </c>
      <c r="E22" s="137">
        <f t="shared" si="11"/>
        <v>9077</v>
      </c>
      <c r="F22" s="137">
        <f t="shared" si="11"/>
        <v>9432</v>
      </c>
      <c r="G22" s="137">
        <f t="shared" si="11"/>
        <v>9822</v>
      </c>
      <c r="H22" s="137">
        <f t="shared" si="11"/>
        <v>10519</v>
      </c>
      <c r="I22" s="11">
        <f t="shared" si="10"/>
        <v>11451</v>
      </c>
      <c r="J22" s="11">
        <f t="shared" si="10"/>
        <v>12311</v>
      </c>
      <c r="K22" s="11">
        <f t="shared" ref="K22" si="12">SUM(K18:K21)</f>
        <v>13157</v>
      </c>
      <c r="L22" s="7">
        <f>RATE(5,,-F22,K22)</f>
        <v>6.8834876399570311E-2</v>
      </c>
      <c r="M22" s="1"/>
      <c r="N22" s="1" t="s">
        <v>23</v>
      </c>
      <c r="O22" s="7" t="e">
        <f t="shared" si="8"/>
        <v>#DIV/0!</v>
      </c>
      <c r="P22" s="7">
        <f t="shared" si="8"/>
        <v>0.98464206093633888</v>
      </c>
      <c r="Q22" s="7">
        <f t="shared" si="8"/>
        <v>1.0282572712225113</v>
      </c>
      <c r="R22" s="7">
        <f>E22/E$38</f>
        <v>1.0078836331334666</v>
      </c>
      <c r="S22" s="7">
        <f t="shared" si="8"/>
        <v>0.99086038449416958</v>
      </c>
      <c r="T22" s="7">
        <f t="shared" si="8"/>
        <v>1.0005093205663644</v>
      </c>
      <c r="U22" s="7">
        <f t="shared" si="8"/>
        <v>1.0348253812100345</v>
      </c>
      <c r="V22" s="7">
        <f t="shared" si="8"/>
        <v>0.99556598852373501</v>
      </c>
      <c r="W22" s="7">
        <f t="shared" si="8"/>
        <v>1.0179427815445676</v>
      </c>
      <c r="X22" s="7">
        <f t="shared" si="8"/>
        <v>1.0145743368291178</v>
      </c>
      <c r="Y22" s="7">
        <f t="shared" si="9"/>
        <v>1.0094906531446304</v>
      </c>
      <c r="Z22" s="189"/>
    </row>
    <row r="23" spans="1:26">
      <c r="A23" s="1"/>
      <c r="B23" s="1"/>
      <c r="C23" s="22"/>
      <c r="D23" s="137"/>
      <c r="E23" s="137"/>
      <c r="F23" s="137"/>
      <c r="G23" s="137"/>
      <c r="H23" s="137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"/>
      <c r="C24" s="22">
        <f>2151</f>
        <v>2151</v>
      </c>
      <c r="D24" s="137">
        <f>2280</f>
        <v>2280</v>
      </c>
      <c r="E24" s="137">
        <f>2315</f>
        <v>2315</v>
      </c>
      <c r="F24" s="137">
        <f>2698</f>
        <v>2698</v>
      </c>
      <c r="G24" s="137">
        <f>2815</f>
        <v>2815</v>
      </c>
      <c r="H24" s="137">
        <v>2981</v>
      </c>
      <c r="I24" s="11">
        <v>3146</v>
      </c>
      <c r="J24" s="11">
        <v>3302</v>
      </c>
      <c r="K24" s="11">
        <v>3495</v>
      </c>
      <c r="L24" s="7">
        <f>RATE(5,,-F24,K24)</f>
        <v>5.3127726566754262E-2</v>
      </c>
      <c r="M24" s="2"/>
      <c r="N24" s="1" t="str">
        <f>A24</f>
        <v>Accumulated Depreciation &amp; Amort.</v>
      </c>
      <c r="O24" s="7" t="e">
        <f t="shared" ref="O24:X24" si="13">B24/B$38</f>
        <v>#DIV/0!</v>
      </c>
      <c r="P24" s="7">
        <f t="shared" si="13"/>
        <v>0.26641070101560566</v>
      </c>
      <c r="Q24" s="7">
        <f t="shared" si="13"/>
        <v>0.26956727358713645</v>
      </c>
      <c r="R24" s="7">
        <f t="shared" si="13"/>
        <v>0.25705085498556518</v>
      </c>
      <c r="S24" s="7">
        <f t="shared" si="13"/>
        <v>0.28343313373253493</v>
      </c>
      <c r="T24" s="7">
        <f t="shared" si="13"/>
        <v>0.28674747886319651</v>
      </c>
      <c r="U24" s="7">
        <f t="shared" si="13"/>
        <v>0.29326119035907527</v>
      </c>
      <c r="V24" s="7">
        <f t="shared" si="13"/>
        <v>0.27351764910450355</v>
      </c>
      <c r="W24" s="7">
        <f t="shared" si="13"/>
        <v>0.2730279477426823</v>
      </c>
      <c r="X24" s="7">
        <f t="shared" si="13"/>
        <v>0.26950956199876619</v>
      </c>
      <c r="Y24" s="7">
        <f>SUM(F24:K24)/SUM(F$38:K$38)</f>
        <v>0.27907363959736625</v>
      </c>
      <c r="Z24" s="189"/>
    </row>
    <row r="25" spans="1:26">
      <c r="A25" s="1"/>
      <c r="B25" s="1"/>
      <c r="C25" s="22"/>
      <c r="D25" s="137"/>
      <c r="E25" s="137"/>
      <c r="F25" s="137"/>
      <c r="G25" s="137"/>
      <c r="H25" s="137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">
        <f t="shared" ref="B26:J26" si="14">B22-B24</f>
        <v>0</v>
      </c>
      <c r="C26" s="22">
        <f t="shared" si="14"/>
        <v>5799</v>
      </c>
      <c r="D26" s="137">
        <f t="shared" si="14"/>
        <v>6417</v>
      </c>
      <c r="E26" s="137">
        <f t="shared" si="14"/>
        <v>6762</v>
      </c>
      <c r="F26" s="137">
        <f t="shared" si="14"/>
        <v>6734</v>
      </c>
      <c r="G26" s="137">
        <f t="shared" si="14"/>
        <v>7007</v>
      </c>
      <c r="H26" s="137">
        <f t="shared" si="14"/>
        <v>7538</v>
      </c>
      <c r="I26" s="137">
        <f t="shared" si="14"/>
        <v>8305</v>
      </c>
      <c r="J26" s="137">
        <f t="shared" si="14"/>
        <v>9009</v>
      </c>
      <c r="K26" s="137">
        <f t="shared" ref="K26" si="15">K22-K24</f>
        <v>9662</v>
      </c>
      <c r="L26" s="7">
        <f>RATE(5,,-F26,K26)</f>
        <v>7.4877035094733993E-2</v>
      </c>
      <c r="M26" s="1"/>
      <c r="N26" s="1" t="s">
        <v>23</v>
      </c>
      <c r="O26" s="7" t="e">
        <f t="shared" ref="O26:X26" si="16">B26/B$38</f>
        <v>#DIV/0!</v>
      </c>
      <c r="P26" s="7">
        <f t="shared" si="16"/>
        <v>0.71823135992073317</v>
      </c>
      <c r="Q26" s="7">
        <f t="shared" si="16"/>
        <v>0.75868999763537481</v>
      </c>
      <c r="R26" s="7">
        <f t="shared" si="16"/>
        <v>0.75083277814790139</v>
      </c>
      <c r="S26" s="7">
        <f t="shared" si="16"/>
        <v>0.7074272507616346</v>
      </c>
      <c r="T26" s="7">
        <f t="shared" si="16"/>
        <v>0.71376184170316792</v>
      </c>
      <c r="U26" s="7">
        <f t="shared" si="16"/>
        <v>0.74156419085095915</v>
      </c>
      <c r="V26" s="7">
        <f t="shared" si="16"/>
        <v>0.72204833941923141</v>
      </c>
      <c r="W26" s="7">
        <f t="shared" si="16"/>
        <v>0.74491483380188528</v>
      </c>
      <c r="X26" s="7">
        <f t="shared" si="16"/>
        <v>0.74506477483035161</v>
      </c>
      <c r="Y26" s="7">
        <f>SUM(F26:K26)/SUM(F$38:K$38)</f>
        <v>0.73041701354726407</v>
      </c>
      <c r="Z26" s="189"/>
    </row>
    <row r="27" spans="1:26">
      <c r="A27" s="1"/>
      <c r="B27" s="1"/>
      <c r="C27" s="22"/>
      <c r="D27" s="137"/>
      <c r="E27" s="137"/>
      <c r="F27" s="137"/>
      <c r="G27" s="137"/>
      <c r="H27" s="137"/>
      <c r="I27" s="11"/>
      <c r="J27" s="11"/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"/>
      <c r="C28" s="22"/>
      <c r="D28" s="137"/>
      <c r="E28" s="137"/>
      <c r="F28" s="137"/>
      <c r="G28" s="137"/>
      <c r="H28" s="137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"/>
      <c r="C29" s="22">
        <f>292+ 87+27</f>
        <v>406</v>
      </c>
      <c r="D29" s="137">
        <f>348</f>
        <v>348</v>
      </c>
      <c r="E29" s="137">
        <f>372</f>
        <v>372</v>
      </c>
      <c r="F29" s="137">
        <f>617</f>
        <v>617</v>
      </c>
      <c r="G29" s="137">
        <f>792</f>
        <v>792</v>
      </c>
      <c r="H29" s="137">
        <v>712</v>
      </c>
      <c r="I29" s="11">
        <v>905</v>
      </c>
      <c r="J29" s="11">
        <v>985</v>
      </c>
      <c r="K29" s="11">
        <v>1061</v>
      </c>
      <c r="L29" s="7">
        <f>RATE(5,,-F29,K29)</f>
        <v>0.11451532347517115</v>
      </c>
      <c r="M29" s="1"/>
      <c r="N29" s="1" t="s">
        <v>27</v>
      </c>
      <c r="O29" s="7" t="e">
        <f t="shared" ref="O29:X36" si="17">B29/B$38</f>
        <v>#DIV/0!</v>
      </c>
      <c r="P29" s="7">
        <f t="shared" si="17"/>
        <v>5.0284864998761454E-2</v>
      </c>
      <c r="Q29" s="7">
        <f t="shared" si="17"/>
        <v>4.1144478600141879E-2</v>
      </c>
      <c r="R29" s="7">
        <f t="shared" si="17"/>
        <v>4.1305796135909394E-2</v>
      </c>
      <c r="S29" s="7">
        <f t="shared" si="17"/>
        <v>6.4817732955142343E-2</v>
      </c>
      <c r="T29" s="7">
        <f t="shared" si="17"/>
        <v>8.0676377712132014E-2</v>
      </c>
      <c r="U29" s="7">
        <f t="shared" si="17"/>
        <v>7.0044269552385643E-2</v>
      </c>
      <c r="V29" s="7">
        <f t="shared" si="17"/>
        <v>7.8681968353329856E-2</v>
      </c>
      <c r="W29" s="7">
        <f t="shared" si="17"/>
        <v>8.1445344799073921E-2</v>
      </c>
      <c r="X29" s="7">
        <f t="shared" si="17"/>
        <v>8.1816779765576803E-2</v>
      </c>
      <c r="Y29" s="7">
        <f t="shared" ref="Y29:Y36" si="18">SUM(F29:K29)/SUM(F$38:K$38)</f>
        <v>7.6772875198667975E-2</v>
      </c>
      <c r="Z29" s="189"/>
    </row>
    <row r="30" spans="1:26">
      <c r="A30" s="1" t="s">
        <v>28</v>
      </c>
      <c r="B30" s="1"/>
      <c r="C30" s="22"/>
      <c r="D30" s="137"/>
      <c r="E30" s="137"/>
      <c r="F30" s="137"/>
      <c r="G30" s="137"/>
      <c r="H30" s="137"/>
      <c r="I30" s="11"/>
      <c r="J30" s="11"/>
      <c r="K30" s="11"/>
      <c r="L30" s="7"/>
      <c r="M30" s="1"/>
      <c r="N30" s="1" t="str">
        <f>A30</f>
        <v>Intangible Assets-net</v>
      </c>
      <c r="O30" s="7" t="e">
        <f t="shared" si="17"/>
        <v>#DIV/0!</v>
      </c>
      <c r="P30" s="7">
        <f t="shared" si="17"/>
        <v>0</v>
      </c>
      <c r="Q30" s="7">
        <f t="shared" si="17"/>
        <v>0</v>
      </c>
      <c r="R30" s="7">
        <f t="shared" si="17"/>
        <v>0</v>
      </c>
      <c r="S30" s="7">
        <f t="shared" si="17"/>
        <v>0</v>
      </c>
      <c r="T30" s="7">
        <f t="shared" si="17"/>
        <v>0</v>
      </c>
      <c r="U30" s="7">
        <f t="shared" si="17"/>
        <v>0</v>
      </c>
      <c r="V30" s="7">
        <f t="shared" si="17"/>
        <v>0</v>
      </c>
      <c r="W30" s="7">
        <f t="shared" si="17"/>
        <v>0</v>
      </c>
      <c r="X30" s="7">
        <f t="shared" si="17"/>
        <v>0</v>
      </c>
      <c r="Y30" s="7">
        <f t="shared" si="18"/>
        <v>0</v>
      </c>
      <c r="Z30" s="189"/>
    </row>
    <row r="31" spans="1:26">
      <c r="A31" s="1" t="s">
        <v>29</v>
      </c>
      <c r="B31" s="1"/>
      <c r="C31" s="22">
        <f>326</f>
        <v>326</v>
      </c>
      <c r="D31" s="137">
        <f>318</f>
        <v>318</v>
      </c>
      <c r="E31" s="137">
        <f>236</f>
        <v>236</v>
      </c>
      <c r="F31" s="137">
        <f>247+303</f>
        <v>550</v>
      </c>
      <c r="G31" s="137">
        <f>276+200</f>
        <v>476</v>
      </c>
      <c r="H31" s="137">
        <f>224+275</f>
        <v>499</v>
      </c>
      <c r="I31" s="11">
        <v>316</v>
      </c>
      <c r="J31" s="11">
        <v>431</v>
      </c>
      <c r="K31" s="11">
        <v>453</v>
      </c>
      <c r="L31" s="7">
        <f>RATE(5,,-F31,K31)</f>
        <v>-3.806195295236231E-2</v>
      </c>
      <c r="M31" s="1"/>
      <c r="N31" s="1" t="str">
        <f t="shared" ref="N31:N36" si="19">A31</f>
        <v>Finance Assets</v>
      </c>
      <c r="O31" s="7" t="e">
        <f t="shared" si="17"/>
        <v>#DIV/0!</v>
      </c>
      <c r="P31" s="7">
        <f t="shared" si="17"/>
        <v>4.0376517215754276E-2</v>
      </c>
      <c r="Q31" s="7">
        <f t="shared" si="17"/>
        <v>3.759754078978482E-2</v>
      </c>
      <c r="R31" s="7">
        <f t="shared" si="17"/>
        <v>2.6204752387297359E-2</v>
      </c>
      <c r="S31" s="7">
        <f t="shared" si="17"/>
        <v>5.7779178485134995E-2</v>
      </c>
      <c r="T31" s="7">
        <f t="shared" si="17"/>
        <v>4.8487317917897524E-2</v>
      </c>
      <c r="U31" s="7">
        <f t="shared" si="17"/>
        <v>4.9090014756517461E-2</v>
      </c>
      <c r="V31" s="7">
        <f t="shared" si="17"/>
        <v>2.7473482872543906E-2</v>
      </c>
      <c r="W31" s="7">
        <f t="shared" si="17"/>
        <v>3.5637506201422191E-2</v>
      </c>
      <c r="X31" s="7">
        <f t="shared" si="17"/>
        <v>3.4932140653917337E-2</v>
      </c>
      <c r="Y31" s="7">
        <f t="shared" si="18"/>
        <v>4.1247256489820631E-2</v>
      </c>
      <c r="Z31" s="189"/>
    </row>
    <row r="32" spans="1:26">
      <c r="A32" s="1" t="s">
        <v>30</v>
      </c>
      <c r="B32" s="1"/>
      <c r="C32" s="22"/>
      <c r="D32" s="137"/>
      <c r="E32" s="137"/>
      <c r="F32" s="137"/>
      <c r="G32" s="137"/>
      <c r="H32" s="137"/>
      <c r="I32" s="11"/>
      <c r="J32" s="11"/>
      <c r="K32" s="11"/>
      <c r="L32" s="7"/>
      <c r="M32" s="1"/>
      <c r="N32" s="1" t="str">
        <f t="shared" si="19"/>
        <v xml:space="preserve">Investments </v>
      </c>
      <c r="O32" s="7" t="e">
        <f t="shared" si="17"/>
        <v>#DIV/0!</v>
      </c>
      <c r="P32" s="7">
        <f t="shared" si="17"/>
        <v>0</v>
      </c>
      <c r="Q32" s="7">
        <f t="shared" si="17"/>
        <v>0</v>
      </c>
      <c r="R32" s="7">
        <f t="shared" si="17"/>
        <v>0</v>
      </c>
      <c r="S32" s="7">
        <f t="shared" si="17"/>
        <v>0</v>
      </c>
      <c r="T32" s="7">
        <f t="shared" si="17"/>
        <v>0</v>
      </c>
      <c r="U32" s="7">
        <f t="shared" si="17"/>
        <v>0</v>
      </c>
      <c r="V32" s="7">
        <f t="shared" si="17"/>
        <v>0</v>
      </c>
      <c r="W32" s="7">
        <f t="shared" si="17"/>
        <v>0</v>
      </c>
      <c r="X32" s="7">
        <f t="shared" si="17"/>
        <v>0</v>
      </c>
      <c r="Y32" s="7">
        <f t="shared" si="18"/>
        <v>0</v>
      </c>
      <c r="Z32" s="189"/>
    </row>
    <row r="33" spans="1:26">
      <c r="A33" s="1" t="s">
        <v>31</v>
      </c>
      <c r="B33" s="1"/>
      <c r="C33" s="22">
        <f xml:space="preserve">  809-C29</f>
        <v>403</v>
      </c>
      <c r="D33" s="137">
        <f>830  -D29</f>
        <v>482</v>
      </c>
      <c r="E33" s="137">
        <f>826 -E29</f>
        <v>454</v>
      </c>
      <c r="F33" s="137">
        <f>154</f>
        <v>154</v>
      </c>
      <c r="G33" s="137">
        <f>139+27</f>
        <v>166</v>
      </c>
      <c r="H33" s="137">
        <v>115</v>
      </c>
      <c r="I33" s="11">
        <v>140</v>
      </c>
      <c r="J33" s="11">
        <v>148</v>
      </c>
      <c r="K33" s="11">
        <v>161</v>
      </c>
      <c r="L33" s="7">
        <f t="shared" ref="L33:L35" si="20">RATE(5,,-F33,K33)</f>
        <v>8.9299890719964081E-3</v>
      </c>
      <c r="M33" s="1"/>
      <c r="N33" s="1" t="str">
        <f t="shared" si="19"/>
        <v>Deferred Charges and Other</v>
      </c>
      <c r="O33" s="7" t="e">
        <f t="shared" si="17"/>
        <v>#DIV/0!</v>
      </c>
      <c r="P33" s="7">
        <f t="shared" si="17"/>
        <v>4.9913301956898685E-2</v>
      </c>
      <c r="Q33" s="7">
        <f t="shared" si="17"/>
        <v>5.6987467486403404E-2</v>
      </c>
      <c r="R33" s="7">
        <f t="shared" si="17"/>
        <v>5.0410837219631355E-2</v>
      </c>
      <c r="S33" s="7">
        <f t="shared" si="17"/>
        <v>1.6178169975837799E-2</v>
      </c>
      <c r="T33" s="7">
        <f t="shared" si="17"/>
        <v>1.6909442803300399E-2</v>
      </c>
      <c r="U33" s="7">
        <f t="shared" si="17"/>
        <v>1.1313330054107231E-2</v>
      </c>
      <c r="V33" s="7">
        <f t="shared" si="17"/>
        <v>1.2171796209354895E-2</v>
      </c>
      <c r="W33" s="7">
        <f t="shared" si="17"/>
        <v>1.2237473127170499E-2</v>
      </c>
      <c r="X33" s="7">
        <f t="shared" si="17"/>
        <v>1.2415175817396668E-2</v>
      </c>
      <c r="Y33" s="7">
        <f t="shared" si="18"/>
        <v>1.3380761371376674E-2</v>
      </c>
      <c r="Z33" s="189"/>
    </row>
    <row r="34" spans="1:26">
      <c r="A34" s="1" t="s">
        <v>32</v>
      </c>
      <c r="B34" s="1">
        <f t="shared" ref="B34:I34" si="21">SUM(B29:B33)</f>
        <v>0</v>
      </c>
      <c r="C34" s="22">
        <f t="shared" ref="C34:H34" si="22">SUM(C29:C33)</f>
        <v>1135</v>
      </c>
      <c r="D34" s="137">
        <f t="shared" si="22"/>
        <v>1148</v>
      </c>
      <c r="E34" s="137">
        <f t="shared" si="22"/>
        <v>1062</v>
      </c>
      <c r="F34" s="137">
        <f t="shared" si="22"/>
        <v>1321</v>
      </c>
      <c r="G34" s="137">
        <f t="shared" si="22"/>
        <v>1434</v>
      </c>
      <c r="H34" s="137">
        <f t="shared" si="22"/>
        <v>1326</v>
      </c>
      <c r="I34" s="11">
        <f t="shared" si="21"/>
        <v>1361</v>
      </c>
      <c r="J34" s="11">
        <f>SUM(J29:J33)</f>
        <v>1564</v>
      </c>
      <c r="K34" s="11">
        <f>SUM(K29:K33)</f>
        <v>1675</v>
      </c>
      <c r="L34" s="7">
        <f t="shared" si="20"/>
        <v>4.8630291126648309E-2</v>
      </c>
      <c r="M34" s="1"/>
      <c r="N34" s="1" t="str">
        <f t="shared" si="19"/>
        <v>Total Other Assets</v>
      </c>
      <c r="O34" s="7" t="e">
        <f t="shared" si="17"/>
        <v>#DIV/0!</v>
      </c>
      <c r="P34" s="7">
        <f t="shared" si="17"/>
        <v>0.14057468417141442</v>
      </c>
      <c r="Q34" s="7">
        <f t="shared" si="17"/>
        <v>0.1357294868763301</v>
      </c>
      <c r="R34" s="7">
        <f t="shared" si="17"/>
        <v>0.11792138574283811</v>
      </c>
      <c r="S34" s="7">
        <f t="shared" si="17"/>
        <v>0.13877508141611514</v>
      </c>
      <c r="T34" s="7">
        <f t="shared" si="17"/>
        <v>0.14607313843332995</v>
      </c>
      <c r="U34" s="7">
        <f t="shared" si="17"/>
        <v>0.13044761436301033</v>
      </c>
      <c r="V34" s="7">
        <f t="shared" si="17"/>
        <v>0.11832724743522866</v>
      </c>
      <c r="W34" s="7">
        <f t="shared" si="17"/>
        <v>0.12932032412766661</v>
      </c>
      <c r="X34" s="7">
        <f t="shared" si="17"/>
        <v>0.12916409623689082</v>
      </c>
      <c r="Y34" s="7">
        <f t="shared" si="18"/>
        <v>0.1314008930598653</v>
      </c>
      <c r="Z34" s="189"/>
    </row>
    <row r="35" spans="1:26">
      <c r="A35" s="1" t="s">
        <v>33</v>
      </c>
      <c r="B35" s="1">
        <f t="shared" ref="B35:I35" si="23">B26+B34</f>
        <v>0</v>
      </c>
      <c r="C35" s="22">
        <f t="shared" si="23"/>
        <v>6934</v>
      </c>
      <c r="D35" s="137">
        <f t="shared" si="23"/>
        <v>7565</v>
      </c>
      <c r="E35" s="137">
        <f t="shared" si="23"/>
        <v>7824</v>
      </c>
      <c r="F35" s="137">
        <f t="shared" si="23"/>
        <v>8055</v>
      </c>
      <c r="G35" s="137">
        <f t="shared" si="23"/>
        <v>8441</v>
      </c>
      <c r="H35" s="137">
        <f t="shared" si="23"/>
        <v>8864</v>
      </c>
      <c r="I35" s="11">
        <f t="shared" si="23"/>
        <v>9666</v>
      </c>
      <c r="J35" s="11">
        <f>J26+J34</f>
        <v>10573</v>
      </c>
      <c r="K35" s="11">
        <f>K26+K34</f>
        <v>11337</v>
      </c>
      <c r="L35" s="7">
        <f t="shared" si="20"/>
        <v>7.0746147199976267E-2</v>
      </c>
      <c r="M35" s="1"/>
      <c r="N35" s="1" t="str">
        <f t="shared" si="19"/>
        <v>Total Non-Current Assets</v>
      </c>
      <c r="O35" s="7" t="e">
        <f t="shared" si="17"/>
        <v>#DIV/0!</v>
      </c>
      <c r="P35" s="7">
        <f t="shared" si="17"/>
        <v>0.85880604409214767</v>
      </c>
      <c r="Q35" s="7">
        <f t="shared" si="17"/>
        <v>0.89441948451170494</v>
      </c>
      <c r="R35" s="7">
        <f t="shared" si="17"/>
        <v>0.86875416389073956</v>
      </c>
      <c r="S35" s="7">
        <f t="shared" si="17"/>
        <v>0.84620233217774976</v>
      </c>
      <c r="T35" s="7">
        <f t="shared" si="17"/>
        <v>0.85983498013649795</v>
      </c>
      <c r="U35" s="7">
        <f t="shared" si="17"/>
        <v>0.87201180521396948</v>
      </c>
      <c r="V35" s="7">
        <f t="shared" si="17"/>
        <v>0.84037558685446012</v>
      </c>
      <c r="W35" s="7">
        <f t="shared" si="17"/>
        <v>0.87423515792955186</v>
      </c>
      <c r="X35" s="7">
        <f t="shared" si="17"/>
        <v>0.87422887106724245</v>
      </c>
      <c r="Y35" s="7">
        <f t="shared" si="18"/>
        <v>0.86181790660712931</v>
      </c>
      <c r="Z35" s="189"/>
    </row>
    <row r="36" spans="1:26">
      <c r="A36" s="1" t="s">
        <v>34</v>
      </c>
      <c r="B36" s="1"/>
      <c r="C36" s="22"/>
      <c r="D36" s="137"/>
      <c r="E36" s="137"/>
      <c r="F36" s="137"/>
      <c r="G36" s="137"/>
      <c r="H36" s="137"/>
      <c r="I36" s="11"/>
      <c r="J36" s="11"/>
      <c r="K36" s="11"/>
      <c r="L36" s="7"/>
      <c r="M36" s="1"/>
      <c r="N36" s="1" t="str">
        <f t="shared" si="19"/>
        <v xml:space="preserve"> Electric Assets</v>
      </c>
      <c r="O36" s="7" t="e">
        <f>B36/B$38</f>
        <v>#DIV/0!</v>
      </c>
      <c r="P36" s="7">
        <f t="shared" si="17"/>
        <v>0</v>
      </c>
      <c r="Q36" s="7">
        <f t="shared" si="17"/>
        <v>0</v>
      </c>
      <c r="R36" s="7">
        <f t="shared" si="17"/>
        <v>0</v>
      </c>
      <c r="S36" s="7">
        <f t="shared" si="17"/>
        <v>0</v>
      </c>
      <c r="T36" s="7">
        <f t="shared" si="17"/>
        <v>0</v>
      </c>
      <c r="U36" s="7">
        <f t="shared" si="17"/>
        <v>0</v>
      </c>
      <c r="V36" s="7">
        <f t="shared" si="17"/>
        <v>0</v>
      </c>
      <c r="W36" s="7">
        <f t="shared" si="17"/>
        <v>0</v>
      </c>
      <c r="X36" s="7">
        <f t="shared" si="17"/>
        <v>0</v>
      </c>
      <c r="Y36" s="7">
        <f t="shared" si="18"/>
        <v>0</v>
      </c>
      <c r="Z36" s="189"/>
    </row>
    <row r="37" spans="1:26">
      <c r="A37" s="1" t="s">
        <v>35</v>
      </c>
      <c r="B37" s="1"/>
      <c r="C37" s="22"/>
      <c r="D37" s="137"/>
      <c r="E37" s="137"/>
      <c r="F37" s="137"/>
      <c r="G37" s="137"/>
      <c r="H37" s="137"/>
      <c r="I37" s="11"/>
      <c r="J37" s="11"/>
      <c r="K37" s="11"/>
      <c r="L37" s="7"/>
      <c r="M37" s="1"/>
      <c r="N37" s="1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189"/>
    </row>
    <row r="38" spans="1:26">
      <c r="A38" s="1" t="s">
        <v>36</v>
      </c>
      <c r="B38" s="1">
        <f t="shared" ref="B38:J38" si="24">B15+B26+B34</f>
        <v>0</v>
      </c>
      <c r="C38" s="22">
        <f t="shared" si="24"/>
        <v>8074</v>
      </c>
      <c r="D38" s="137">
        <f t="shared" si="24"/>
        <v>8458</v>
      </c>
      <c r="E38" s="137">
        <f t="shared" si="24"/>
        <v>9006</v>
      </c>
      <c r="F38" s="137">
        <f t="shared" si="24"/>
        <v>9519</v>
      </c>
      <c r="G38" s="137">
        <f t="shared" si="24"/>
        <v>9817</v>
      </c>
      <c r="H38" s="137">
        <f t="shared" si="24"/>
        <v>10165</v>
      </c>
      <c r="I38" s="11">
        <f t="shared" si="24"/>
        <v>11502</v>
      </c>
      <c r="J38" s="11">
        <f t="shared" si="24"/>
        <v>12094</v>
      </c>
      <c r="K38" s="11">
        <f t="shared" ref="K38" si="25">K15+K26+K34</f>
        <v>12968</v>
      </c>
      <c r="L38" s="7">
        <f>RATE(5,,-F38,K38)</f>
        <v>6.3791056997323486E-2</v>
      </c>
      <c r="M38" s="1"/>
      <c r="N38" s="1" t="s">
        <v>36</v>
      </c>
      <c r="O38" s="7" t="e">
        <f t="shared" ref="O38:X38" si="26">B38/B$38</f>
        <v>#DIV/0!</v>
      </c>
      <c r="P38" s="7">
        <f t="shared" si="26"/>
        <v>1</v>
      </c>
      <c r="Q38" s="7">
        <f t="shared" si="26"/>
        <v>1</v>
      </c>
      <c r="R38" s="7">
        <f t="shared" si="26"/>
        <v>1</v>
      </c>
      <c r="S38" s="7">
        <f t="shared" si="26"/>
        <v>1</v>
      </c>
      <c r="T38" s="7">
        <f t="shared" si="26"/>
        <v>1</v>
      </c>
      <c r="U38" s="7">
        <f t="shared" si="26"/>
        <v>1</v>
      </c>
      <c r="V38" s="7">
        <f t="shared" si="26"/>
        <v>1</v>
      </c>
      <c r="W38" s="7">
        <f t="shared" si="26"/>
        <v>1</v>
      </c>
      <c r="X38" s="7">
        <f t="shared" si="26"/>
        <v>1</v>
      </c>
      <c r="Y38" s="7">
        <f>SUM(F38:K38)/SUM(F$38:K$38)</f>
        <v>1</v>
      </c>
      <c r="Z38" s="189"/>
    </row>
    <row r="39" spans="1:26">
      <c r="A39" s="1"/>
      <c r="B39" s="1"/>
      <c r="C39" s="22"/>
      <c r="D39" s="137"/>
      <c r="E39" s="137"/>
      <c r="F39" s="137"/>
      <c r="G39" s="137"/>
      <c r="H39" s="137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"/>
      <c r="C40" s="22"/>
      <c r="D40" s="137"/>
      <c r="E40" s="137"/>
      <c r="F40" s="137"/>
      <c r="G40" s="137"/>
      <c r="H40" s="137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"/>
      <c r="C41" s="22"/>
      <c r="D41" s="137"/>
      <c r="E41" s="137"/>
      <c r="F41" s="137"/>
      <c r="G41" s="137"/>
      <c r="H41" s="137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"/>
      <c r="C42" s="22">
        <f>413</f>
        <v>413</v>
      </c>
      <c r="D42" s="137">
        <f>202</f>
        <v>202</v>
      </c>
      <c r="E42" s="137">
        <f>204</f>
        <v>204</v>
      </c>
      <c r="F42" s="137">
        <f>188</f>
        <v>188</v>
      </c>
      <c r="G42" s="137">
        <f>43</f>
        <v>43</v>
      </c>
      <c r="H42" s="137">
        <v>233</v>
      </c>
      <c r="I42" s="11">
        <v>144</v>
      </c>
      <c r="J42" s="11">
        <v>28</v>
      </c>
      <c r="K42" s="11">
        <v>337</v>
      </c>
      <c r="L42" s="7">
        <f t="shared" ref="L42:L48" si="27">RATE(5,,-F42,K42)</f>
        <v>0.12381392825687021</v>
      </c>
      <c r="M42" s="1"/>
      <c r="N42" s="1" t="str">
        <f t="shared" ref="N42:N47" si="28">A42</f>
        <v>Current Maturities LTD</v>
      </c>
      <c r="O42" s="7" t="e">
        <f t="shared" ref="O42:X48" si="29">B42/B$38</f>
        <v>#DIV/0!</v>
      </c>
      <c r="P42" s="7">
        <f t="shared" si="29"/>
        <v>5.1151845429774585E-2</v>
      </c>
      <c r="Q42" s="7">
        <f t="shared" si="29"/>
        <v>2.3882714589737526E-2</v>
      </c>
      <c r="R42" s="7">
        <f t="shared" si="29"/>
        <v>2.2651565622918056E-2</v>
      </c>
      <c r="S42" s="7">
        <f t="shared" si="29"/>
        <v>1.9749973736737054E-2</v>
      </c>
      <c r="T42" s="7">
        <f t="shared" si="29"/>
        <v>4.3801568707344399E-3</v>
      </c>
      <c r="U42" s="7">
        <f t="shared" si="29"/>
        <v>2.2921790457452042E-2</v>
      </c>
      <c r="V42" s="7">
        <f t="shared" si="29"/>
        <v>1.2519561815336464E-2</v>
      </c>
      <c r="W42" s="7">
        <f t="shared" si="29"/>
        <v>2.3151976186538779E-3</v>
      </c>
      <c r="X42" s="7">
        <f t="shared" si="29"/>
        <v>2.5987045033929672E-2</v>
      </c>
      <c r="Y42" s="7">
        <f t="shared" ref="Y42:Y48" si="30">SUM(F42:K42)/SUM(F$38:K$38)</f>
        <v>1.4727919473246046E-2</v>
      </c>
      <c r="Z42" s="189"/>
    </row>
    <row r="43" spans="1:26">
      <c r="A43" s="1" t="s">
        <v>39</v>
      </c>
      <c r="B43" s="1"/>
      <c r="C43" s="22">
        <f>209</f>
        <v>209</v>
      </c>
      <c r="D43" s="137">
        <f>195</f>
        <v>195</v>
      </c>
      <c r="E43" s="137">
        <f>211</f>
        <v>211</v>
      </c>
      <c r="F43" s="137">
        <f>427</f>
        <v>427</v>
      </c>
      <c r="G43" s="137">
        <f>487</f>
        <v>487</v>
      </c>
      <c r="H43" s="137">
        <v>627</v>
      </c>
      <c r="I43" s="11">
        <v>80</v>
      </c>
      <c r="J43" s="11">
        <v>335</v>
      </c>
      <c r="K43" s="11">
        <v>420</v>
      </c>
      <c r="L43" s="7">
        <f t="shared" si="27"/>
        <v>-3.300402050275205E-3</v>
      </c>
      <c r="M43" s="1"/>
      <c r="N43" s="1" t="str">
        <f t="shared" si="28"/>
        <v>Notes Payable and Commercial Paper</v>
      </c>
      <c r="O43" s="7" t="e">
        <f t="shared" si="29"/>
        <v>#DIV/0!</v>
      </c>
      <c r="P43" s="7">
        <f t="shared" si="29"/>
        <v>2.5885558583106268E-2</v>
      </c>
      <c r="Q43" s="7">
        <f t="shared" si="29"/>
        <v>2.3055095767320878E-2</v>
      </c>
      <c r="R43" s="7">
        <f t="shared" si="29"/>
        <v>2.3428825227626026E-2</v>
      </c>
      <c r="S43" s="7">
        <f t="shared" si="29"/>
        <v>4.4857653114822989E-2</v>
      </c>
      <c r="T43" s="7">
        <f t="shared" si="29"/>
        <v>4.9607823163899362E-2</v>
      </c>
      <c r="U43" s="7">
        <f t="shared" si="29"/>
        <v>6.1682242990654203E-2</v>
      </c>
      <c r="V43" s="7">
        <f t="shared" si="29"/>
        <v>6.9553121196313681E-3</v>
      </c>
      <c r="W43" s="7">
        <f t="shared" si="29"/>
        <v>2.7699685794608898E-2</v>
      </c>
      <c r="X43" s="7">
        <f t="shared" si="29"/>
        <v>3.2387415175817398E-2</v>
      </c>
      <c r="Y43" s="7">
        <f t="shared" si="30"/>
        <v>3.5964580337546355E-2</v>
      </c>
      <c r="Z43" s="189"/>
    </row>
    <row r="44" spans="1:26">
      <c r="A44" s="1" t="s">
        <v>40</v>
      </c>
      <c r="B44" s="1"/>
      <c r="C44" s="22">
        <f>354+8</f>
        <v>362</v>
      </c>
      <c r="D44" s="137">
        <f>288   +12</f>
        <v>300</v>
      </c>
      <c r="E44" s="137">
        <f>381+18</f>
        <v>399</v>
      </c>
      <c r="F44" s="137">
        <f>471+26</f>
        <v>497</v>
      </c>
      <c r="G44" s="137">
        <f>414+27</f>
        <v>441</v>
      </c>
      <c r="H44" s="137">
        <v>401</v>
      </c>
      <c r="I44" s="11">
        <v>405</v>
      </c>
      <c r="J44" s="11">
        <v>428</v>
      </c>
      <c r="K44" s="11">
        <v>526</v>
      </c>
      <c r="L44" s="7">
        <f t="shared" si="27"/>
        <v>1.1406804382734389E-2</v>
      </c>
      <c r="M44" s="1"/>
      <c r="N44" s="1" t="str">
        <f t="shared" si="28"/>
        <v>Accounts Payable</v>
      </c>
      <c r="O44" s="7" t="e">
        <f t="shared" si="29"/>
        <v>#DIV/0!</v>
      </c>
      <c r="P44" s="7">
        <f t="shared" si="29"/>
        <v>4.4835273718107506E-2</v>
      </c>
      <c r="Q44" s="7">
        <f t="shared" si="29"/>
        <v>3.5469378103570585E-2</v>
      </c>
      <c r="R44" s="7">
        <f t="shared" si="29"/>
        <v>4.4303797468354431E-2</v>
      </c>
      <c r="S44" s="7">
        <f t="shared" si="29"/>
        <v>5.2211366740203803E-2</v>
      </c>
      <c r="T44" s="7">
        <f t="shared" si="29"/>
        <v>4.4922073953346235E-2</v>
      </c>
      <c r="U44" s="7">
        <f t="shared" si="29"/>
        <v>3.9449090014756515E-2</v>
      </c>
      <c r="V44" s="7">
        <f t="shared" si="29"/>
        <v>3.5211267605633804E-2</v>
      </c>
      <c r="W44" s="7">
        <f t="shared" si="29"/>
        <v>3.5389449313709277E-2</v>
      </c>
      <c r="X44" s="7">
        <f t="shared" si="29"/>
        <v>4.0561381863047502E-2</v>
      </c>
      <c r="Y44" s="7">
        <f t="shared" si="30"/>
        <v>4.0838568076893969E-2</v>
      </c>
      <c r="Z44" s="189"/>
    </row>
    <row r="45" spans="1:26">
      <c r="A45" s="1" t="s">
        <v>41</v>
      </c>
      <c r="B45" s="1"/>
      <c r="C45" s="22">
        <f>39</f>
        <v>39</v>
      </c>
      <c r="D45" s="137">
        <f>41</f>
        <v>41</v>
      </c>
      <c r="E45" s="137">
        <f>43</f>
        <v>43</v>
      </c>
      <c r="F45" s="137">
        <f>47</f>
        <v>47</v>
      </c>
      <c r="G45" s="137">
        <f>51</f>
        <v>51</v>
      </c>
      <c r="H45" s="137">
        <f>51</f>
        <v>51</v>
      </c>
      <c r="I45" s="11">
        <v>69</v>
      </c>
      <c r="J45" s="11">
        <v>103</v>
      </c>
      <c r="K45" s="11">
        <v>100</v>
      </c>
      <c r="L45" s="7">
        <f t="shared" si="27"/>
        <v>0.16300191118128232</v>
      </c>
      <c r="M45" s="1"/>
      <c r="N45" s="1" t="str">
        <f t="shared" si="28"/>
        <v>Payable to Affiliates</v>
      </c>
      <c r="O45" s="7" t="e">
        <f t="shared" si="29"/>
        <v>#DIV/0!</v>
      </c>
      <c r="P45" s="7">
        <f t="shared" si="29"/>
        <v>4.8303195442160017E-3</v>
      </c>
      <c r="Q45" s="7">
        <f t="shared" si="29"/>
        <v>4.8474816741546469E-3</v>
      </c>
      <c r="R45" s="7">
        <f t="shared" si="29"/>
        <v>4.7745947146346883E-3</v>
      </c>
      <c r="S45" s="7">
        <f t="shared" si="29"/>
        <v>4.9374934341842635E-3</v>
      </c>
      <c r="T45" s="7">
        <f t="shared" si="29"/>
        <v>5.195069776917592E-3</v>
      </c>
      <c r="U45" s="7">
        <f t="shared" si="29"/>
        <v>5.017215937038859E-3</v>
      </c>
      <c r="V45" s="7">
        <f t="shared" si="29"/>
        <v>5.9989567031820557E-3</v>
      </c>
      <c r="W45" s="7">
        <f t="shared" si="29"/>
        <v>8.5166198114767656E-3</v>
      </c>
      <c r="X45" s="7">
        <f t="shared" si="29"/>
        <v>7.7112893275755705E-3</v>
      </c>
      <c r="Y45" s="7">
        <f t="shared" si="30"/>
        <v>6.3725119200787102E-3</v>
      </c>
      <c r="Z45" s="189"/>
    </row>
    <row r="46" spans="1:26">
      <c r="A46" s="1" t="s">
        <v>42</v>
      </c>
      <c r="B46" s="1"/>
      <c r="C46" s="22">
        <f>33+78+ 52+4</f>
        <v>167</v>
      </c>
      <c r="D46" s="137">
        <f>43   +109   +55</f>
        <v>207</v>
      </c>
      <c r="E46" s="137">
        <f>66 +132 +51</f>
        <v>249</v>
      </c>
      <c r="F46" s="137">
        <f>70 +112+52</f>
        <v>234</v>
      </c>
      <c r="G46" s="137">
        <f>85+121+51</f>
        <v>257</v>
      </c>
      <c r="H46" s="137">
        <f>27+85+156+53</f>
        <v>321</v>
      </c>
      <c r="I46" s="11">
        <f>97+128+56</f>
        <v>281</v>
      </c>
      <c r="J46" s="11">
        <f>88+72+60</f>
        <v>220</v>
      </c>
      <c r="K46" s="11">
        <f>88+72+60</f>
        <v>220</v>
      </c>
      <c r="L46" s="7">
        <f t="shared" si="27"/>
        <v>-1.2262903990787026E-2</v>
      </c>
      <c r="M46" s="1"/>
      <c r="N46" s="1" t="str">
        <f t="shared" si="28"/>
        <v>Other Payables and Accrued Expenses</v>
      </c>
      <c r="O46" s="7" t="e">
        <f t="shared" si="29"/>
        <v>#DIV/0!</v>
      </c>
      <c r="P46" s="7">
        <f t="shared" si="29"/>
        <v>2.0683675997027497E-2</v>
      </c>
      <c r="Q46" s="7">
        <f t="shared" si="29"/>
        <v>2.4473870891463703E-2</v>
      </c>
      <c r="R46" s="7">
        <f t="shared" si="29"/>
        <v>2.7648234510326448E-2</v>
      </c>
      <c r="S46" s="7">
        <f t="shared" si="29"/>
        <v>2.4582414119130161E-2</v>
      </c>
      <c r="T46" s="7">
        <f t="shared" si="29"/>
        <v>2.6179077111133747E-2</v>
      </c>
      <c r="U46" s="7">
        <f t="shared" si="29"/>
        <v>3.1578947368421054E-2</v>
      </c>
      <c r="V46" s="7">
        <f t="shared" si="29"/>
        <v>2.4430533820205182E-2</v>
      </c>
      <c r="W46" s="7">
        <f t="shared" si="29"/>
        <v>1.8190838432280469E-2</v>
      </c>
      <c r="X46" s="7">
        <f t="shared" si="29"/>
        <v>1.6964836520666254E-2</v>
      </c>
      <c r="Y46" s="7">
        <f t="shared" si="30"/>
        <v>2.3204419889502764E-2</v>
      </c>
      <c r="Z46" s="189"/>
    </row>
    <row r="47" spans="1:26">
      <c r="A47" s="1" t="s">
        <v>43</v>
      </c>
      <c r="B47" s="1"/>
      <c r="C47" s="22">
        <f xml:space="preserve"> 86</f>
        <v>86</v>
      </c>
      <c r="D47" s="137">
        <f>78</f>
        <v>78</v>
      </c>
      <c r="E47" s="137">
        <f>78</f>
        <v>78</v>
      </c>
      <c r="F47" s="137">
        <f>107</f>
        <v>107</v>
      </c>
      <c r="G47" s="137">
        <f>126</f>
        <v>126</v>
      </c>
      <c r="H47" s="137">
        <v>88</v>
      </c>
      <c r="I47" s="11">
        <v>176</v>
      </c>
      <c r="J47" s="11">
        <f>1256-1114</f>
        <v>142</v>
      </c>
      <c r="K47" s="11">
        <f>1867-1603</f>
        <v>264</v>
      </c>
      <c r="L47" s="7">
        <f t="shared" si="27"/>
        <v>0.19796472426362827</v>
      </c>
      <c r="M47" s="1"/>
      <c r="N47" s="1" t="str">
        <f t="shared" si="28"/>
        <v xml:space="preserve">Other </v>
      </c>
      <c r="O47" s="7" t="e">
        <f t="shared" si="29"/>
        <v>#DIV/0!</v>
      </c>
      <c r="P47" s="7">
        <f t="shared" si="29"/>
        <v>1.0651473866732722E-2</v>
      </c>
      <c r="Q47" s="7">
        <f t="shared" si="29"/>
        <v>9.2220383069283526E-3</v>
      </c>
      <c r="R47" s="7">
        <f t="shared" si="29"/>
        <v>8.6608927381745509E-3</v>
      </c>
      <c r="S47" s="7">
        <f t="shared" si="29"/>
        <v>1.1240676541653534E-2</v>
      </c>
      <c r="T47" s="7">
        <f t="shared" si="29"/>
        <v>1.2834878272384638E-2</v>
      </c>
      <c r="U47" s="7">
        <f t="shared" si="29"/>
        <v>8.6571569109690112E-3</v>
      </c>
      <c r="V47" s="7">
        <f t="shared" si="29"/>
        <v>1.5301686663189011E-2</v>
      </c>
      <c r="W47" s="7">
        <f t="shared" si="29"/>
        <v>1.1741359351744666E-2</v>
      </c>
      <c r="X47" s="7">
        <f t="shared" si="29"/>
        <v>2.0357803824799507E-2</v>
      </c>
      <c r="Y47" s="7">
        <f t="shared" si="30"/>
        <v>1.3668356921213955E-2</v>
      </c>
      <c r="Z47" s="189"/>
    </row>
    <row r="48" spans="1:26">
      <c r="A48" s="1" t="s">
        <v>44</v>
      </c>
      <c r="B48" s="1">
        <f t="shared" ref="B48:J48" si="31">SUM(B41:B47)</f>
        <v>0</v>
      </c>
      <c r="C48" s="22">
        <f t="shared" ref="C48:H48" si="32">SUM(C41:C47)</f>
        <v>1276</v>
      </c>
      <c r="D48" s="137">
        <f t="shared" si="32"/>
        <v>1023</v>
      </c>
      <c r="E48" s="137">
        <f t="shared" si="32"/>
        <v>1184</v>
      </c>
      <c r="F48" s="137">
        <f t="shared" si="32"/>
        <v>1500</v>
      </c>
      <c r="G48" s="137">
        <f t="shared" si="32"/>
        <v>1405</v>
      </c>
      <c r="H48" s="137">
        <f t="shared" si="32"/>
        <v>1721</v>
      </c>
      <c r="I48" s="11">
        <f t="shared" si="31"/>
        <v>1155</v>
      </c>
      <c r="J48" s="11">
        <f t="shared" si="31"/>
        <v>1256</v>
      </c>
      <c r="K48" s="11">
        <f t="shared" ref="K48" si="33">SUM(K41:K47)</f>
        <v>1867</v>
      </c>
      <c r="L48" s="7">
        <f t="shared" si="27"/>
        <v>4.4745746773377955E-2</v>
      </c>
      <c r="M48" s="1"/>
      <c r="N48" s="1" t="s">
        <v>44</v>
      </c>
      <c r="O48" s="7" t="e">
        <f t="shared" si="29"/>
        <v>#DIV/0!</v>
      </c>
      <c r="P48" s="7">
        <f t="shared" si="29"/>
        <v>0.15803814713896458</v>
      </c>
      <c r="Q48" s="7">
        <f t="shared" si="29"/>
        <v>0.1209505793331757</v>
      </c>
      <c r="R48" s="7">
        <f t="shared" si="29"/>
        <v>0.13146791028203419</v>
      </c>
      <c r="S48" s="7">
        <f t="shared" si="29"/>
        <v>0.15757957768673181</v>
      </c>
      <c r="T48" s="7">
        <f t="shared" si="29"/>
        <v>0.14311907914841601</v>
      </c>
      <c r="U48" s="7">
        <f t="shared" si="29"/>
        <v>0.16930644367929168</v>
      </c>
      <c r="V48" s="7">
        <f t="shared" si="29"/>
        <v>0.10041731872717788</v>
      </c>
      <c r="W48" s="7">
        <f t="shared" si="29"/>
        <v>0.10385315032247396</v>
      </c>
      <c r="X48" s="7">
        <f t="shared" si="29"/>
        <v>0.14396977174583592</v>
      </c>
      <c r="Y48" s="7">
        <f t="shared" si="30"/>
        <v>0.13477635661848181</v>
      </c>
      <c r="Z48" s="189"/>
    </row>
    <row r="49" spans="1:26">
      <c r="A49" s="1"/>
      <c r="B49" s="1"/>
      <c r="C49" s="22"/>
      <c r="D49" s="137"/>
      <c r="E49" s="137"/>
      <c r="F49" s="137"/>
      <c r="G49" s="137"/>
      <c r="H49" s="137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"/>
      <c r="C50" s="22">
        <f>2834</f>
        <v>2834</v>
      </c>
      <c r="D50" s="137">
        <f>3225</f>
        <v>3225</v>
      </c>
      <c r="E50" s="137">
        <f>3186</f>
        <v>3186</v>
      </c>
      <c r="F50" s="137">
        <f>2948</f>
        <v>2948</v>
      </c>
      <c r="G50" s="137">
        <f>3067</f>
        <v>3067</v>
      </c>
      <c r="H50" s="137">
        <v>2879</v>
      </c>
      <c r="I50" s="11">
        <v>4361</v>
      </c>
      <c r="J50" s="11">
        <v>4483</v>
      </c>
      <c r="K50" s="11">
        <v>4152</v>
      </c>
      <c r="L50" s="7">
        <f t="shared" ref="L50:L53" si="34">RATE(5,,-F50,K50)</f>
        <v>7.0892737055113078E-2</v>
      </c>
      <c r="M50" s="1"/>
      <c r="N50" s="1" t="str">
        <f>A50</f>
        <v>Long-Term Debt</v>
      </c>
      <c r="O50" s="7" t="e">
        <f t="shared" ref="O50:X53" si="35">B50/B$38</f>
        <v>#DIV/0!</v>
      </c>
      <c r="P50" s="7">
        <f t="shared" si="35"/>
        <v>0.35100322021302949</v>
      </c>
      <c r="Q50" s="7">
        <f t="shared" si="35"/>
        <v>0.3812958146133838</v>
      </c>
      <c r="R50" s="7">
        <f t="shared" si="35"/>
        <v>0.35376415722851434</v>
      </c>
      <c r="S50" s="7">
        <f t="shared" si="35"/>
        <v>0.30969639668032356</v>
      </c>
      <c r="T50" s="7">
        <f t="shared" si="35"/>
        <v>0.31241723540796579</v>
      </c>
      <c r="U50" s="7">
        <f t="shared" si="35"/>
        <v>0.28322675848499757</v>
      </c>
      <c r="V50" s="7">
        <f t="shared" si="35"/>
        <v>0.37915145192140498</v>
      </c>
      <c r="W50" s="7">
        <f t="shared" si="35"/>
        <v>0.37067967587233341</v>
      </c>
      <c r="X50" s="7">
        <f t="shared" si="35"/>
        <v>0.32017273288093767</v>
      </c>
      <c r="Y50" s="7">
        <f t="shared" ref="Y50:Y53" si="36">SUM(F50:K50)/SUM(F$38:K$38)</f>
        <v>0.33134034662832057</v>
      </c>
      <c r="Z50" s="189"/>
    </row>
    <row r="51" spans="1:26">
      <c r="A51" s="1" t="s">
        <v>46</v>
      </c>
      <c r="B51" s="1"/>
      <c r="C51" s="22">
        <f>747</f>
        <v>747</v>
      </c>
      <c r="D51" s="137">
        <f>790</f>
        <v>790</v>
      </c>
      <c r="E51" s="137">
        <f>895</f>
        <v>895</v>
      </c>
      <c r="F51" s="137">
        <f>940</f>
        <v>940</v>
      </c>
      <c r="G51" s="137">
        <f>947</f>
        <v>947</v>
      </c>
      <c r="H51" s="137">
        <v>944</v>
      </c>
      <c r="I51" s="11">
        <v>1009</v>
      </c>
      <c r="J51" s="11">
        <v>1122</v>
      </c>
      <c r="K51" s="11">
        <v>1391</v>
      </c>
      <c r="L51" s="7">
        <f t="shared" si="34"/>
        <v>8.1533199230640271E-2</v>
      </c>
      <c r="M51" s="1"/>
      <c r="N51" s="1" t="str">
        <f>A51</f>
        <v>Deferred Income Taxes</v>
      </c>
      <c r="O51" s="7" t="e">
        <f t="shared" si="35"/>
        <v>#DIV/0!</v>
      </c>
      <c r="P51" s="7">
        <f t="shared" si="35"/>
        <v>9.251919742382958E-2</v>
      </c>
      <c r="Q51" s="7">
        <f t="shared" si="35"/>
        <v>9.3402695672735875E-2</v>
      </c>
      <c r="R51" s="7">
        <f t="shared" si="35"/>
        <v>9.9378192316233627E-2</v>
      </c>
      <c r="S51" s="7">
        <f t="shared" si="35"/>
        <v>9.8749868683685266E-2</v>
      </c>
      <c r="T51" s="7">
        <f t="shared" si="35"/>
        <v>9.6465315269430585E-2</v>
      </c>
      <c r="U51" s="7">
        <f t="shared" si="35"/>
        <v>9.286768322675848E-2</v>
      </c>
      <c r="V51" s="7">
        <f t="shared" si="35"/>
        <v>8.772387410885063E-2</v>
      </c>
      <c r="W51" s="7">
        <f t="shared" si="35"/>
        <v>9.2773276004630395E-2</v>
      </c>
      <c r="X51" s="7">
        <f t="shared" si="35"/>
        <v>0.10726403454657618</v>
      </c>
      <c r="Y51" s="7">
        <f t="shared" si="36"/>
        <v>9.6162869900855222E-2</v>
      </c>
      <c r="Z51" s="189"/>
    </row>
    <row r="52" spans="1:26">
      <c r="A52" s="1" t="s">
        <v>47</v>
      </c>
      <c r="B52" s="1"/>
      <c r="C52" s="22">
        <f>1622-C51</f>
        <v>875</v>
      </c>
      <c r="D52" s="137">
        <f>1789-D51</f>
        <v>999</v>
      </c>
      <c r="E52" s="137">
        <f>2070-E51</f>
        <v>1175</v>
      </c>
      <c r="F52" s="137">
        <f>2280-F51</f>
        <v>1340</v>
      </c>
      <c r="G52" s="137">
        <f>2385-G51</f>
        <v>1438</v>
      </c>
      <c r="H52" s="137">
        <f>104+307+185+830+122</f>
        <v>1548</v>
      </c>
      <c r="I52" s="11">
        <f>2828-I51</f>
        <v>1819</v>
      </c>
      <c r="J52" s="11">
        <f>2947-1122</f>
        <v>1825</v>
      </c>
      <c r="K52" s="11">
        <f>3247-1391</f>
        <v>1856</v>
      </c>
      <c r="L52" s="7">
        <f t="shared" si="34"/>
        <v>6.7319968454538678E-2</v>
      </c>
      <c r="M52" s="1"/>
      <c r="N52" s="1" t="str">
        <f>A52</f>
        <v>Other Deferred Credits</v>
      </c>
      <c r="O52" s="7" t="e">
        <f t="shared" si="35"/>
        <v>#DIV/0!</v>
      </c>
      <c r="P52" s="7">
        <f t="shared" si="35"/>
        <v>0.10837255387664108</v>
      </c>
      <c r="Q52" s="7">
        <f t="shared" si="35"/>
        <v>0.11811302908489005</v>
      </c>
      <c r="R52" s="7">
        <f t="shared" si="35"/>
        <v>0.13046857650455251</v>
      </c>
      <c r="S52" s="7">
        <f t="shared" si="35"/>
        <v>0.14077108940014707</v>
      </c>
      <c r="T52" s="7">
        <f t="shared" si="35"/>
        <v>0.14648059488642151</v>
      </c>
      <c r="U52" s="7">
        <f t="shared" si="35"/>
        <v>0.15228726020659125</v>
      </c>
      <c r="V52" s="7">
        <f t="shared" si="35"/>
        <v>0.15814640932011825</v>
      </c>
      <c r="W52" s="7">
        <f t="shared" si="35"/>
        <v>0.15090127335869025</v>
      </c>
      <c r="X52" s="7">
        <f t="shared" si="35"/>
        <v>0.14312152991980259</v>
      </c>
      <c r="Y52" s="7">
        <f t="shared" si="36"/>
        <v>0.14873230908953303</v>
      </c>
      <c r="Z52" s="189"/>
    </row>
    <row r="53" spans="1:26">
      <c r="A53" s="1" t="s">
        <v>48</v>
      </c>
      <c r="B53" s="1">
        <f t="shared" ref="B53:J53" si="37">SUM(B50:B52)</f>
        <v>0</v>
      </c>
      <c r="C53" s="22">
        <f t="shared" ref="C53:H53" si="38">SUM(C50:C52)</f>
        <v>4456</v>
      </c>
      <c r="D53" s="137">
        <f t="shared" si="38"/>
        <v>5014</v>
      </c>
      <c r="E53" s="137">
        <f t="shared" si="38"/>
        <v>5256</v>
      </c>
      <c r="F53" s="137">
        <f t="shared" si="38"/>
        <v>5228</v>
      </c>
      <c r="G53" s="137">
        <f t="shared" si="38"/>
        <v>5452</v>
      </c>
      <c r="H53" s="137">
        <f t="shared" si="38"/>
        <v>5371</v>
      </c>
      <c r="I53" s="11">
        <f t="shared" si="37"/>
        <v>7189</v>
      </c>
      <c r="J53" s="11">
        <f t="shared" si="37"/>
        <v>7430</v>
      </c>
      <c r="K53" s="11">
        <f t="shared" ref="K53" si="39">SUM(K50:K52)</f>
        <v>7399</v>
      </c>
      <c r="L53" s="7">
        <f t="shared" si="34"/>
        <v>7.1932626260852783E-2</v>
      </c>
      <c r="M53" s="1"/>
      <c r="N53" s="1" t="str">
        <f>A53</f>
        <v>Total LTD &amp; Deferrals</v>
      </c>
      <c r="O53" s="7" t="e">
        <f t="shared" si="35"/>
        <v>#DIV/0!</v>
      </c>
      <c r="P53" s="7">
        <f t="shared" si="35"/>
        <v>0.55189497151350009</v>
      </c>
      <c r="Q53" s="7">
        <f t="shared" si="35"/>
        <v>0.59281153937100972</v>
      </c>
      <c r="R53" s="7">
        <f t="shared" si="35"/>
        <v>0.58361092604930043</v>
      </c>
      <c r="S53" s="7">
        <f t="shared" si="35"/>
        <v>0.5492173547641559</v>
      </c>
      <c r="T53" s="7">
        <f t="shared" si="35"/>
        <v>0.55536314556381783</v>
      </c>
      <c r="U53" s="7">
        <f t="shared" si="35"/>
        <v>0.52838170191834732</v>
      </c>
      <c r="V53" s="7">
        <f t="shared" si="35"/>
        <v>0.62502173535037386</v>
      </c>
      <c r="W53" s="7">
        <f t="shared" si="35"/>
        <v>0.61435422523565408</v>
      </c>
      <c r="X53" s="7">
        <f t="shared" si="35"/>
        <v>0.57055829734731645</v>
      </c>
      <c r="Y53" s="7">
        <f t="shared" si="36"/>
        <v>0.57623552561870883</v>
      </c>
      <c r="Z53" s="189"/>
    </row>
    <row r="54" spans="1:26">
      <c r="A54" s="1"/>
      <c r="B54" s="1"/>
      <c r="C54" s="22"/>
      <c r="D54" s="137"/>
      <c r="E54" s="137"/>
      <c r="F54" s="137"/>
      <c r="G54" s="137"/>
      <c r="H54" s="137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">
        <f t="shared" ref="B55:J55" si="40">B53+B48</f>
        <v>0</v>
      </c>
      <c r="C55" s="22">
        <f t="shared" si="40"/>
        <v>5732</v>
      </c>
      <c r="D55" s="137">
        <f t="shared" si="40"/>
        <v>6037</v>
      </c>
      <c r="E55" s="137">
        <f t="shared" si="40"/>
        <v>6440</v>
      </c>
      <c r="F55" s="137">
        <f t="shared" si="40"/>
        <v>6728</v>
      </c>
      <c r="G55" s="137">
        <f t="shared" si="40"/>
        <v>6857</v>
      </c>
      <c r="H55" s="137">
        <f t="shared" si="40"/>
        <v>7092</v>
      </c>
      <c r="I55" s="11">
        <f t="shared" si="40"/>
        <v>8344</v>
      </c>
      <c r="J55" s="11">
        <f t="shared" si="40"/>
        <v>8686</v>
      </c>
      <c r="K55" s="11">
        <f t="shared" ref="K55" si="41">K53+K48</f>
        <v>9266</v>
      </c>
      <c r="L55" s="7">
        <f>RATE(5,,-F55,K55)</f>
        <v>6.6108148116667265E-2</v>
      </c>
      <c r="M55" s="1"/>
      <c r="N55" s="1" t="s">
        <v>49</v>
      </c>
      <c r="O55" s="7" t="e">
        <f t="shared" ref="O55:X55" si="42">B55/B$38</f>
        <v>#DIV/0!</v>
      </c>
      <c r="P55" s="7">
        <f t="shared" si="42"/>
        <v>0.70993311865246467</v>
      </c>
      <c r="Q55" s="7">
        <f t="shared" si="42"/>
        <v>0.71376211870418538</v>
      </c>
      <c r="R55" s="7">
        <f t="shared" si="42"/>
        <v>0.71507883633133462</v>
      </c>
      <c r="S55" s="7">
        <f t="shared" si="42"/>
        <v>0.7067969324508877</v>
      </c>
      <c r="T55" s="7">
        <f t="shared" si="42"/>
        <v>0.69848222471223387</v>
      </c>
      <c r="U55" s="7">
        <f t="shared" si="42"/>
        <v>0.69768814559763892</v>
      </c>
      <c r="V55" s="7">
        <f t="shared" si="42"/>
        <v>0.72543905407755171</v>
      </c>
      <c r="W55" s="7">
        <f t="shared" si="42"/>
        <v>0.71820737555812797</v>
      </c>
      <c r="X55" s="7">
        <f t="shared" si="42"/>
        <v>0.71452806909315236</v>
      </c>
      <c r="Y55" s="7">
        <f>SUM(F55:K55)/SUM(F$38:K$38)</f>
        <v>0.7110118822371907</v>
      </c>
      <c r="Z55" s="189"/>
    </row>
    <row r="56" spans="1:26">
      <c r="A56" s="1"/>
      <c r="B56" s="1"/>
      <c r="C56" s="22"/>
      <c r="D56" s="137"/>
      <c r="E56" s="137"/>
      <c r="F56" s="137"/>
      <c r="G56" s="137"/>
      <c r="H56" s="137"/>
      <c r="I56" s="11"/>
      <c r="J56" s="11"/>
      <c r="K56" s="1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"/>
      <c r="C57" s="22">
        <f>106+9+50</f>
        <v>165</v>
      </c>
      <c r="D57" s="137">
        <f>106   +9</f>
        <v>115</v>
      </c>
      <c r="E57" s="137">
        <f>106
  +9</f>
        <v>115</v>
      </c>
      <c r="F57" s="137">
        <f>106
 +8</f>
        <v>114</v>
      </c>
      <c r="G57" s="137">
        <f>106
+8</f>
        <v>114</v>
      </c>
      <c r="H57" s="137">
        <v>113</v>
      </c>
      <c r="I57" s="11">
        <v>113</v>
      </c>
      <c r="J57" s="11"/>
      <c r="K57" s="11"/>
      <c r="L57" s="7"/>
      <c r="M57" s="1"/>
      <c r="N57" s="1" t="s">
        <v>50</v>
      </c>
      <c r="O57" s="7" t="e">
        <f t="shared" ref="O57:X57" si="43">B57/B$38</f>
        <v>#DIV/0!</v>
      </c>
      <c r="P57" s="7">
        <f t="shared" si="43"/>
        <v>2.0435967302452316E-2</v>
      </c>
      <c r="Q57" s="7">
        <f t="shared" si="43"/>
        <v>1.3596594939702058E-2</v>
      </c>
      <c r="R57" s="7">
        <f t="shared" si="43"/>
        <v>1.2769264934488119E-2</v>
      </c>
      <c r="S57" s="7">
        <f t="shared" si="43"/>
        <v>1.1976047904191617E-2</v>
      </c>
      <c r="T57" s="7">
        <f t="shared" si="43"/>
        <v>1.1612508913109911E-2</v>
      </c>
      <c r="U57" s="7">
        <f t="shared" si="43"/>
        <v>1.1116576487948844E-2</v>
      </c>
      <c r="V57" s="7">
        <f t="shared" si="43"/>
        <v>9.8243783689793071E-3</v>
      </c>
      <c r="W57" s="7">
        <f t="shared" si="43"/>
        <v>0</v>
      </c>
      <c r="X57" s="7">
        <f t="shared" si="43"/>
        <v>0</v>
      </c>
      <c r="Y57" s="7">
        <f>SUM(F57:K57)/SUM(F$38:K$38)</f>
        <v>6.8720199803224101E-3</v>
      </c>
      <c r="Z57" s="189"/>
    </row>
    <row r="58" spans="1:26">
      <c r="A58" s="1"/>
      <c r="B58" s="1"/>
      <c r="C58" s="22"/>
      <c r="D58" s="137"/>
      <c r="E58" s="137"/>
      <c r="F58" s="137"/>
      <c r="G58" s="137"/>
      <c r="H58" s="137"/>
      <c r="I58" s="11"/>
      <c r="J58" s="11"/>
      <c r="K58" s="1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"/>
      <c r="C59" s="22"/>
      <c r="D59" s="137"/>
      <c r="E59" s="137"/>
      <c r="F59" s="137"/>
      <c r="G59" s="137"/>
      <c r="H59" s="137"/>
      <c r="I59" s="11"/>
      <c r="J59" s="11"/>
      <c r="K59" s="1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"/>
      <c r="C60" s="22">
        <f>2177-C61</f>
        <v>1193</v>
      </c>
      <c r="D60" s="137">
        <f>2306-D61</f>
        <v>1193</v>
      </c>
      <c r="E60" s="137">
        <f>2451-E61</f>
        <v>1244</v>
      </c>
      <c r="F60" s="137">
        <f>2677-F61</f>
        <v>1328</v>
      </c>
      <c r="G60" s="137">
        <f>2846-G61</f>
        <v>1382</v>
      </c>
      <c r="H60" s="137">
        <v>2960</v>
      </c>
      <c r="I60" s="11">
        <v>3045</v>
      </c>
      <c r="J60" s="11">
        <f>3408</f>
        <v>3408</v>
      </c>
      <c r="K60" s="11">
        <f>3702</f>
        <v>3702</v>
      </c>
      <c r="L60" s="7">
        <f t="shared" ref="L60:L63" si="44">RATE(5,,-F60,K60)</f>
        <v>0.22757396147571488</v>
      </c>
      <c r="M60" s="1"/>
      <c r="N60" s="1" t="str">
        <f>A60</f>
        <v>Common Stock</v>
      </c>
      <c r="O60" s="7" t="e">
        <f t="shared" ref="O60:X63" si="45">B60/B$38</f>
        <v>#DIV/0!</v>
      </c>
      <c r="P60" s="7">
        <f t="shared" si="45"/>
        <v>0.14775823631409463</v>
      </c>
      <c r="Q60" s="7">
        <f t="shared" si="45"/>
        <v>0.14104989359186568</v>
      </c>
      <c r="R60" s="7">
        <f t="shared" si="45"/>
        <v>0.13813013546524538</v>
      </c>
      <c r="S60" s="7">
        <f t="shared" si="45"/>
        <v>0.13951045277865323</v>
      </c>
      <c r="T60" s="7">
        <f t="shared" si="45"/>
        <v>0.14077620454313944</v>
      </c>
      <c r="U60" s="7">
        <f t="shared" si="45"/>
        <v>0.29119527791441219</v>
      </c>
      <c r="V60" s="7">
        <f t="shared" si="45"/>
        <v>0.26473656755346897</v>
      </c>
      <c r="W60" s="7">
        <f t="shared" si="45"/>
        <v>0.28179262444187198</v>
      </c>
      <c r="X60" s="7">
        <f t="shared" si="45"/>
        <v>0.28547193090684764</v>
      </c>
      <c r="Y60" s="7">
        <f t="shared" ref="Y60:Y63" si="46">SUM(F60:K60)/SUM(F$38:K$38)</f>
        <v>0.2395368197986831</v>
      </c>
      <c r="Z60" s="189"/>
    </row>
    <row r="61" spans="1:26">
      <c r="A61" s="1" t="s">
        <v>53</v>
      </c>
      <c r="B61" s="1"/>
      <c r="C61" s="22">
        <f xml:space="preserve"> 984</f>
        <v>984</v>
      </c>
      <c r="D61" s="137">
        <f>1113</f>
        <v>1113</v>
      </c>
      <c r="E61" s="137">
        <f>1207</f>
        <v>1207</v>
      </c>
      <c r="F61" s="137">
        <f>1349</f>
        <v>1349</v>
      </c>
      <c r="G61" s="137">
        <f>1464</f>
        <v>1464</v>
      </c>
      <c r="H61" s="137"/>
      <c r="I61" s="11"/>
      <c r="J61" s="11"/>
      <c r="K61" s="11"/>
      <c r="L61" s="7"/>
      <c r="M61" s="1"/>
      <c r="N61" s="1" t="str">
        <f>A61</f>
        <v>Retained Earnings</v>
      </c>
      <c r="O61" s="7" t="e">
        <f t="shared" si="45"/>
        <v>#DIV/0!</v>
      </c>
      <c r="P61" s="7">
        <f t="shared" si="45"/>
        <v>0.12187267773098835</v>
      </c>
      <c r="Q61" s="7">
        <f t="shared" si="45"/>
        <v>0.13159139276424686</v>
      </c>
      <c r="R61" s="7">
        <f t="shared" si="45"/>
        <v>0.13402176326893181</v>
      </c>
      <c r="S61" s="7">
        <f t="shared" si="45"/>
        <v>0.14171656686626746</v>
      </c>
      <c r="T61" s="7">
        <f t="shared" si="45"/>
        <v>0.14912906183151675</v>
      </c>
      <c r="U61" s="7">
        <f t="shared" si="45"/>
        <v>0</v>
      </c>
      <c r="V61" s="7">
        <f t="shared" si="45"/>
        <v>0</v>
      </c>
      <c r="W61" s="7">
        <f t="shared" si="45"/>
        <v>0</v>
      </c>
      <c r="X61" s="7">
        <f t="shared" si="45"/>
        <v>0</v>
      </c>
      <c r="Y61" s="7">
        <f t="shared" si="46"/>
        <v>4.2579277983803829E-2</v>
      </c>
      <c r="Z61" s="189"/>
    </row>
    <row r="62" spans="1:26">
      <c r="A62" s="1" t="s">
        <v>54</v>
      </c>
      <c r="B62" s="1">
        <f t="shared" ref="B62:J62" si="47">SUM(B59:B61)</f>
        <v>0</v>
      </c>
      <c r="C62" s="22">
        <f t="shared" ref="C62:H62" si="48">SUM(C59:C61)</f>
        <v>2177</v>
      </c>
      <c r="D62" s="137">
        <f t="shared" si="48"/>
        <v>2306</v>
      </c>
      <c r="E62" s="137">
        <f t="shared" si="48"/>
        <v>2451</v>
      </c>
      <c r="F62" s="137">
        <f t="shared" si="48"/>
        <v>2677</v>
      </c>
      <c r="G62" s="137">
        <f t="shared" si="48"/>
        <v>2846</v>
      </c>
      <c r="H62" s="137">
        <f t="shared" si="48"/>
        <v>2960</v>
      </c>
      <c r="I62" s="11">
        <f t="shared" si="47"/>
        <v>3045</v>
      </c>
      <c r="J62" s="11">
        <f t="shared" si="47"/>
        <v>3408</v>
      </c>
      <c r="K62" s="11">
        <f t="shared" ref="K62" si="49">SUM(K59:K61)</f>
        <v>3702</v>
      </c>
      <c r="L62" s="7">
        <f t="shared" si="44"/>
        <v>6.6983267013609876E-2</v>
      </c>
      <c r="M62" s="1"/>
      <c r="N62" s="1" t="str">
        <f>A62</f>
        <v>Total Common Equity</v>
      </c>
      <c r="O62" s="7" t="e">
        <f t="shared" si="45"/>
        <v>#DIV/0!</v>
      </c>
      <c r="P62" s="7">
        <f t="shared" si="45"/>
        <v>0.26963091404508299</v>
      </c>
      <c r="Q62" s="7">
        <f t="shared" si="45"/>
        <v>0.27264128635611257</v>
      </c>
      <c r="R62" s="7">
        <f t="shared" si="45"/>
        <v>0.27215189873417722</v>
      </c>
      <c r="S62" s="7">
        <f t="shared" si="45"/>
        <v>0.28122701964492069</v>
      </c>
      <c r="T62" s="7">
        <f t="shared" si="45"/>
        <v>0.28990526637465619</v>
      </c>
      <c r="U62" s="7">
        <f t="shared" si="45"/>
        <v>0.29119527791441219</v>
      </c>
      <c r="V62" s="7">
        <f t="shared" si="45"/>
        <v>0.26473656755346897</v>
      </c>
      <c r="W62" s="7">
        <f t="shared" si="45"/>
        <v>0.28179262444187198</v>
      </c>
      <c r="X62" s="7">
        <f t="shared" si="45"/>
        <v>0.28547193090684764</v>
      </c>
      <c r="Y62" s="7">
        <f t="shared" si="46"/>
        <v>0.28211609778248692</v>
      </c>
      <c r="Z62" s="189"/>
    </row>
    <row r="63" spans="1:26">
      <c r="A63" s="1" t="s">
        <v>55</v>
      </c>
      <c r="B63" s="1">
        <f t="shared" ref="B63:J63" si="50">B62+B55+B57</f>
        <v>0</v>
      </c>
      <c r="C63" s="22">
        <f t="shared" si="50"/>
        <v>8074</v>
      </c>
      <c r="D63" s="137">
        <f t="shared" si="50"/>
        <v>8458</v>
      </c>
      <c r="E63" s="137">
        <f t="shared" si="50"/>
        <v>9006</v>
      </c>
      <c r="F63" s="137">
        <f t="shared" si="50"/>
        <v>9519</v>
      </c>
      <c r="G63" s="137">
        <f t="shared" si="50"/>
        <v>9817</v>
      </c>
      <c r="H63" s="137">
        <f t="shared" si="50"/>
        <v>10165</v>
      </c>
      <c r="I63" s="11">
        <f t="shared" si="50"/>
        <v>11502</v>
      </c>
      <c r="J63" s="11">
        <f t="shared" si="50"/>
        <v>12094</v>
      </c>
      <c r="K63" s="11">
        <f t="shared" ref="K63" si="51">K62+K55+K57</f>
        <v>12968</v>
      </c>
      <c r="L63" s="7">
        <f t="shared" si="44"/>
        <v>6.3791056997323486E-2</v>
      </c>
      <c r="M63" s="1"/>
      <c r="N63" s="1" t="s">
        <v>55</v>
      </c>
      <c r="O63" s="7" t="e">
        <f t="shared" si="45"/>
        <v>#DIV/0!</v>
      </c>
      <c r="P63" s="7">
        <f t="shared" si="45"/>
        <v>1</v>
      </c>
      <c r="Q63" s="7">
        <f t="shared" si="45"/>
        <v>1</v>
      </c>
      <c r="R63" s="7">
        <f t="shared" si="45"/>
        <v>1</v>
      </c>
      <c r="S63" s="7">
        <f t="shared" si="45"/>
        <v>1</v>
      </c>
      <c r="T63" s="7">
        <f t="shared" si="45"/>
        <v>1</v>
      </c>
      <c r="U63" s="7">
        <f t="shared" si="45"/>
        <v>1</v>
      </c>
      <c r="V63" s="7">
        <f t="shared" si="45"/>
        <v>1</v>
      </c>
      <c r="W63" s="7">
        <f t="shared" si="45"/>
        <v>1</v>
      </c>
      <c r="X63" s="7">
        <f t="shared" si="45"/>
        <v>1</v>
      </c>
      <c r="Y63" s="7">
        <f t="shared" si="46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SCANA Corp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SCANA Corp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10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10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10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10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52">B73+1</f>
        <v>2002</v>
      </c>
      <c r="D73" s="5">
        <f t="shared" si="52"/>
        <v>2003</v>
      </c>
      <c r="E73" s="5">
        <f t="shared" si="52"/>
        <v>2004</v>
      </c>
      <c r="F73" s="5">
        <f t="shared" si="52"/>
        <v>2005</v>
      </c>
      <c r="G73" s="5">
        <f t="shared" si="52"/>
        <v>2006</v>
      </c>
      <c r="H73" s="5">
        <f t="shared" si="52"/>
        <v>2007</v>
      </c>
      <c r="I73" s="5">
        <f>H73+1</f>
        <v>2008</v>
      </c>
      <c r="J73" s="162">
        <f>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53">B73</f>
        <v>2001</v>
      </c>
      <c r="P73" s="5">
        <f t="shared" si="53"/>
        <v>2002</v>
      </c>
      <c r="Q73" s="5">
        <f t="shared" si="53"/>
        <v>2003</v>
      </c>
      <c r="R73" s="5">
        <f t="shared" si="53"/>
        <v>2004</v>
      </c>
      <c r="S73" s="5">
        <f t="shared" si="53"/>
        <v>2005</v>
      </c>
      <c r="T73" s="5">
        <f t="shared" si="53"/>
        <v>2006</v>
      </c>
      <c r="U73" s="5">
        <f t="shared" si="53"/>
        <v>2007</v>
      </c>
      <c r="V73" s="5">
        <f t="shared" si="53"/>
        <v>2008</v>
      </c>
      <c r="W73" s="162">
        <f>J8</f>
        <v>2009</v>
      </c>
      <c r="X73" s="162">
        <f>K8</f>
        <v>2010</v>
      </c>
      <c r="Y73" s="10" t="s">
        <v>60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tr">
        <f>+A74</f>
        <v>Operating Sales and Revenues: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/>
      <c r="C75" s="22">
        <f>1380</f>
        <v>1380</v>
      </c>
      <c r="D75" s="137">
        <f>1466</f>
        <v>1466</v>
      </c>
      <c r="E75" s="137">
        <f>1688</f>
        <v>1688</v>
      </c>
      <c r="F75" s="137">
        <f>1909</f>
        <v>1909</v>
      </c>
      <c r="G75" s="137">
        <f>1877</f>
        <v>1877</v>
      </c>
      <c r="H75" s="137">
        <v>1954</v>
      </c>
      <c r="I75" s="136">
        <v>2236</v>
      </c>
      <c r="J75" s="136">
        <v>2141</v>
      </c>
      <c r="K75" s="136">
        <v>2367</v>
      </c>
      <c r="L75" s="7">
        <f t="shared" ref="L75:L78" si="54">RATE(5,,-F75,K75)</f>
        <v>4.3947036819435209E-2</v>
      </c>
      <c r="M75" s="1"/>
      <c r="N75" s="1" t="str">
        <f t="shared" ref="N75:N78" si="55">+A75</f>
        <v>Electric</v>
      </c>
      <c r="O75" s="1"/>
      <c r="P75" s="1"/>
      <c r="Q75" s="1"/>
      <c r="R75" s="1"/>
      <c r="S75" s="7">
        <f>F75/F$78</f>
        <v>0.39962319447351896</v>
      </c>
      <c r="T75" s="7">
        <f t="shared" ref="T75:X77" si="56">G75/G$78</f>
        <v>0.41135218058294981</v>
      </c>
      <c r="U75" s="7">
        <f t="shared" si="56"/>
        <v>0.42285219649426531</v>
      </c>
      <c r="V75" s="7">
        <f t="shared" si="56"/>
        <v>0.42037977063357773</v>
      </c>
      <c r="W75" s="7">
        <f t="shared" si="56"/>
        <v>0.50531036110455507</v>
      </c>
      <c r="X75" s="7">
        <f t="shared" si="56"/>
        <v>0.51445337970006522</v>
      </c>
      <c r="Y75" s="7">
        <f t="shared" ref="Y75:Y77" si="57">SUM(F75:K75)/SUM(F$78:K$78)</f>
        <v>0.4439860587524006</v>
      </c>
    </row>
    <row r="76" spans="1:25">
      <c r="A76" s="1" t="s">
        <v>64</v>
      </c>
      <c r="B76" s="1"/>
      <c r="C76" s="22">
        <f>878</f>
        <v>878</v>
      </c>
      <c r="D76" s="137">
        <f>1086</f>
        <v>1086</v>
      </c>
      <c r="E76" s="137">
        <f>1126</f>
        <v>1126</v>
      </c>
      <c r="F76" s="137">
        <f>1405</f>
        <v>1405</v>
      </c>
      <c r="G76" s="137">
        <f>1257</f>
        <v>1257</v>
      </c>
      <c r="H76" s="137">
        <v>1105</v>
      </c>
      <c r="I76" s="136">
        <v>1247</v>
      </c>
      <c r="J76" s="136">
        <v>958</v>
      </c>
      <c r="K76" s="136">
        <v>989</v>
      </c>
      <c r="L76" s="7">
        <f t="shared" si="54"/>
        <v>-6.7810957927891574E-2</v>
      </c>
      <c r="M76" s="1"/>
      <c r="N76" s="1" t="str">
        <f t="shared" si="55"/>
        <v>Other Regulated Operations</v>
      </c>
      <c r="O76" s="7" t="e">
        <f t="shared" ref="O76:R76" si="58">B77/B$78</f>
        <v>#DIV/0!</v>
      </c>
      <c r="P76" s="7">
        <f t="shared" si="58"/>
        <v>0.23561272850372375</v>
      </c>
      <c r="Q76" s="7">
        <f t="shared" si="58"/>
        <v>0.25292740046838408</v>
      </c>
      <c r="R76" s="7">
        <f t="shared" si="58"/>
        <v>0.27567567567567569</v>
      </c>
      <c r="S76" s="7">
        <f>F76/F$78</f>
        <v>0.29411764705882354</v>
      </c>
      <c r="T76" s="7">
        <f t="shared" si="56"/>
        <v>0.27547666009204469</v>
      </c>
      <c r="U76" s="7">
        <f t="shared" si="56"/>
        <v>0.23912573036139365</v>
      </c>
      <c r="V76" s="7">
        <f t="shared" si="56"/>
        <v>0.23444256439180297</v>
      </c>
      <c r="W76" s="7">
        <f t="shared" si="56"/>
        <v>0.22610337502950201</v>
      </c>
      <c r="X76" s="7">
        <f t="shared" si="56"/>
        <v>0.21495327102803738</v>
      </c>
      <c r="Y76" s="7">
        <f t="shared" si="57"/>
        <v>0.2475638381108187</v>
      </c>
    </row>
    <row r="77" spans="1:25">
      <c r="A77" s="1" t="s">
        <v>65</v>
      </c>
      <c r="B77" s="1"/>
      <c r="C77" s="22">
        <f>696</f>
        <v>696</v>
      </c>
      <c r="D77" s="137">
        <f>864</f>
        <v>864</v>
      </c>
      <c r="E77" s="137">
        <f>1071</f>
        <v>1071</v>
      </c>
      <c r="F77" s="137">
        <f>1463</f>
        <v>1463</v>
      </c>
      <c r="G77" s="137">
        <f>1429</f>
        <v>1429</v>
      </c>
      <c r="H77" s="137">
        <v>1562</v>
      </c>
      <c r="I77" s="136">
        <v>1836</v>
      </c>
      <c r="J77" s="136">
        <v>1138</v>
      </c>
      <c r="K77" s="136">
        <v>1245</v>
      </c>
      <c r="L77" s="7">
        <f t="shared" si="54"/>
        <v>-3.1755575009573947E-2</v>
      </c>
      <c r="M77" s="1"/>
      <c r="N77" s="1" t="str">
        <f t="shared" si="55"/>
        <v>Non-Regulated Operations</v>
      </c>
      <c r="S77" s="7">
        <f>F77/F$78</f>
        <v>0.3062591584676575</v>
      </c>
      <c r="T77" s="7">
        <f t="shared" si="56"/>
        <v>0.3131711593250055</v>
      </c>
      <c r="U77" s="7">
        <f t="shared" si="56"/>
        <v>0.33802207314434107</v>
      </c>
      <c r="V77" s="7">
        <f t="shared" si="56"/>
        <v>0.34517766497461927</v>
      </c>
      <c r="W77" s="7">
        <f t="shared" si="56"/>
        <v>0.26858626386594286</v>
      </c>
      <c r="X77" s="7">
        <f t="shared" si="56"/>
        <v>0.27059334927189743</v>
      </c>
      <c r="Y77" s="7">
        <f t="shared" si="57"/>
        <v>0.30845010313678073</v>
      </c>
    </row>
    <row r="78" spans="1:25">
      <c r="A78" s="1" t="s">
        <v>67</v>
      </c>
      <c r="B78" s="1">
        <f t="shared" ref="B78:K78" si="59">SUM(B74:B77)</f>
        <v>0</v>
      </c>
      <c r="C78" s="22">
        <f t="shared" ref="C78:H78" si="60">SUM(C74:C77)</f>
        <v>2954</v>
      </c>
      <c r="D78" s="137">
        <f t="shared" si="60"/>
        <v>3416</v>
      </c>
      <c r="E78" s="137">
        <f t="shared" si="60"/>
        <v>3885</v>
      </c>
      <c r="F78" s="137">
        <f t="shared" si="60"/>
        <v>4777</v>
      </c>
      <c r="G78" s="137">
        <f t="shared" si="60"/>
        <v>4563</v>
      </c>
      <c r="H78" s="137">
        <f t="shared" si="60"/>
        <v>4621</v>
      </c>
      <c r="I78" s="11">
        <f t="shared" si="59"/>
        <v>5319</v>
      </c>
      <c r="J78" s="11">
        <f t="shared" si="59"/>
        <v>4237</v>
      </c>
      <c r="K78" s="11">
        <f t="shared" si="59"/>
        <v>4601</v>
      </c>
      <c r="L78" s="7">
        <f t="shared" si="54"/>
        <v>-7.4796994217997065E-3</v>
      </c>
      <c r="M78" s="1"/>
      <c r="N78" s="1" t="str">
        <f t="shared" si="55"/>
        <v>Total Revenues</v>
      </c>
      <c r="O78" s="7" t="e">
        <f>B78/B$78</f>
        <v>#DIV/0!</v>
      </c>
      <c r="P78" s="7">
        <f>C78/C$78</f>
        <v>1</v>
      </c>
      <c r="Q78" s="7">
        <f>D78/D$78</f>
        <v>1</v>
      </c>
      <c r="R78" s="7">
        <f>E78/E$78</f>
        <v>1</v>
      </c>
      <c r="S78" s="7">
        <f>F78/F$78</f>
        <v>1</v>
      </c>
      <c r="T78" s="7">
        <f>G78/G$78</f>
        <v>1</v>
      </c>
      <c r="U78" s="7">
        <f>H78/H$78</f>
        <v>1</v>
      </c>
      <c r="V78" s="7">
        <f>I78/I$78</f>
        <v>1</v>
      </c>
      <c r="W78" s="7">
        <f>J78/J$78</f>
        <v>1</v>
      </c>
      <c r="X78" s="7">
        <f>K78/K$78</f>
        <v>1</v>
      </c>
      <c r="Y78" s="7">
        <f>SUM(F78:K78)/SUM(F$78:K$78)</f>
        <v>1</v>
      </c>
    </row>
    <row r="79" spans="1:25">
      <c r="A79" s="1"/>
      <c r="B79" s="1"/>
      <c r="C79" s="22"/>
      <c r="D79" s="137"/>
      <c r="E79" s="137"/>
      <c r="F79" s="137"/>
      <c r="G79" s="137"/>
      <c r="H79" s="137"/>
      <c r="I79" s="11"/>
      <c r="J79" s="11"/>
      <c r="K79" s="1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22"/>
      <c r="D80" s="137"/>
      <c r="E80" s="137"/>
      <c r="F80" s="137"/>
      <c r="G80" s="137"/>
      <c r="H80" s="137"/>
      <c r="I80" s="11"/>
      <c r="J80" s="11"/>
      <c r="K80" s="1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"/>
      <c r="C81" s="22">
        <f>42+1199</f>
        <v>1241</v>
      </c>
      <c r="D81" s="137">
        <f>64+1532</f>
        <v>1596</v>
      </c>
      <c r="E81" s="137">
        <f>51+1753</f>
        <v>1804</v>
      </c>
      <c r="F81" s="137">
        <f>37+2399</f>
        <v>2436</v>
      </c>
      <c r="G81" s="137">
        <f>28+2213</f>
        <v>2241</v>
      </c>
      <c r="H81" s="137">
        <f>2161+33</f>
        <v>2194</v>
      </c>
      <c r="I81" s="11">
        <f>36+2547</f>
        <v>2583</v>
      </c>
      <c r="J81" s="11">
        <f>17+1570</f>
        <v>1587</v>
      </c>
      <c r="K81" s="11">
        <f>17+1679</f>
        <v>1696</v>
      </c>
      <c r="L81" s="7">
        <f t="shared" ref="L81:L85" si="61">RATE(5,,-F81,K81)</f>
        <v>-6.985701978793761E-2</v>
      </c>
      <c r="M81" s="1"/>
      <c r="N81" s="1" t="str">
        <f>A81</f>
        <v xml:space="preserve">   Purchased power</v>
      </c>
      <c r="O81" s="7" t="e">
        <f t="shared" ref="O81:X87" si="62">B81/B$78</f>
        <v>#DIV/0!</v>
      </c>
      <c r="P81" s="7">
        <f t="shared" si="62"/>
        <v>0.4201083276912661</v>
      </c>
      <c r="Q81" s="7">
        <f t="shared" si="62"/>
        <v>0.46721311475409838</v>
      </c>
      <c r="R81" s="7">
        <f t="shared" si="62"/>
        <v>0.46435006435006437</v>
      </c>
      <c r="S81" s="7">
        <f t="shared" si="62"/>
        <v>0.50994347917102789</v>
      </c>
      <c r="T81" s="7">
        <f t="shared" si="62"/>
        <v>0.4911242603550296</v>
      </c>
      <c r="U81" s="7">
        <f t="shared" si="62"/>
        <v>0.47478900670850466</v>
      </c>
      <c r="V81" s="7">
        <f t="shared" si="62"/>
        <v>0.48561759729272419</v>
      </c>
      <c r="W81" s="7">
        <f t="shared" si="62"/>
        <v>0.37455746990795374</v>
      </c>
      <c r="X81" s="7">
        <f t="shared" si="62"/>
        <v>0.36861551836557271</v>
      </c>
      <c r="Y81" s="7">
        <f t="shared" ref="Y81:Y101" si="63">SUM(F81:K81)/SUM(F$78:K$78)</f>
        <v>0.45298385375915784</v>
      </c>
    </row>
    <row r="82" spans="1:25">
      <c r="A82" s="1" t="s">
        <v>70</v>
      </c>
      <c r="B82" s="1"/>
      <c r="C82" s="22">
        <f>330</f>
        <v>330</v>
      </c>
      <c r="D82" s="137">
        <f>334</f>
        <v>334</v>
      </c>
      <c r="E82" s="137">
        <f>467</f>
        <v>467</v>
      </c>
      <c r="F82" s="137">
        <f>618</f>
        <v>618</v>
      </c>
      <c r="G82" s="137">
        <f>615</f>
        <v>615</v>
      </c>
      <c r="H82" s="137">
        <v>662</v>
      </c>
      <c r="I82" s="11">
        <v>864</v>
      </c>
      <c r="J82" s="11">
        <v>818</v>
      </c>
      <c r="K82" s="11">
        <v>942</v>
      </c>
      <c r="L82" s="7">
        <f t="shared" si="61"/>
        <v>8.7958890685807395E-2</v>
      </c>
      <c r="M82" s="1"/>
      <c r="N82" s="1" t="str">
        <f t="shared" ref="N82:N87" si="64">A82</f>
        <v xml:space="preserve">   Fuel</v>
      </c>
      <c r="O82" s="7" t="e">
        <f t="shared" si="62"/>
        <v>#DIV/0!</v>
      </c>
      <c r="P82" s="7">
        <f t="shared" si="62"/>
        <v>0.11171293161814488</v>
      </c>
      <c r="Q82" s="7">
        <f t="shared" si="62"/>
        <v>9.7775175644028101E-2</v>
      </c>
      <c r="R82" s="7">
        <f t="shared" si="62"/>
        <v>0.12020592020592021</v>
      </c>
      <c r="S82" s="7">
        <f t="shared" si="62"/>
        <v>0.12936989742516222</v>
      </c>
      <c r="T82" s="7">
        <f t="shared" si="62"/>
        <v>0.13477975016436555</v>
      </c>
      <c r="U82" s="7">
        <f t="shared" si="62"/>
        <v>0.14325903484094352</v>
      </c>
      <c r="V82" s="7">
        <f t="shared" si="62"/>
        <v>0.16243654822335024</v>
      </c>
      <c r="W82" s="7">
        <f t="shared" si="62"/>
        <v>0.19306112815671467</v>
      </c>
      <c r="X82" s="7">
        <f t="shared" si="62"/>
        <v>0.20473810041295371</v>
      </c>
      <c r="Y82" s="7">
        <f t="shared" si="63"/>
        <v>0.16071555587168362</v>
      </c>
    </row>
    <row r="83" spans="1:25">
      <c r="A83" s="1" t="s">
        <v>71</v>
      </c>
      <c r="B83" s="1"/>
      <c r="C83" s="22">
        <f>522</f>
        <v>522</v>
      </c>
      <c r="D83" s="137">
        <f>558</f>
        <v>558</v>
      </c>
      <c r="E83" s="137">
        <f>608</f>
        <v>608</v>
      </c>
      <c r="F83" s="137">
        <f>632</f>
        <v>632</v>
      </c>
      <c r="G83" s="137">
        <f>619</f>
        <v>619</v>
      </c>
      <c r="H83" s="137">
        <v>648</v>
      </c>
      <c r="I83" s="11">
        <v>675</v>
      </c>
      <c r="J83" s="11">
        <v>640</v>
      </c>
      <c r="K83" s="11">
        <v>670</v>
      </c>
      <c r="L83" s="7">
        <f t="shared" si="61"/>
        <v>1.1746113748023824E-2</v>
      </c>
      <c r="M83" s="1"/>
      <c r="N83" s="1" t="str">
        <f t="shared" si="64"/>
        <v xml:space="preserve">   Other operations and maintenance</v>
      </c>
      <c r="O83" s="7" t="e">
        <f t="shared" si="62"/>
        <v>#DIV/0!</v>
      </c>
      <c r="P83" s="7">
        <f t="shared" si="62"/>
        <v>0.17670954637779282</v>
      </c>
      <c r="Q83" s="7">
        <f t="shared" si="62"/>
        <v>0.16334894613583137</v>
      </c>
      <c r="R83" s="7">
        <f t="shared" si="62"/>
        <v>0.15649935649935651</v>
      </c>
      <c r="S83" s="7">
        <f t="shared" si="62"/>
        <v>0.13230060707557045</v>
      </c>
      <c r="T83" s="7">
        <f t="shared" si="62"/>
        <v>0.1356563664255972</v>
      </c>
      <c r="U83" s="7">
        <f t="shared" si="62"/>
        <v>0.14022938757844622</v>
      </c>
      <c r="V83" s="7">
        <f t="shared" si="62"/>
        <v>0.12690355329949238</v>
      </c>
      <c r="W83" s="7">
        <f t="shared" si="62"/>
        <v>0.15105027141845645</v>
      </c>
      <c r="X83" s="7">
        <f t="shared" si="62"/>
        <v>0.14562051727885242</v>
      </c>
      <c r="Y83" s="7">
        <f t="shared" si="63"/>
        <v>0.13813215733693721</v>
      </c>
    </row>
    <row r="84" spans="1:25">
      <c r="A84" s="1" t="s">
        <v>72</v>
      </c>
      <c r="B84" s="1"/>
      <c r="C84" s="22">
        <f>220</f>
        <v>220</v>
      </c>
      <c r="D84" s="137">
        <f>238</f>
        <v>238</v>
      </c>
      <c r="E84" s="137">
        <f>265</f>
        <v>265</v>
      </c>
      <c r="F84" s="137">
        <f>510</f>
        <v>510</v>
      </c>
      <c r="G84" s="137">
        <f>333</f>
        <v>333</v>
      </c>
      <c r="H84" s="137">
        <v>324</v>
      </c>
      <c r="I84" s="11">
        <v>319</v>
      </c>
      <c r="J84" s="11">
        <v>316</v>
      </c>
      <c r="K84" s="11">
        <v>335</v>
      </c>
      <c r="L84" s="7">
        <f t="shared" si="61"/>
        <v>-8.0620266265891069E-2</v>
      </c>
      <c r="M84" s="1"/>
      <c r="N84" s="1" t="str">
        <f t="shared" si="64"/>
        <v xml:space="preserve">   Depreciation and amortization</v>
      </c>
      <c r="O84" s="7" t="e">
        <f t="shared" si="62"/>
        <v>#DIV/0!</v>
      </c>
      <c r="P84" s="7">
        <f t="shared" si="62"/>
        <v>7.4475287745429927E-2</v>
      </c>
      <c r="Q84" s="7">
        <f t="shared" si="62"/>
        <v>6.9672131147540978E-2</v>
      </c>
      <c r="R84" s="7">
        <f t="shared" si="62"/>
        <v>6.8211068211068204E-2</v>
      </c>
      <c r="S84" s="7">
        <f t="shared" si="62"/>
        <v>0.10676156583629894</v>
      </c>
      <c r="T84" s="7">
        <f t="shared" si="62"/>
        <v>7.2978303747534515E-2</v>
      </c>
      <c r="U84" s="7">
        <f t="shared" si="62"/>
        <v>7.0114693789223109E-2</v>
      </c>
      <c r="V84" s="7">
        <f t="shared" si="62"/>
        <v>5.9973679263019365E-2</v>
      </c>
      <c r="W84" s="7">
        <f t="shared" si="62"/>
        <v>7.4581071512862876E-2</v>
      </c>
      <c r="X84" s="7">
        <f t="shared" si="62"/>
        <v>7.2810258639426209E-2</v>
      </c>
      <c r="Y84" s="7">
        <f t="shared" si="63"/>
        <v>7.6001138061028525E-2</v>
      </c>
    </row>
    <row r="85" spans="1:25">
      <c r="A85" s="1" t="s">
        <v>73</v>
      </c>
      <c r="B85" s="1"/>
      <c r="C85" s="22">
        <f>127</f>
        <v>127</v>
      </c>
      <c r="D85" s="137">
        <f>139</f>
        <v>139</v>
      </c>
      <c r="E85" s="137">
        <f>145</f>
        <v>145</v>
      </c>
      <c r="F85" s="137">
        <f>145</f>
        <v>145</v>
      </c>
      <c r="G85" s="137">
        <f>152</f>
        <v>152</v>
      </c>
      <c r="H85" s="137">
        <v>160</v>
      </c>
      <c r="I85" s="11">
        <v>168</v>
      </c>
      <c r="J85" s="11">
        <v>177</v>
      </c>
      <c r="K85" s="11">
        <v>190</v>
      </c>
      <c r="L85" s="7">
        <f t="shared" si="61"/>
        <v>5.5545891648487798E-2</v>
      </c>
      <c r="M85" s="1"/>
      <c r="N85" s="1" t="str">
        <f t="shared" si="64"/>
        <v xml:space="preserve">   Taxes, other than income taxes</v>
      </c>
      <c r="O85" s="7" t="e">
        <f t="shared" si="62"/>
        <v>#DIV/0!</v>
      </c>
      <c r="P85" s="7">
        <f t="shared" si="62"/>
        <v>4.2992552471225458E-2</v>
      </c>
      <c r="Q85" s="7">
        <f t="shared" si="62"/>
        <v>4.0690866510538638E-2</v>
      </c>
      <c r="R85" s="7">
        <f t="shared" si="62"/>
        <v>3.7323037323037322E-2</v>
      </c>
      <c r="S85" s="7">
        <f t="shared" si="62"/>
        <v>3.0353778522084991E-2</v>
      </c>
      <c r="T85" s="7">
        <f t="shared" si="62"/>
        <v>3.331141792680254E-2</v>
      </c>
      <c r="U85" s="7">
        <f t="shared" si="62"/>
        <v>3.4624540142826225E-2</v>
      </c>
      <c r="V85" s="7">
        <f t="shared" si="62"/>
        <v>3.1584884376762552E-2</v>
      </c>
      <c r="W85" s="7">
        <f t="shared" si="62"/>
        <v>4.1774840689166863E-2</v>
      </c>
      <c r="X85" s="7">
        <f t="shared" si="62"/>
        <v>4.1295370571614864E-2</v>
      </c>
      <c r="Y85" s="7">
        <f t="shared" si="63"/>
        <v>3.5279891884202288E-2</v>
      </c>
    </row>
    <row r="86" spans="1:25">
      <c r="A86" s="1" t="s">
        <v>74</v>
      </c>
      <c r="B86" s="1"/>
      <c r="C86" s="22"/>
      <c r="D86" s="137"/>
      <c r="E86" s="137"/>
      <c r="F86" s="137"/>
      <c r="G86" s="137"/>
      <c r="H86" s="137"/>
      <c r="I86" s="11"/>
      <c r="J86" s="11"/>
      <c r="K86" s="11"/>
      <c r="L86" s="7"/>
      <c r="M86" s="1"/>
      <c r="N86" s="1" t="str">
        <f t="shared" si="64"/>
        <v xml:space="preserve">   Other Operating Expenses</v>
      </c>
      <c r="O86" s="7" t="e">
        <f t="shared" si="62"/>
        <v>#DIV/0!</v>
      </c>
      <c r="P86" s="7">
        <f t="shared" si="62"/>
        <v>0</v>
      </c>
      <c r="Q86" s="7">
        <f t="shared" si="62"/>
        <v>0</v>
      </c>
      <c r="R86" s="7">
        <f t="shared" si="62"/>
        <v>0</v>
      </c>
      <c r="S86" s="7">
        <f t="shared" si="62"/>
        <v>0</v>
      </c>
      <c r="T86" s="7">
        <f t="shared" si="62"/>
        <v>0</v>
      </c>
      <c r="U86" s="7">
        <f t="shared" si="62"/>
        <v>0</v>
      </c>
      <c r="V86" s="7">
        <f t="shared" si="62"/>
        <v>0</v>
      </c>
      <c r="W86" s="7">
        <f t="shared" si="62"/>
        <v>0</v>
      </c>
      <c r="X86" s="7">
        <f t="shared" si="62"/>
        <v>0</v>
      </c>
      <c r="Y86" s="7">
        <f t="shared" si="63"/>
        <v>0</v>
      </c>
    </row>
    <row r="87" spans="1:25">
      <c r="A87" s="1" t="s">
        <v>75</v>
      </c>
      <c r="B87" s="1">
        <f t="shared" ref="B87" si="65">SUM(B80:B86)</f>
        <v>0</v>
      </c>
      <c r="C87" s="22">
        <f t="shared" ref="C87:H87" si="66">SUM(C80:C86)</f>
        <v>2440</v>
      </c>
      <c r="D87" s="137">
        <f t="shared" si="66"/>
        <v>2865</v>
      </c>
      <c r="E87" s="137">
        <f t="shared" si="66"/>
        <v>3289</v>
      </c>
      <c r="F87" s="137">
        <f t="shared" si="66"/>
        <v>4341</v>
      </c>
      <c r="G87" s="137">
        <f t="shared" si="66"/>
        <v>3960</v>
      </c>
      <c r="H87" s="137">
        <f t="shared" si="66"/>
        <v>3988</v>
      </c>
      <c r="I87" s="11">
        <f>SUM(I81:I86)</f>
        <v>4609</v>
      </c>
      <c r="J87" s="11">
        <f>SUM(J81:J86)</f>
        <v>3538</v>
      </c>
      <c r="K87" s="11">
        <f>SUM(K81:K86)</f>
        <v>3833</v>
      </c>
      <c r="L87" s="7">
        <f t="shared" ref="L87" si="67">RATE(5,,-F87,K87)</f>
        <v>-2.4584153793664472E-2</v>
      </c>
      <c r="M87" s="1"/>
      <c r="N87" s="1" t="str">
        <f t="shared" si="64"/>
        <v>Total Operating Expenses</v>
      </c>
      <c r="O87" s="7" t="e">
        <f t="shared" si="62"/>
        <v>#DIV/0!</v>
      </c>
      <c r="P87" s="7">
        <f t="shared" si="62"/>
        <v>0.82599864590385919</v>
      </c>
      <c r="Q87" s="7">
        <f t="shared" si="62"/>
        <v>0.83870023419203743</v>
      </c>
      <c r="R87" s="7">
        <f t="shared" si="62"/>
        <v>0.84658944658944657</v>
      </c>
      <c r="S87" s="7">
        <f t="shared" si="62"/>
        <v>0.90872932803014439</v>
      </c>
      <c r="T87" s="7">
        <f t="shared" si="62"/>
        <v>0.86785009861932938</v>
      </c>
      <c r="U87" s="7">
        <f t="shared" si="62"/>
        <v>0.86301666305994373</v>
      </c>
      <c r="V87" s="7">
        <f t="shared" si="62"/>
        <v>0.86651626245534874</v>
      </c>
      <c r="W87" s="7">
        <f t="shared" si="62"/>
        <v>0.83502478168515459</v>
      </c>
      <c r="X87" s="7">
        <f t="shared" si="62"/>
        <v>0.83307976526841987</v>
      </c>
      <c r="Y87" s="7">
        <f t="shared" si="63"/>
        <v>0.86311259691300946</v>
      </c>
    </row>
    <row r="88" spans="1:25">
      <c r="A88" s="1" t="s">
        <v>76</v>
      </c>
      <c r="B88" s="1"/>
      <c r="C88" s="22"/>
      <c r="D88" s="137"/>
      <c r="E88" s="137"/>
      <c r="F88" s="137"/>
      <c r="G88" s="137"/>
      <c r="H88" s="137"/>
      <c r="I88" s="11"/>
      <c r="J88" s="11"/>
      <c r="K88" s="11"/>
      <c r="L88" s="7"/>
      <c r="M88" s="1"/>
      <c r="N88" s="1" t="str">
        <f>A88</f>
        <v xml:space="preserve">  Electric Earnings from Operations</v>
      </c>
      <c r="O88" s="7" t="e">
        <f t="shared" ref="O88:R88" si="68">B90/B$78</f>
        <v>#DIV/0!</v>
      </c>
      <c r="P88" s="7">
        <f t="shared" si="68"/>
        <v>0.17400135409614081</v>
      </c>
      <c r="Q88" s="7">
        <f t="shared" si="68"/>
        <v>0.16129976580796254</v>
      </c>
      <c r="R88" s="7">
        <f t="shared" si="68"/>
        <v>0.1534105534105534</v>
      </c>
      <c r="S88" s="7">
        <f t="shared" ref="S88:S90" si="69">F88/F$78</f>
        <v>0</v>
      </c>
      <c r="T88" s="7">
        <f t="shared" ref="T88:T90" si="70">G88/G$78</f>
        <v>0</v>
      </c>
      <c r="U88" s="7">
        <f t="shared" ref="U88:U90" si="71">H88/H$78</f>
        <v>0</v>
      </c>
      <c r="V88" s="7">
        <f t="shared" ref="V88:V90" si="72">I88/I$78</f>
        <v>0</v>
      </c>
      <c r="W88" s="7">
        <f t="shared" ref="W88:W90" si="73">J88/J$78</f>
        <v>0</v>
      </c>
      <c r="X88" s="7">
        <f t="shared" ref="X88:X90" si="74">K88/K$78</f>
        <v>0</v>
      </c>
      <c r="Y88" s="7">
        <f t="shared" si="63"/>
        <v>0</v>
      </c>
    </row>
    <row r="89" spans="1:25">
      <c r="A89" s="1" t="s">
        <v>77</v>
      </c>
      <c r="B89" s="1"/>
      <c r="C89" s="22"/>
      <c r="D89" s="137"/>
      <c r="E89" s="137"/>
      <c r="F89" s="137"/>
      <c r="G89" s="137"/>
      <c r="H89" s="137"/>
      <c r="I89" s="11"/>
      <c r="J89" s="11"/>
      <c r="K89" s="11"/>
      <c r="L89" s="7"/>
      <c r="M89" s="1"/>
      <c r="N89" s="1" t="str">
        <f t="shared" ref="N89:N90" si="75">A89</f>
        <v xml:space="preserve">  Other Regulated Operating Earnings</v>
      </c>
      <c r="O89" s="7" t="e">
        <f t="shared" ref="O89:O90" si="76">B91/B$78</f>
        <v>#DIV/0!</v>
      </c>
      <c r="P89" s="7">
        <f t="shared" ref="P89:P90" si="77">C91/C$78</f>
        <v>0</v>
      </c>
      <c r="Q89" s="7">
        <f t="shared" ref="Q89:Q90" si="78">D91/D$78</f>
        <v>0</v>
      </c>
      <c r="R89" s="7">
        <f t="shared" ref="R89:R90" si="79">E91/E$78</f>
        <v>0</v>
      </c>
      <c r="S89" s="7">
        <f t="shared" si="69"/>
        <v>0</v>
      </c>
      <c r="T89" s="7">
        <f t="shared" si="70"/>
        <v>0</v>
      </c>
      <c r="U89" s="7">
        <f t="shared" si="71"/>
        <v>0</v>
      </c>
      <c r="V89" s="7">
        <f t="shared" si="72"/>
        <v>0</v>
      </c>
      <c r="W89" s="7">
        <f t="shared" si="73"/>
        <v>0</v>
      </c>
      <c r="X89" s="7">
        <f t="shared" si="74"/>
        <v>0</v>
      </c>
      <c r="Y89" s="7">
        <f t="shared" si="63"/>
        <v>0</v>
      </c>
    </row>
    <row r="90" spans="1:25">
      <c r="A90" s="1" t="s">
        <v>78</v>
      </c>
      <c r="B90" s="1">
        <f t="shared" ref="B90:I90" si="80">B78-B87</f>
        <v>0</v>
      </c>
      <c r="C90" s="22">
        <f t="shared" si="80"/>
        <v>514</v>
      </c>
      <c r="D90" s="137">
        <f t="shared" si="80"/>
        <v>551</v>
      </c>
      <c r="E90" s="137">
        <f t="shared" si="80"/>
        <v>596</v>
      </c>
      <c r="F90" s="137">
        <f t="shared" si="80"/>
        <v>436</v>
      </c>
      <c r="G90" s="137">
        <f t="shared" si="80"/>
        <v>603</v>
      </c>
      <c r="H90" s="137">
        <f t="shared" si="80"/>
        <v>633</v>
      </c>
      <c r="I90" s="137">
        <f t="shared" si="80"/>
        <v>710</v>
      </c>
      <c r="J90" s="11">
        <f>J78-J87</f>
        <v>699</v>
      </c>
      <c r="K90" s="11">
        <f>K78-K87</f>
        <v>768</v>
      </c>
      <c r="L90" s="7">
        <f t="shared" ref="L90" si="81">RATE(5,,-F90,K90)</f>
        <v>0.11988891568231995</v>
      </c>
      <c r="M90" s="1"/>
      <c r="N90" s="1" t="str">
        <f t="shared" si="75"/>
        <v>Total Earnings From Operations</v>
      </c>
      <c r="O90" s="7" t="e">
        <f t="shared" si="76"/>
        <v>#DIV/0!</v>
      </c>
      <c r="P90" s="7">
        <f t="shared" si="77"/>
        <v>6.736628300609343E-2</v>
      </c>
      <c r="Q90" s="7">
        <f t="shared" si="78"/>
        <v>5.8548009367681501E-2</v>
      </c>
      <c r="R90" s="7">
        <f t="shared" si="79"/>
        <v>5.1994851994851994E-2</v>
      </c>
      <c r="S90" s="7">
        <f t="shared" si="69"/>
        <v>9.1270671969855555E-2</v>
      </c>
      <c r="T90" s="7">
        <f t="shared" si="70"/>
        <v>0.13214990138067062</v>
      </c>
      <c r="U90" s="7">
        <f t="shared" si="71"/>
        <v>0.13698333694005627</v>
      </c>
      <c r="V90" s="7">
        <f t="shared" si="72"/>
        <v>0.13348373754465126</v>
      </c>
      <c r="W90" s="7">
        <f t="shared" si="73"/>
        <v>0.16497521831484541</v>
      </c>
      <c r="X90" s="7">
        <f t="shared" si="74"/>
        <v>0.1669202347315801</v>
      </c>
      <c r="Y90" s="7">
        <f t="shared" si="63"/>
        <v>0.13688740308699054</v>
      </c>
    </row>
    <row r="91" spans="1:25">
      <c r="A91" s="1"/>
      <c r="B91" s="1"/>
      <c r="C91" s="22"/>
      <c r="D91" s="137"/>
      <c r="E91" s="137"/>
      <c r="F91" s="137"/>
      <c r="G91" s="137"/>
      <c r="H91" s="137"/>
      <c r="I91" s="11"/>
      <c r="J91" s="11"/>
      <c r="K91" s="1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>
        <f t="shared" si="63"/>
        <v>0</v>
      </c>
    </row>
    <row r="92" spans="1:25">
      <c r="A92" s="1" t="s">
        <v>79</v>
      </c>
      <c r="B92" s="1"/>
      <c r="C92" s="22">
        <f>199</f>
        <v>199</v>
      </c>
      <c r="D92" s="137">
        <f>200</f>
        <v>200</v>
      </c>
      <c r="E92" s="137">
        <f>202</f>
        <v>202</v>
      </c>
      <c r="F92" s="137">
        <f>212</f>
        <v>212</v>
      </c>
      <c r="G92" s="137">
        <f>209</f>
        <v>209</v>
      </c>
      <c r="H92" s="137">
        <v>206</v>
      </c>
      <c r="I92" s="11">
        <v>227</v>
      </c>
      <c r="J92" s="11">
        <v>233</v>
      </c>
      <c r="K92" s="11">
        <v>266</v>
      </c>
      <c r="L92" s="7">
        <f t="shared" ref="L92:L96" si="82">RATE(5,,-F92,K92)</f>
        <v>4.6427526019910674E-2</v>
      </c>
      <c r="M92" s="1"/>
      <c r="N92" s="1" t="str">
        <f>A92</f>
        <v xml:space="preserve">   Interest expense (net)</v>
      </c>
      <c r="O92" s="7" t="e">
        <f t="shared" ref="O92:X96" si="83">B92/B$78</f>
        <v>#DIV/0!</v>
      </c>
      <c r="P92" s="7">
        <f t="shared" si="83"/>
        <v>6.736628300609343E-2</v>
      </c>
      <c r="Q92" s="7">
        <f t="shared" si="83"/>
        <v>5.8548009367681501E-2</v>
      </c>
      <c r="R92" s="7">
        <f t="shared" si="83"/>
        <v>5.1994851994851994E-2</v>
      </c>
      <c r="S92" s="7">
        <f t="shared" si="83"/>
        <v>4.4379317563324264E-2</v>
      </c>
      <c r="T92" s="7">
        <f t="shared" si="83"/>
        <v>4.5803199649353497E-2</v>
      </c>
      <c r="U92" s="7">
        <f t="shared" si="83"/>
        <v>4.4579095433888771E-2</v>
      </c>
      <c r="V92" s="7">
        <f t="shared" si="83"/>
        <v>4.2677194961458921E-2</v>
      </c>
      <c r="W92" s="7">
        <f t="shared" si="83"/>
        <v>5.4991739438281804E-2</v>
      </c>
      <c r="X92" s="7">
        <f t="shared" si="83"/>
        <v>5.781351880026081E-2</v>
      </c>
      <c r="Y92" s="7">
        <f t="shared" si="63"/>
        <v>4.811864286222349E-2</v>
      </c>
    </row>
    <row r="93" spans="1:25">
      <c r="A93" s="1" t="s">
        <v>80</v>
      </c>
      <c r="B93" s="1"/>
      <c r="C93" s="22">
        <f>7+4</f>
        <v>11</v>
      </c>
      <c r="D93" s="137">
        <f>9</f>
        <v>9</v>
      </c>
      <c r="E93" s="137">
        <v>7</v>
      </c>
      <c r="F93" s="137">
        <v>7</v>
      </c>
      <c r="G93" s="137">
        <f>7</f>
        <v>7</v>
      </c>
      <c r="H93" s="137">
        <v>7</v>
      </c>
      <c r="I93" s="11"/>
      <c r="J93" s="11"/>
      <c r="K93" s="11"/>
      <c r="L93" s="7"/>
      <c r="M93" s="1"/>
      <c r="N93" s="1" t="str">
        <f>A93</f>
        <v xml:space="preserve">   Interest income</v>
      </c>
      <c r="O93" s="7" t="e">
        <f t="shared" si="83"/>
        <v>#DIV/0!</v>
      </c>
      <c r="P93" s="7">
        <f t="shared" si="83"/>
        <v>3.7237643872714962E-3</v>
      </c>
      <c r="Q93" s="7">
        <f t="shared" si="83"/>
        <v>2.6346604215456673E-3</v>
      </c>
      <c r="R93" s="7">
        <f t="shared" si="83"/>
        <v>1.8018018018018018E-3</v>
      </c>
      <c r="S93" s="7">
        <f t="shared" si="83"/>
        <v>1.4653548252041031E-3</v>
      </c>
      <c r="T93" s="7">
        <f t="shared" si="83"/>
        <v>1.5340784571553803E-3</v>
      </c>
      <c r="U93" s="7">
        <f t="shared" si="83"/>
        <v>1.5148236312486475E-3</v>
      </c>
      <c r="V93" s="7">
        <f t="shared" si="83"/>
        <v>0</v>
      </c>
      <c r="W93" s="7">
        <f t="shared" si="83"/>
        <v>0</v>
      </c>
      <c r="X93" s="7">
        <f t="shared" si="83"/>
        <v>0</v>
      </c>
      <c r="Y93" s="7">
        <f t="shared" si="63"/>
        <v>7.4685254996799204E-4</v>
      </c>
    </row>
    <row r="94" spans="1:25">
      <c r="A94" s="1" t="s">
        <v>81</v>
      </c>
      <c r="B94" s="1"/>
      <c r="C94" s="22"/>
      <c r="D94" s="137">
        <f>-61</f>
        <v>-61</v>
      </c>
      <c r="E94" s="137">
        <f>20</f>
        <v>20</v>
      </c>
      <c r="F94" s="137">
        <f>-9</f>
        <v>-9</v>
      </c>
      <c r="G94" s="137">
        <f>-3</f>
        <v>-3</v>
      </c>
      <c r="H94" s="137">
        <v>-9</v>
      </c>
      <c r="I94" s="11"/>
      <c r="J94" s="11"/>
      <c r="K94" s="11"/>
      <c r="L94" s="7"/>
      <c r="M94" s="1"/>
      <c r="N94" s="1" t="str">
        <f>A94</f>
        <v xml:space="preserve">   Loss (Gain) on Sale of Assets</v>
      </c>
      <c r="O94" s="7" t="e">
        <f t="shared" si="83"/>
        <v>#DIV/0!</v>
      </c>
      <c r="P94" s="7">
        <f t="shared" si="83"/>
        <v>0</v>
      </c>
      <c r="Q94" s="7">
        <f t="shared" si="83"/>
        <v>-1.7857142857142856E-2</v>
      </c>
      <c r="R94" s="7">
        <f t="shared" si="83"/>
        <v>5.1480051480051478E-3</v>
      </c>
      <c r="S94" s="7">
        <f t="shared" si="83"/>
        <v>-1.8840276324052752E-3</v>
      </c>
      <c r="T94" s="7">
        <f t="shared" si="83"/>
        <v>-6.5746219592373442E-4</v>
      </c>
      <c r="U94" s="7">
        <f t="shared" si="83"/>
        <v>-1.9476303830339753E-3</v>
      </c>
      <c r="V94" s="7">
        <f t="shared" si="83"/>
        <v>0</v>
      </c>
      <c r="W94" s="7">
        <f t="shared" si="83"/>
        <v>0</v>
      </c>
      <c r="X94" s="7">
        <f t="shared" si="83"/>
        <v>0</v>
      </c>
      <c r="Y94" s="7">
        <f t="shared" si="63"/>
        <v>-7.4685254996799204E-4</v>
      </c>
    </row>
    <row r="95" spans="1:25">
      <c r="A95" s="1" t="s">
        <v>157</v>
      </c>
      <c r="B95" s="1"/>
      <c r="C95" s="22">
        <f>180</f>
        <v>180</v>
      </c>
      <c r="D95" s="137">
        <f>-167 +123+53-19</f>
        <v>-10</v>
      </c>
      <c r="E95" s="137">
        <f>-181+160+27-16</f>
        <v>-10</v>
      </c>
      <c r="F95" s="137">
        <f>-248+200</f>
        <v>-48</v>
      </c>
      <c r="G95" s="137">
        <f>-142+93</f>
        <v>-49</v>
      </c>
      <c r="H95" s="137">
        <f>-90+48-2</f>
        <v>-44</v>
      </c>
      <c r="I95" s="11">
        <f>-79+42-14</f>
        <v>-51</v>
      </c>
      <c r="J95" s="11">
        <f>-65+37-28</f>
        <v>-56</v>
      </c>
      <c r="K95" s="11">
        <f>-51+39-20</f>
        <v>-32</v>
      </c>
      <c r="L95" s="7">
        <f t="shared" si="82"/>
        <v>-7.7892088518272271E-2</v>
      </c>
      <c r="M95" s="1"/>
      <c r="N95" s="1" t="str">
        <f>A95</f>
        <v xml:space="preserve">   Other (Income) Expense</v>
      </c>
      <c r="O95" s="7" t="e">
        <f t="shared" si="83"/>
        <v>#DIV/0!</v>
      </c>
      <c r="P95" s="7">
        <f t="shared" si="83"/>
        <v>6.0934326337169942E-2</v>
      </c>
      <c r="Q95" s="7">
        <f t="shared" si="83"/>
        <v>-2.9274004683840752E-3</v>
      </c>
      <c r="R95" s="7">
        <f t="shared" si="83"/>
        <v>-2.5740025740025739E-3</v>
      </c>
      <c r="S95" s="7">
        <f t="shared" si="83"/>
        <v>-1.0048147372828135E-2</v>
      </c>
      <c r="T95" s="7">
        <f t="shared" si="83"/>
        <v>-1.0738549200087662E-2</v>
      </c>
      <c r="U95" s="7">
        <f t="shared" si="83"/>
        <v>-9.5217485392772132E-3</v>
      </c>
      <c r="V95" s="7">
        <f t="shared" si="83"/>
        <v>-9.5882684715172025E-3</v>
      </c>
      <c r="W95" s="7">
        <f t="shared" si="83"/>
        <v>-1.321689874911494E-2</v>
      </c>
      <c r="X95" s="7">
        <f t="shared" si="83"/>
        <v>-6.955009780482504E-3</v>
      </c>
      <c r="Y95" s="7">
        <f t="shared" si="63"/>
        <v>-9.9580339995732278E-3</v>
      </c>
    </row>
    <row r="96" spans="1:25">
      <c r="A96" s="1" t="s">
        <v>83</v>
      </c>
      <c r="B96" s="1">
        <f t="shared" ref="B96:J96" si="84">SUM(B92:B95)</f>
        <v>0</v>
      </c>
      <c r="C96" s="22">
        <f t="shared" ref="C96:H96" si="85">SUM(C92:C95)</f>
        <v>390</v>
      </c>
      <c r="D96" s="137">
        <f t="shared" si="85"/>
        <v>138</v>
      </c>
      <c r="E96" s="137">
        <f t="shared" si="85"/>
        <v>219</v>
      </c>
      <c r="F96" s="137">
        <f t="shared" si="85"/>
        <v>162</v>
      </c>
      <c r="G96" s="137">
        <f t="shared" si="85"/>
        <v>164</v>
      </c>
      <c r="H96" s="137">
        <f t="shared" si="85"/>
        <v>160</v>
      </c>
      <c r="I96" s="11">
        <f t="shared" si="84"/>
        <v>176</v>
      </c>
      <c r="J96" s="11">
        <f t="shared" si="84"/>
        <v>177</v>
      </c>
      <c r="K96" s="11">
        <f t="shared" ref="K96" si="86">SUM(K92:K95)</f>
        <v>234</v>
      </c>
      <c r="L96" s="7">
        <f t="shared" si="82"/>
        <v>7.6316922522576575E-2</v>
      </c>
      <c r="M96" s="1"/>
      <c r="N96" s="1" t="str">
        <f>A96</f>
        <v>Total Other Income/Expense</v>
      </c>
      <c r="O96" s="7" t="e">
        <f t="shared" si="83"/>
        <v>#DIV/0!</v>
      </c>
      <c r="P96" s="7">
        <f t="shared" si="83"/>
        <v>0.13202437373053486</v>
      </c>
      <c r="Q96" s="7">
        <f t="shared" si="83"/>
        <v>4.0398126463700237E-2</v>
      </c>
      <c r="R96" s="7">
        <f t="shared" si="83"/>
        <v>5.6370656370656372E-2</v>
      </c>
      <c r="S96" s="7">
        <f t="shared" si="83"/>
        <v>3.3912497383294958E-2</v>
      </c>
      <c r="T96" s="7">
        <f t="shared" si="83"/>
        <v>3.594126671049748E-2</v>
      </c>
      <c r="U96" s="7">
        <f t="shared" si="83"/>
        <v>3.4624540142826225E-2</v>
      </c>
      <c r="V96" s="7">
        <f t="shared" si="83"/>
        <v>3.3088926489941717E-2</v>
      </c>
      <c r="W96" s="7">
        <f t="shared" si="83"/>
        <v>4.1774840689166863E-2</v>
      </c>
      <c r="X96" s="7">
        <f t="shared" si="83"/>
        <v>5.0858509019778307E-2</v>
      </c>
      <c r="Y96" s="7">
        <f t="shared" si="63"/>
        <v>3.8160608862650262E-2</v>
      </c>
    </row>
    <row r="97" spans="1:25">
      <c r="A97" s="1"/>
      <c r="B97" s="1"/>
      <c r="C97" s="22"/>
      <c r="D97" s="137"/>
      <c r="E97" s="137"/>
      <c r="F97" s="137"/>
      <c r="G97" s="137"/>
      <c r="H97" s="137"/>
      <c r="I97" s="11"/>
      <c r="J97" s="11"/>
      <c r="K97" s="1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</row>
    <row r="98" spans="1:25">
      <c r="A98" s="1" t="s">
        <v>84</v>
      </c>
      <c r="B98" s="1">
        <f t="shared" ref="B98:H98" si="87">B90-B96</f>
        <v>0</v>
      </c>
      <c r="C98" s="22">
        <f t="shared" si="87"/>
        <v>124</v>
      </c>
      <c r="D98" s="137">
        <f t="shared" si="87"/>
        <v>413</v>
      </c>
      <c r="E98" s="137">
        <f t="shared" si="87"/>
        <v>377</v>
      </c>
      <c r="F98" s="137">
        <f t="shared" si="87"/>
        <v>274</v>
      </c>
      <c r="G98" s="137">
        <f t="shared" si="87"/>
        <v>439</v>
      </c>
      <c r="H98" s="137">
        <f t="shared" si="87"/>
        <v>473</v>
      </c>
      <c r="I98" s="11">
        <f>I90-I96</f>
        <v>534</v>
      </c>
      <c r="J98" s="11">
        <f>J90-J96</f>
        <v>522</v>
      </c>
      <c r="K98" s="11">
        <f>K90-K96</f>
        <v>534</v>
      </c>
      <c r="L98" s="7">
        <f t="shared" ref="L98" si="88">RATE(5,,-F98,K98)</f>
        <v>0.14276817933694827</v>
      </c>
      <c r="M98" s="1"/>
      <c r="N98" s="1" t="s">
        <v>84</v>
      </c>
      <c r="O98" s="7" t="e">
        <f t="shared" ref="O98:X101" si="89">B98/B$78</f>
        <v>#DIV/0!</v>
      </c>
      <c r="P98" s="7">
        <f t="shared" si="89"/>
        <v>4.1976980365605959E-2</v>
      </c>
      <c r="Q98" s="7">
        <f t="shared" si="89"/>
        <v>0.12090163934426229</v>
      </c>
      <c r="R98" s="7">
        <f t="shared" si="89"/>
        <v>9.7039897039897044E-2</v>
      </c>
      <c r="S98" s="7">
        <f t="shared" si="89"/>
        <v>5.7358174586560604E-2</v>
      </c>
      <c r="T98" s="7">
        <f t="shared" si="89"/>
        <v>9.6208634670173127E-2</v>
      </c>
      <c r="U98" s="7">
        <f t="shared" si="89"/>
        <v>0.10235879679723003</v>
      </c>
      <c r="V98" s="7">
        <f t="shared" si="89"/>
        <v>0.10039481105470953</v>
      </c>
      <c r="W98" s="7">
        <f t="shared" si="89"/>
        <v>0.12320037762567855</v>
      </c>
      <c r="X98" s="7">
        <f t="shared" si="89"/>
        <v>0.11606172571180179</v>
      </c>
      <c r="Y98" s="7">
        <f t="shared" si="63"/>
        <v>9.8726794224340275E-2</v>
      </c>
    </row>
    <row r="99" spans="1:25">
      <c r="A99" s="1" t="s">
        <v>85</v>
      </c>
      <c r="B99" s="1"/>
      <c r="C99" s="22">
        <f>230</f>
        <v>230</v>
      </c>
      <c r="D99" s="137">
        <f>-4</f>
        <v>-4</v>
      </c>
      <c r="E99" s="137">
        <f>-3</f>
        <v>-3</v>
      </c>
      <c r="F99" s="137">
        <f>72</f>
        <v>72</v>
      </c>
      <c r="G99" s="137">
        <f>-16+6</f>
        <v>-10</v>
      </c>
      <c r="H99" s="137">
        <v>-13</v>
      </c>
      <c r="I99" s="11">
        <v>-8</v>
      </c>
      <c r="J99" s="11">
        <v>2</v>
      </c>
      <c r="K99" s="11">
        <v>1</v>
      </c>
      <c r="L99" s="7"/>
      <c r="M99" s="1"/>
      <c r="N99" s="1" t="str">
        <f>A99</f>
        <v>Extraordinary Items</v>
      </c>
      <c r="O99" s="7" t="e">
        <f t="shared" si="89"/>
        <v>#DIV/0!</v>
      </c>
      <c r="P99" s="7">
        <f t="shared" si="89"/>
        <v>7.7860528097494927E-2</v>
      </c>
      <c r="Q99" s="7">
        <f t="shared" si="89"/>
        <v>-1.17096018735363E-3</v>
      </c>
      <c r="R99" s="7">
        <f t="shared" si="89"/>
        <v>-7.722007722007722E-4</v>
      </c>
      <c r="S99" s="7">
        <f t="shared" si="89"/>
        <v>1.5072221059242202E-2</v>
      </c>
      <c r="T99" s="7">
        <f t="shared" si="89"/>
        <v>-2.1915406530791147E-3</v>
      </c>
      <c r="U99" s="7">
        <f t="shared" si="89"/>
        <v>-2.8132438866046309E-3</v>
      </c>
      <c r="V99" s="7">
        <f t="shared" si="89"/>
        <v>-1.5040421131791691E-3</v>
      </c>
      <c r="W99" s="7">
        <f t="shared" si="89"/>
        <v>4.720320981826764E-4</v>
      </c>
      <c r="X99" s="7">
        <f t="shared" si="89"/>
        <v>2.1734405564007825E-4</v>
      </c>
      <c r="Y99" s="7">
        <f t="shared" si="63"/>
        <v>1.5648339142186501E-3</v>
      </c>
    </row>
    <row r="100" spans="1:25">
      <c r="A100" s="1" t="s">
        <v>86</v>
      </c>
      <c r="B100" s="1"/>
      <c r="C100" s="22">
        <f>36</f>
        <v>36</v>
      </c>
      <c r="D100" s="137">
        <f>135</f>
        <v>135</v>
      </c>
      <c r="E100" s="137">
        <f>123</f>
        <v>123</v>
      </c>
      <c r="F100" s="137">
        <v>118</v>
      </c>
      <c r="G100" s="137">
        <v>119</v>
      </c>
      <c r="H100" s="137">
        <v>140</v>
      </c>
      <c r="I100" s="11">
        <v>189</v>
      </c>
      <c r="J100" s="11">
        <v>167</v>
      </c>
      <c r="K100" s="11">
        <v>159</v>
      </c>
      <c r="L100" s="7">
        <f t="shared" ref="L100:L101" si="90">RATE(5,,-F100,K100)</f>
        <v>6.1458510374058868E-2</v>
      </c>
      <c r="M100" s="1"/>
      <c r="N100" s="1" t="str">
        <f>A100</f>
        <v>Income Taxes</v>
      </c>
      <c r="O100" s="7" t="e">
        <f t="shared" si="89"/>
        <v>#DIV/0!</v>
      </c>
      <c r="P100" s="7">
        <f t="shared" si="89"/>
        <v>1.2186865267433988E-2</v>
      </c>
      <c r="Q100" s="7">
        <f t="shared" si="89"/>
        <v>3.9519906323185014E-2</v>
      </c>
      <c r="R100" s="7">
        <f t="shared" si="89"/>
        <v>3.1660231660231658E-2</v>
      </c>
      <c r="S100" s="7">
        <f t="shared" si="89"/>
        <v>2.4701695624869166E-2</v>
      </c>
      <c r="T100" s="7">
        <f t="shared" si="89"/>
        <v>2.6079333771641462E-2</v>
      </c>
      <c r="U100" s="7">
        <f t="shared" si="89"/>
        <v>3.029647262497295E-2</v>
      </c>
      <c r="V100" s="7">
        <f t="shared" si="89"/>
        <v>3.553299492385787E-2</v>
      </c>
      <c r="W100" s="7">
        <f t="shared" si="89"/>
        <v>3.9414680198253484E-2</v>
      </c>
      <c r="X100" s="7">
        <f t="shared" si="89"/>
        <v>3.4557704846772438E-2</v>
      </c>
      <c r="Y100" s="7">
        <f t="shared" si="63"/>
        <v>3.1723451170068993E-2</v>
      </c>
    </row>
    <row r="101" spans="1:25">
      <c r="A101" s="1" t="s">
        <v>87</v>
      </c>
      <c r="B101" s="1">
        <f t="shared" ref="B101" si="91">B98+B99-B100</f>
        <v>0</v>
      </c>
      <c r="C101" s="22">
        <f>C98-C99-C100</f>
        <v>-142</v>
      </c>
      <c r="D101" s="137">
        <f>D98-D99-D100</f>
        <v>282</v>
      </c>
      <c r="E101" s="137">
        <f>E98-E99-E100</f>
        <v>257</v>
      </c>
      <c r="F101" s="137">
        <f t="shared" ref="F101:I101" si="92">F98-F99-F100</f>
        <v>84</v>
      </c>
      <c r="G101" s="137">
        <f t="shared" si="92"/>
        <v>330</v>
      </c>
      <c r="H101" s="137">
        <f t="shared" si="92"/>
        <v>346</v>
      </c>
      <c r="I101" s="137">
        <f t="shared" si="92"/>
        <v>353</v>
      </c>
      <c r="J101" s="11">
        <f>J98+J99-J100</f>
        <v>357</v>
      </c>
      <c r="K101" s="11">
        <f>K98+K99-K100</f>
        <v>376</v>
      </c>
      <c r="L101" s="7">
        <f t="shared" si="90"/>
        <v>0.34952741595634795</v>
      </c>
      <c r="M101" s="1"/>
      <c r="N101" s="1" t="s">
        <v>87</v>
      </c>
      <c r="O101" s="7" t="e">
        <f t="shared" si="89"/>
        <v>#DIV/0!</v>
      </c>
      <c r="P101" s="7">
        <f t="shared" si="89"/>
        <v>-4.8070412999322951E-2</v>
      </c>
      <c r="Q101" s="7">
        <f t="shared" si="89"/>
        <v>8.2552693208430908E-2</v>
      </c>
      <c r="R101" s="7">
        <f t="shared" si="89"/>
        <v>6.6151866151866148E-2</v>
      </c>
      <c r="S101" s="7">
        <f t="shared" si="89"/>
        <v>1.7584257902449236E-2</v>
      </c>
      <c r="T101" s="7">
        <f t="shared" si="89"/>
        <v>7.2320841551610782E-2</v>
      </c>
      <c r="U101" s="7">
        <f t="shared" si="89"/>
        <v>7.4875568058861725E-2</v>
      </c>
      <c r="V101" s="7">
        <f t="shared" si="89"/>
        <v>6.6365858244030837E-2</v>
      </c>
      <c r="W101" s="7">
        <f t="shared" si="89"/>
        <v>8.4257729525607741E-2</v>
      </c>
      <c r="X101" s="7">
        <f t="shared" si="89"/>
        <v>8.172136492066942E-2</v>
      </c>
      <c r="Y101" s="7">
        <f t="shared" si="63"/>
        <v>6.5651895582900632E-2</v>
      </c>
    </row>
    <row r="102" spans="1:25">
      <c r="A102" s="1"/>
      <c r="B102" s="1"/>
      <c r="C102" s="23"/>
      <c r="D102" s="137"/>
      <c r="E102" s="137"/>
      <c r="F102" s="137"/>
      <c r="G102" s="137"/>
      <c r="H102" s="137"/>
      <c r="I102" s="11"/>
      <c r="J102" s="11"/>
      <c r="K102" s="1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"/>
      <c r="C103" s="23"/>
      <c r="D103" s="141">
        <v>9</v>
      </c>
      <c r="E103" s="141">
        <v>7</v>
      </c>
      <c r="F103" s="141">
        <v>7</v>
      </c>
      <c r="G103" s="141">
        <v>7</v>
      </c>
      <c r="H103" s="141">
        <v>7</v>
      </c>
      <c r="I103" s="11">
        <v>7</v>
      </c>
      <c r="J103" s="11">
        <v>9</v>
      </c>
      <c r="K103" s="11"/>
      <c r="L103" s="7"/>
      <c r="M103" s="1"/>
      <c r="N103" s="1" t="s">
        <v>89</v>
      </c>
      <c r="O103" s="7" t="e">
        <f t="shared" ref="O103:W104" si="93">B103/B$101</f>
        <v>#DIV/0!</v>
      </c>
      <c r="P103" s="7">
        <f t="shared" si="93"/>
        <v>0</v>
      </c>
      <c r="Q103" s="7">
        <f t="shared" si="93"/>
        <v>3.1914893617021274E-2</v>
      </c>
      <c r="R103" s="7">
        <f t="shared" si="93"/>
        <v>2.7237354085603113E-2</v>
      </c>
      <c r="S103" s="7">
        <f t="shared" si="93"/>
        <v>8.3333333333333329E-2</v>
      </c>
      <c r="T103" s="7">
        <f t="shared" si="93"/>
        <v>2.1212121212121213E-2</v>
      </c>
      <c r="U103" s="7">
        <f t="shared" si="93"/>
        <v>2.023121387283237E-2</v>
      </c>
      <c r="V103" s="7">
        <f t="shared" si="93"/>
        <v>1.9830028328611898E-2</v>
      </c>
      <c r="W103" s="7">
        <f t="shared" si="93"/>
        <v>2.5210084033613446E-2</v>
      </c>
      <c r="X103" s="7"/>
      <c r="Y103" s="7">
        <f>SUM(F103:K103)/SUM(F$101:K$101)</f>
        <v>2.0043336944745395E-2</v>
      </c>
    </row>
    <row r="104" spans="1:25">
      <c r="A104" s="1" t="s">
        <v>90</v>
      </c>
      <c r="B104" s="1"/>
      <c r="C104" s="23"/>
      <c r="D104" s="141">
        <v>158</v>
      </c>
      <c r="E104" s="141">
        <v>168</v>
      </c>
      <c r="F104" s="141">
        <v>181</v>
      </c>
      <c r="G104" s="141">
        <v>198</v>
      </c>
      <c r="H104" s="141">
        <v>210</v>
      </c>
      <c r="I104" s="11">
        <v>219</v>
      </c>
      <c r="J104" s="11">
        <v>234</v>
      </c>
      <c r="K104" s="11">
        <v>237</v>
      </c>
      <c r="L104" s="7">
        <f t="shared" ref="L104" si="94">RATE(5,,-F104,K104)</f>
        <v>5.5392380023080272E-2</v>
      </c>
      <c r="M104" s="1"/>
      <c r="N104" s="1" t="s">
        <v>91</v>
      </c>
      <c r="O104" s="7" t="e">
        <f t="shared" si="93"/>
        <v>#DIV/0!</v>
      </c>
      <c r="P104" s="7">
        <f t="shared" si="93"/>
        <v>0</v>
      </c>
      <c r="Q104" s="7">
        <f t="shared" si="93"/>
        <v>0.56028368794326244</v>
      </c>
      <c r="R104" s="7">
        <f t="shared" si="93"/>
        <v>0.65369649805447472</v>
      </c>
      <c r="S104" s="7">
        <f t="shared" si="93"/>
        <v>2.1547619047619047</v>
      </c>
      <c r="T104" s="7">
        <f t="shared" si="93"/>
        <v>0.6</v>
      </c>
      <c r="U104" s="7">
        <f t="shared" si="93"/>
        <v>0.60693641618497107</v>
      </c>
      <c r="V104" s="7">
        <f t="shared" si="93"/>
        <v>0.6203966005665722</v>
      </c>
      <c r="W104" s="7">
        <f>J104/J$101</f>
        <v>0.65546218487394958</v>
      </c>
      <c r="X104" s="7">
        <f>K104/K$101</f>
        <v>0.63031914893617025</v>
      </c>
      <c r="Y104" s="7">
        <f>SUM(F104:K104)/SUM(F$101:K$101)</f>
        <v>0.69284940411700979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SCANA Corp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95">O8</f>
        <v>2001</v>
      </c>
      <c r="C114" s="5">
        <f t="shared" si="95"/>
        <v>2002</v>
      </c>
      <c r="D114" s="5">
        <f t="shared" si="95"/>
        <v>2003</v>
      </c>
      <c r="E114" s="5">
        <f t="shared" si="95"/>
        <v>2004</v>
      </c>
      <c r="F114" s="5">
        <f t="shared" si="95"/>
        <v>2005</v>
      </c>
      <c r="G114" s="5">
        <f t="shared" si="95"/>
        <v>2006</v>
      </c>
      <c r="H114" s="5">
        <f>U8</f>
        <v>2007</v>
      </c>
      <c r="I114" s="5">
        <f>V8</f>
        <v>2008</v>
      </c>
      <c r="J114" s="162">
        <f>J8</f>
        <v>2009</v>
      </c>
      <c r="K114" s="162">
        <f>K8</f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 t="e">
        <f t="shared" ref="B117:G117" si="96">B15/B48</f>
        <v>#DIV/0!</v>
      </c>
      <c r="C117" s="1">
        <f t="shared" si="96"/>
        <v>0.89341692789968652</v>
      </c>
      <c r="D117" s="1">
        <f t="shared" si="96"/>
        <v>0.8729227761485826</v>
      </c>
      <c r="E117" s="1">
        <f t="shared" si="96"/>
        <v>0.99831081081081086</v>
      </c>
      <c r="F117" s="1">
        <f t="shared" si="96"/>
        <v>0.97599999999999998</v>
      </c>
      <c r="G117" s="1">
        <f t="shared" si="96"/>
        <v>0.97935943060498221</v>
      </c>
      <c r="H117" s="1">
        <f>H15/H48</f>
        <v>0.75595583962812318</v>
      </c>
      <c r="I117" s="1">
        <f>I15/I48</f>
        <v>1.5896103896103897</v>
      </c>
      <c r="J117" s="1">
        <f>J15/J48</f>
        <v>1.2109872611464969</v>
      </c>
      <c r="K117" s="1">
        <f>K15/K48</f>
        <v>0.8735940010712373</v>
      </c>
      <c r="L117" s="12">
        <f>AVERAGE(F117:K117)</f>
        <v>1.0642511536768715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 t="e">
        <f t="shared" ref="B118:G118" si="97">(B11+B12)/B48</f>
        <v>#DIV/0!</v>
      </c>
      <c r="C118" s="1">
        <f t="shared" si="97"/>
        <v>0.67633228840125392</v>
      </c>
      <c r="D118" s="1">
        <f t="shared" si="97"/>
        <v>0.61876832844574781</v>
      </c>
      <c r="E118" s="1">
        <f t="shared" si="97"/>
        <v>0.71790540540540537</v>
      </c>
      <c r="F118" s="1">
        <f t="shared" si="97"/>
        <v>0.64466666666666672</v>
      </c>
      <c r="G118" s="1">
        <f t="shared" si="97"/>
        <v>0.63202846975088967</v>
      </c>
      <c r="H118" s="1">
        <f>(H11+H12)/H48</f>
        <v>0.4671702498547356</v>
      </c>
      <c r="I118" s="1">
        <f>(I11+I12)/I48</f>
        <v>0.95238095238095233</v>
      </c>
      <c r="J118" s="1">
        <f>(J11+J12)/J48</f>
        <v>0.68152866242038213</v>
      </c>
      <c r="K118" s="1">
        <f>(K11+K12)/K48</f>
        <v>0.47777182645956079</v>
      </c>
      <c r="L118" s="12">
        <f t="shared" ref="L118:L119" si="98">AVERAGE(F118:K118)</f>
        <v>0.64259113792219791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>
        <f t="shared" ref="C119:I119" si="99">365*(((B12+C12)/2)/((B78+C78)/2))</f>
        <v>60.421462423832097</v>
      </c>
      <c r="D119" s="1">
        <f t="shared" si="99"/>
        <v>57.586342229199374</v>
      </c>
      <c r="E119" s="1">
        <f t="shared" si="99"/>
        <v>62.341460073962466</v>
      </c>
      <c r="F119" s="1">
        <f t="shared" si="99"/>
        <v>68.937889632879234</v>
      </c>
      <c r="G119" s="1">
        <f t="shared" si="99"/>
        <v>62.214132762312637</v>
      </c>
      <c r="H119" s="1">
        <f t="shared" si="99"/>
        <v>53.93129355400697</v>
      </c>
      <c r="I119" s="1">
        <f t="shared" si="99"/>
        <v>55.007042253521128</v>
      </c>
      <c r="J119" s="1">
        <f>365*((I12+J12)/2)/((I78+J78*(2))/2)</f>
        <v>40.27622707170304</v>
      </c>
      <c r="K119" s="1">
        <f>365*((J12+K12)/2)/((J78+K78*(2))/2)</f>
        <v>41.581590892179477</v>
      </c>
      <c r="L119" s="12">
        <f t="shared" si="98"/>
        <v>53.658029361100411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 t="e">
        <f t="shared" ref="B122:I122" si="100">B62/B55</f>
        <v>#DIV/0!</v>
      </c>
      <c r="C122" s="1">
        <f t="shared" si="100"/>
        <v>0.3797976273551989</v>
      </c>
      <c r="D122" s="1">
        <f t="shared" si="100"/>
        <v>0.38197780354480704</v>
      </c>
      <c r="E122" s="1">
        <f t="shared" si="100"/>
        <v>0.38059006211180124</v>
      </c>
      <c r="F122" s="1">
        <f t="shared" si="100"/>
        <v>0.39788941736028538</v>
      </c>
      <c r="G122" s="1">
        <f t="shared" si="100"/>
        <v>0.41505031354819893</v>
      </c>
      <c r="H122" s="1">
        <f t="shared" si="100"/>
        <v>0.41737168640721939</v>
      </c>
      <c r="I122" s="1">
        <f t="shared" si="100"/>
        <v>0.36493288590604028</v>
      </c>
      <c r="J122" s="1">
        <f>J62/J55</f>
        <v>0.39235551462122958</v>
      </c>
      <c r="K122" s="1">
        <f>K62/K55</f>
        <v>0.39952514569393482</v>
      </c>
      <c r="L122" s="12">
        <f t="shared" ref="L122:L125" si="101">AVERAGE(F122:K122)</f>
        <v>0.39785416058948475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 t="e">
        <f t="shared" ref="B123:I123" si="102">B62/B53</f>
        <v>#DIV/0!</v>
      </c>
      <c r="C123" s="1">
        <f t="shared" si="102"/>
        <v>0.4885547576301616</v>
      </c>
      <c r="D123" s="1">
        <f t="shared" si="102"/>
        <v>0.4599122457120064</v>
      </c>
      <c r="E123" s="1">
        <f t="shared" si="102"/>
        <v>0.466324200913242</v>
      </c>
      <c r="F123" s="1">
        <f t="shared" si="102"/>
        <v>0.51205049732211172</v>
      </c>
      <c r="G123" s="1">
        <f t="shared" si="102"/>
        <v>0.52201027146001466</v>
      </c>
      <c r="H123" s="1">
        <f t="shared" si="102"/>
        <v>0.55110780115434743</v>
      </c>
      <c r="I123" s="1">
        <f t="shared" si="102"/>
        <v>0.42356377799415773</v>
      </c>
      <c r="J123" s="1">
        <f>J62/J53</f>
        <v>0.45868102288021534</v>
      </c>
      <c r="K123" s="1">
        <f>K62/K53</f>
        <v>0.50033788349776998</v>
      </c>
      <c r="L123" s="12">
        <f t="shared" si="101"/>
        <v>0.4946252090514362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 t="e">
        <f t="shared" ref="B124:I124" si="103">B62/B26</f>
        <v>#DIV/0!</v>
      </c>
      <c r="C124" s="1">
        <f t="shared" si="103"/>
        <v>0.37540955337127091</v>
      </c>
      <c r="D124" s="1">
        <f t="shared" si="103"/>
        <v>0.35935795543088672</v>
      </c>
      <c r="E124" s="1">
        <f t="shared" si="103"/>
        <v>0.36246672582076311</v>
      </c>
      <c r="F124" s="1">
        <f t="shared" si="103"/>
        <v>0.39753489753489751</v>
      </c>
      <c r="G124" s="1">
        <f t="shared" si="103"/>
        <v>0.40616526330812047</v>
      </c>
      <c r="H124" s="1">
        <f t="shared" si="103"/>
        <v>0.39267710267975592</v>
      </c>
      <c r="I124" s="1">
        <f t="shared" si="103"/>
        <v>0.3666465984346779</v>
      </c>
      <c r="J124" s="1">
        <f>J62/J26</f>
        <v>0.3782883782883783</v>
      </c>
      <c r="K124" s="1">
        <f>K62/K26</f>
        <v>0.3831504864417305</v>
      </c>
      <c r="L124" s="12">
        <f t="shared" si="101"/>
        <v>0.38741045444792671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104">(B98+B92)/B92</f>
        <v>#DIV/0!</v>
      </c>
      <c r="C125" s="1">
        <f t="shared" si="104"/>
        <v>1.6231155778894473</v>
      </c>
      <c r="D125" s="1">
        <f t="shared" si="104"/>
        <v>3.0649999999999999</v>
      </c>
      <c r="E125" s="1">
        <f t="shared" si="104"/>
        <v>2.8663366336633662</v>
      </c>
      <c r="F125" s="1">
        <f t="shared" si="104"/>
        <v>2.2924528301886791</v>
      </c>
      <c r="G125" s="1">
        <f t="shared" si="104"/>
        <v>3.1004784688995217</v>
      </c>
      <c r="H125" s="1">
        <f t="shared" si="104"/>
        <v>3.296116504854369</v>
      </c>
      <c r="I125" s="1">
        <f t="shared" si="104"/>
        <v>3.3524229074889869</v>
      </c>
      <c r="J125" s="1">
        <f>(J98+J92)/J92</f>
        <v>3.2403433476394849</v>
      </c>
      <c r="K125" s="1">
        <f>(K98+K92)/K92</f>
        <v>3.007518796992481</v>
      </c>
      <c r="L125" s="12">
        <f t="shared" si="101"/>
        <v>3.048222142677254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>
        <f t="shared" ref="C128:E128" si="105">(C101+(C92*(1-(C100/C98))))/((B38+C38)/2)</f>
        <v>-1.9177447321949546E-4</v>
      </c>
      <c r="D128" s="7">
        <f t="shared" si="105"/>
        <v>5.0402213566000692E-2</v>
      </c>
      <c r="E128" s="7">
        <f t="shared" si="105"/>
        <v>4.5017806999104487E-2</v>
      </c>
      <c r="F128" s="7">
        <f>(F101+(F92*(1-(F100/F98))))/((E38+F38)/2)</f>
        <v>2.2099943851768666E-2</v>
      </c>
      <c r="G128" s="7">
        <f t="shared" ref="G128:K128" si="106">(G101+(G92*(1-(G100/G98))))/((F38+G38)/2)</f>
        <v>4.9891005529360648E-2</v>
      </c>
      <c r="H128" s="7">
        <f t="shared" si="106"/>
        <v>4.9146980697003628E-2</v>
      </c>
      <c r="I128" s="7">
        <f t="shared" si="106"/>
        <v>4.6121503057256333E-2</v>
      </c>
      <c r="J128" s="7">
        <f t="shared" si="106"/>
        <v>4.3690274148680312E-2</v>
      </c>
      <c r="K128" s="7">
        <f t="shared" si="106"/>
        <v>4.4912437380016663E-2</v>
      </c>
      <c r="L128" s="7">
        <f>AVERAGE(F128:K128)</f>
        <v>4.2643690777347705E-2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>
        <f t="shared" ref="C129:E129" si="107">(C101+(C92*(1-(C100/C98))))/((B50+C50+B57+C57+B62+C62)/2)</f>
        <v>-2.9914742982500121E-4</v>
      </c>
      <c r="D129" s="7">
        <f t="shared" si="107"/>
        <v>7.6995878273251106E-2</v>
      </c>
      <c r="E129" s="7">
        <f t="shared" si="107"/>
        <v>6.8976222269903562E-2</v>
      </c>
      <c r="F129" s="7">
        <f>(F101+(F92*(1-(F100/F98))))/((E42+F42+E50+F50+E57+F57+E62+F62)/2)</f>
        <v>3.4452702167299044E-2</v>
      </c>
      <c r="G129" s="7">
        <f t="shared" ref="G129:K129" si="108">(G101+(G92*(1-(G100/G98))))/((F42+G42+F50+G50+F57+G57+F62+G62)/2)</f>
        <v>8.0411143028733645E-2</v>
      </c>
      <c r="H129" s="7">
        <f t="shared" si="108"/>
        <v>8.0135044331907504E-2</v>
      </c>
      <c r="I129" s="7">
        <f t="shared" si="108"/>
        <v>7.2163099851355647E-2</v>
      </c>
      <c r="J129" s="7">
        <f t="shared" si="108"/>
        <v>6.6160679554117613E-2</v>
      </c>
      <c r="K129" s="7">
        <f t="shared" si="108"/>
        <v>6.9869367201612506E-2</v>
      </c>
      <c r="L129" s="7">
        <f t="shared" ref="L129:L130" si="109">AVERAGE(F129:K129)</f>
        <v>6.7198672689170999E-2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 t="e">
        <f>(B101-B103)/((B62)/1)</f>
        <v>#DIV/0!</v>
      </c>
      <c r="C130" s="7">
        <f t="shared" ref="C130:E130" si="110">(C101-C103)/((C62+B62)/2)</f>
        <v>-0.13045475424896646</v>
      </c>
      <c r="D130" s="7">
        <f t="shared" si="110"/>
        <v>0.12179344189159046</v>
      </c>
      <c r="E130" s="7">
        <f t="shared" si="110"/>
        <v>0.10510826150935464</v>
      </c>
      <c r="F130" s="7">
        <f>(F101-F103)/((F62+E62)/2)</f>
        <v>3.0031201248049921E-2</v>
      </c>
      <c r="G130" s="7">
        <f t="shared" ref="G130:K130" si="111">(G101-G103)/((G62+F62)/2)</f>
        <v>0.11696541734564549</v>
      </c>
      <c r="H130" s="7">
        <f t="shared" si="111"/>
        <v>0.11677574922493972</v>
      </c>
      <c r="I130" s="7">
        <f t="shared" si="111"/>
        <v>0.11523730224812656</v>
      </c>
      <c r="J130" s="7">
        <f t="shared" si="111"/>
        <v>0.10785681078568107</v>
      </c>
      <c r="K130" s="7">
        <f t="shared" si="111"/>
        <v>0.10576652601969058</v>
      </c>
      <c r="L130" s="7">
        <f t="shared" si="109"/>
        <v>9.8772167812022235E-2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 t="e">
        <f>B78/B11</f>
        <v>#DIV/0!</v>
      </c>
      <c r="C133" s="1">
        <f t="shared" ref="C133:F133" si="112">C78/((B11+C11)/2)</f>
        <v>15.796791443850267</v>
      </c>
      <c r="D133" s="1">
        <f t="shared" si="112"/>
        <v>13.914460285132384</v>
      </c>
      <c r="E133" s="1">
        <f t="shared" si="112"/>
        <v>32.923728813559322</v>
      </c>
      <c r="F133" s="1">
        <f t="shared" si="112"/>
        <v>52.784530386740329</v>
      </c>
      <c r="G133" s="1">
        <f t="shared" ref="G133" si="113">G78/((F11+G11)/2)</f>
        <v>34.699619771863119</v>
      </c>
      <c r="H133" s="1">
        <f t="shared" ref="H133" si="114">H78/((G11+H11)/2)</f>
        <v>27.588059701492536</v>
      </c>
      <c r="I133" s="1">
        <f t="shared" ref="I133" si="115">I78/((H11+I11)/2)</f>
        <v>26.201970443349754</v>
      </c>
      <c r="J133" s="1">
        <f t="shared" ref="J133" si="116">J78/((I11+J11)/2)</f>
        <v>19.525345622119815</v>
      </c>
      <c r="K133" s="1">
        <f t="shared" ref="K133" si="117">K78/((J11+K11)/2)</f>
        <v>42.405529953917053</v>
      </c>
      <c r="L133" s="12">
        <f t="shared" ref="L133:L137" si="118">AVERAGE(F133:K133)</f>
        <v>33.867509313247098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 t="e">
        <f>B78/B12</f>
        <v>#DIV/0!</v>
      </c>
      <c r="C134" s="1">
        <f t="shared" ref="C134:F134" si="119">C78/((B12+C12)/2)</f>
        <v>12.081799591002046</v>
      </c>
      <c r="D134" s="1">
        <f t="shared" si="119"/>
        <v>6.7980099502487565</v>
      </c>
      <c r="E134" s="1">
        <f t="shared" si="119"/>
        <v>6.2309542902967125</v>
      </c>
      <c r="F134" s="1">
        <f t="shared" si="119"/>
        <v>5.8398533007334965</v>
      </c>
      <c r="G134" s="1">
        <f t="shared" ref="G134" si="120">G78/((F12+G12)/2)</f>
        <v>5.7324120603015079</v>
      </c>
      <c r="H134" s="1">
        <f t="shared" ref="H134" si="121">H78/((G12+H12)/2)</f>
        <v>6.8106116433308772</v>
      </c>
      <c r="I134" s="1">
        <f t="shared" ref="I134" si="122">I78/((H12+I12)/2)</f>
        <v>7.1014686248331111</v>
      </c>
      <c r="J134" s="1">
        <f t="shared" ref="J134" si="123">J78/((I12+J12)/2)</f>
        <v>5.5676741130091987</v>
      </c>
      <c r="K134" s="1">
        <f t="shared" ref="K134" si="124">K78/((J12+K12)/2)</f>
        <v>6.0104506858262576</v>
      </c>
      <c r="L134" s="12">
        <f t="shared" si="118"/>
        <v>6.1770784046724074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 t="e">
        <f>B78/(B15-B48)</f>
        <v>#DIV/0!</v>
      </c>
      <c r="C135" s="1">
        <f t="shared" ref="C135:F135" si="125">C78/((B15+C15-B48-C48)/2)</f>
        <v>-43.441176470588232</v>
      </c>
      <c r="D135" s="1">
        <f t="shared" si="125"/>
        <v>-25.684210526315791</v>
      </c>
      <c r="E135" s="1">
        <f t="shared" si="125"/>
        <v>-58.863636363636367</v>
      </c>
      <c r="F135" s="1">
        <f t="shared" si="125"/>
        <v>-251.42105263157896</v>
      </c>
      <c r="G135" s="1">
        <f t="shared" ref="G135" si="126">G78/((F15+G15-F48-G48)/2)</f>
        <v>-140.4</v>
      </c>
      <c r="H135" s="1">
        <f t="shared" ref="H135" si="127">H78/((G15+H15-G48-H48)/2)</f>
        <v>-20.583518930957684</v>
      </c>
      <c r="I135" s="1">
        <f t="shared" ref="I135" si="128">I78/((H15+I15-H48-I48)/2)</f>
        <v>40.758620689655174</v>
      </c>
      <c r="J135" s="1">
        <f t="shared" ref="J135" si="129">J78/((I15+J15-I48-J48)/2)</f>
        <v>8.9577167019027488</v>
      </c>
      <c r="K135" s="1">
        <f t="shared" ref="K135" si="130">K78/((J15+K15-J48-K48)/2)</f>
        <v>317.31034482758622</v>
      </c>
      <c r="L135" s="12">
        <f t="shared" si="118"/>
        <v>-7.5629815572320735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 t="e">
        <f>B78/(B26)</f>
        <v>#DIV/0!</v>
      </c>
      <c r="C136" s="1">
        <f t="shared" ref="C136:F136" si="131">C78/((B26+C26)/2)</f>
        <v>1.0187963441972754</v>
      </c>
      <c r="D136" s="1">
        <f t="shared" si="131"/>
        <v>0.55926653569089724</v>
      </c>
      <c r="E136" s="1">
        <f t="shared" si="131"/>
        <v>0.58957432278625088</v>
      </c>
      <c r="F136" s="1">
        <f t="shared" si="131"/>
        <v>0.70791345583876708</v>
      </c>
      <c r="G136" s="1">
        <f t="shared" ref="G136" si="132">G78/((F26+G26)/2)</f>
        <v>0.6641438032166509</v>
      </c>
      <c r="H136" s="1">
        <f t="shared" ref="H136" si="133">H78/((G26+H26)/2)</f>
        <v>0.63540735647989</v>
      </c>
      <c r="I136" s="1">
        <f t="shared" ref="I136" si="134">I78/((H26+I26)/2)</f>
        <v>0.67146373792842262</v>
      </c>
      <c r="J136" s="1">
        <f t="shared" ref="J136" si="135">J78/((I26+J26)/2)</f>
        <v>0.48943051865542336</v>
      </c>
      <c r="K136" s="1">
        <f t="shared" ref="K136" si="136">K78/((J26+K26)/2)</f>
        <v>0.49284987413636122</v>
      </c>
      <c r="L136" s="12">
        <f t="shared" si="118"/>
        <v>0.61020145770925249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 t="e">
        <f>B78/B38</f>
        <v>#DIV/0!</v>
      </c>
      <c r="C137" s="1">
        <f t="shared" ref="C137:E137" si="137">C78/((B38+C38)/2)</f>
        <v>0.73173148377508046</v>
      </c>
      <c r="D137" s="1">
        <f t="shared" si="137"/>
        <v>0.41325913380111301</v>
      </c>
      <c r="E137" s="1">
        <f t="shared" si="137"/>
        <v>0.44491525423728812</v>
      </c>
      <c r="F137" s="1">
        <f>F78/((E38+F38)/2)</f>
        <v>0.51573549257759788</v>
      </c>
      <c r="G137" s="1">
        <f t="shared" ref="G137:K137" si="138">G78/((F38+G38)/2)</f>
        <v>0.47196938353330575</v>
      </c>
      <c r="H137" s="1">
        <f t="shared" si="138"/>
        <v>0.46251626463817436</v>
      </c>
      <c r="I137" s="1">
        <f t="shared" si="138"/>
        <v>0.49097706189135554</v>
      </c>
      <c r="J137" s="1">
        <f t="shared" si="138"/>
        <v>0.35912866587557213</v>
      </c>
      <c r="K137" s="1">
        <f t="shared" si="138"/>
        <v>0.3671694198387998</v>
      </c>
      <c r="L137" s="12">
        <f t="shared" si="118"/>
        <v>0.44458271472580096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 t="e">
        <f t="shared" ref="B145:K145" si="139">(B$42+B$50)/(B$42+B$50+B$57+B$62)</f>
        <v>#DIV/0!</v>
      </c>
      <c r="C145" s="7">
        <f t="shared" si="139"/>
        <v>0.58096260511719444</v>
      </c>
      <c r="D145" s="7">
        <f t="shared" si="139"/>
        <v>0.58601231190150482</v>
      </c>
      <c r="E145" s="7">
        <f t="shared" si="139"/>
        <v>0.56917394224311624</v>
      </c>
      <c r="F145" s="7">
        <f t="shared" si="139"/>
        <v>0.52910409988189644</v>
      </c>
      <c r="G145" s="7">
        <f>(G$42+G$50)/(G$42+G$50+G$57+G$62)</f>
        <v>0.51235584843492588</v>
      </c>
      <c r="H145" s="7">
        <f t="shared" si="139"/>
        <v>0.50315278900565885</v>
      </c>
      <c r="I145" s="7">
        <f t="shared" si="139"/>
        <v>0.58788986036800206</v>
      </c>
      <c r="J145" s="7">
        <f t="shared" si="139"/>
        <v>0.56964263164540974</v>
      </c>
      <c r="K145" s="7">
        <f t="shared" si="139"/>
        <v>0.54804053229153948</v>
      </c>
      <c r="L145" s="7">
        <f t="shared" ref="L145:L148" si="140">AVERAGE(F145:K145)</f>
        <v>0.54169762693790546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 t="e">
        <f t="shared" ref="B146:K146" si="141">B$57/(B$42+B$50+B$57+B$62)</f>
        <v>#DIV/0!</v>
      </c>
      <c r="C146" s="7">
        <f t="shared" si="141"/>
        <v>2.9522275899087493E-2</v>
      </c>
      <c r="D146" s="7">
        <f t="shared" si="141"/>
        <v>1.9664842681258551E-2</v>
      </c>
      <c r="E146" s="7">
        <f t="shared" si="141"/>
        <v>1.9308260577568837E-2</v>
      </c>
      <c r="F146" s="7">
        <f t="shared" si="141"/>
        <v>1.9234013834992406E-2</v>
      </c>
      <c r="G146" s="7">
        <f>G$57/(G$42+G$50+G$57+G$62)</f>
        <v>1.8780889621087316E-2</v>
      </c>
      <c r="H146" s="7">
        <f t="shared" si="141"/>
        <v>1.8270008084074373E-2</v>
      </c>
      <c r="I146" s="7">
        <f t="shared" si="141"/>
        <v>1.4746182957066423E-2</v>
      </c>
      <c r="J146" s="7">
        <f t="shared" si="141"/>
        <v>0</v>
      </c>
      <c r="K146" s="7">
        <f t="shared" si="141"/>
        <v>0</v>
      </c>
      <c r="L146" s="7">
        <f t="shared" si="140"/>
        <v>1.1838515749536753E-2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 t="e">
        <f t="shared" ref="B147:K147" si="142">B$62/(B$42+B$50+B$57+B$62)</f>
        <v>#DIV/0!</v>
      </c>
      <c r="C147" s="16">
        <f t="shared" si="142"/>
        <v>0.38951511898371804</v>
      </c>
      <c r="D147" s="16">
        <f t="shared" si="142"/>
        <v>0.39432284541723667</v>
      </c>
      <c r="E147" s="16">
        <f t="shared" si="142"/>
        <v>0.41151779717931497</v>
      </c>
      <c r="F147" s="16">
        <f t="shared" si="142"/>
        <v>0.45166188628311121</v>
      </c>
      <c r="G147" s="16">
        <f>G$62/(G$42+G$50+G$57+G$62)</f>
        <v>0.46886326194398681</v>
      </c>
      <c r="H147" s="16">
        <f t="shared" si="142"/>
        <v>0.47857720291026679</v>
      </c>
      <c r="I147" s="16">
        <f t="shared" si="142"/>
        <v>0.39736395667493146</v>
      </c>
      <c r="J147" s="16">
        <f t="shared" si="142"/>
        <v>0.43035736835459021</v>
      </c>
      <c r="K147" s="16">
        <f t="shared" si="142"/>
        <v>0.45195946770846052</v>
      </c>
      <c r="L147" s="7">
        <f t="shared" si="140"/>
        <v>0.44646385731255783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 t="e">
        <f>SUM(B145:B147)</f>
        <v>#DIV/0!</v>
      </c>
      <c r="C148" s="7">
        <f t="shared" ref="C148:J148" si="143">SUM(C145:C147)</f>
        <v>1</v>
      </c>
      <c r="D148" s="7">
        <f t="shared" si="143"/>
        <v>1</v>
      </c>
      <c r="E148" s="7">
        <f t="shared" si="143"/>
        <v>1</v>
      </c>
      <c r="F148" s="7">
        <f t="shared" si="143"/>
        <v>1</v>
      </c>
      <c r="G148" s="7">
        <f t="shared" si="143"/>
        <v>1</v>
      </c>
      <c r="H148" s="7">
        <f t="shared" si="143"/>
        <v>1</v>
      </c>
      <c r="I148" s="7">
        <f t="shared" si="143"/>
        <v>1</v>
      </c>
      <c r="J148" s="7">
        <f t="shared" si="143"/>
        <v>1</v>
      </c>
      <c r="K148" s="7">
        <f t="shared" ref="K148" si="144">SUM(K145:K147)</f>
        <v>1</v>
      </c>
      <c r="L148" s="7">
        <f t="shared" si="140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 t="e">
        <f t="shared" ref="B151:K151" si="145">B$43/(B$43+B$42+B$50+B$57+B$62)</f>
        <v>#DIV/0!</v>
      </c>
      <c r="C151" s="7">
        <f t="shared" si="145"/>
        <v>3.6046912728527079E-2</v>
      </c>
      <c r="D151" s="7">
        <f t="shared" si="145"/>
        <v>3.2268740691709416E-2</v>
      </c>
      <c r="E151" s="7">
        <f t="shared" si="145"/>
        <v>3.4214366790984274E-2</v>
      </c>
      <c r="F151" s="7">
        <f t="shared" si="145"/>
        <v>6.7201762669184761E-2</v>
      </c>
      <c r="G151" s="7">
        <f>G$43/(G$43+G$42+G$50+G$57+G$62)</f>
        <v>7.4271770626811048E-2</v>
      </c>
      <c r="H151" s="7">
        <f t="shared" si="145"/>
        <v>9.2043452730475636E-2</v>
      </c>
      <c r="I151" s="7">
        <f t="shared" si="145"/>
        <v>1.0331912695337724E-2</v>
      </c>
      <c r="J151" s="7">
        <f t="shared" si="145"/>
        <v>4.0586382360067848E-2</v>
      </c>
      <c r="K151" s="7">
        <f t="shared" si="145"/>
        <v>4.8774822900940658E-2</v>
      </c>
      <c r="L151" s="7">
        <f t="shared" ref="L151:L155" si="146">AVERAGE(F151:K151)</f>
        <v>5.5535017330469616E-2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 t="e">
        <f t="shared" ref="B152:K152" si="147">(B$42+B$50)/(B$43+B$42+B$50+B$57+B$62)</f>
        <v>#DIV/0!</v>
      </c>
      <c r="C152" s="7">
        <f t="shared" si="147"/>
        <v>0.56002069679199729</v>
      </c>
      <c r="D152" s="7">
        <f t="shared" si="147"/>
        <v>0.56710243256660597</v>
      </c>
      <c r="E152" s="7">
        <f t="shared" si="147"/>
        <v>0.5497000162153397</v>
      </c>
      <c r="F152" s="7">
        <f t="shared" si="147"/>
        <v>0.49354737173434055</v>
      </c>
      <c r="G152" s="7">
        <f>(G$42+G$50)/(G$43+G$42+G$50+G$57+G$62)</f>
        <v>0.47430227238066192</v>
      </c>
      <c r="H152" s="7">
        <f t="shared" si="147"/>
        <v>0.45684086905460952</v>
      </c>
      <c r="I152" s="7">
        <f t="shared" si="147"/>
        <v>0.58181583365620559</v>
      </c>
      <c r="J152" s="7">
        <f t="shared" si="147"/>
        <v>0.5465228979888539</v>
      </c>
      <c r="K152" s="7">
        <f t="shared" si="147"/>
        <v>0.52130995238648237</v>
      </c>
      <c r="L152" s="7">
        <f t="shared" si="146"/>
        <v>0.51238986620019233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 t="e">
        <f t="shared" ref="B153:K153" si="148">B$57/(B$43+B$42+B$50+B$57+B$62)</f>
        <v>#DIV/0!</v>
      </c>
      <c r="C153" s="7">
        <f t="shared" si="148"/>
        <v>2.845808899620559E-2</v>
      </c>
      <c r="D153" s="7">
        <f t="shared" si="148"/>
        <v>1.9030282972033758E-2</v>
      </c>
      <c r="E153" s="7">
        <f t="shared" si="148"/>
        <v>1.8647640668071997E-2</v>
      </c>
      <c r="F153" s="7">
        <f t="shared" si="148"/>
        <v>1.794145420207743E-2</v>
      </c>
      <c r="G153" s="7">
        <f>G$57/(G$43+G$42+G$50+G$57+G$62)</f>
        <v>1.7385999694982463E-2</v>
      </c>
      <c r="H153" s="7">
        <f t="shared" si="148"/>
        <v>1.6588373458602465E-2</v>
      </c>
      <c r="I153" s="7">
        <f t="shared" si="148"/>
        <v>1.4593826682164536E-2</v>
      </c>
      <c r="J153" s="7">
        <f t="shared" si="148"/>
        <v>0</v>
      </c>
      <c r="K153" s="7">
        <f t="shared" si="148"/>
        <v>0</v>
      </c>
      <c r="L153" s="7">
        <f t="shared" si="146"/>
        <v>1.1084942339637817E-2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 t="e">
        <f t="shared" ref="B154:K154" si="149">B$62/(B$43+B$42+B$50+B$57+B$62)</f>
        <v>#DIV/0!</v>
      </c>
      <c r="C154" s="16">
        <f t="shared" si="149"/>
        <v>0.3754743014832701</v>
      </c>
      <c r="D154" s="16">
        <f t="shared" si="149"/>
        <v>0.38159854376965086</v>
      </c>
      <c r="E154" s="16">
        <f t="shared" si="149"/>
        <v>0.39743797632560401</v>
      </c>
      <c r="F154" s="16">
        <f t="shared" si="149"/>
        <v>0.4213094113943972</v>
      </c>
      <c r="G154" s="16">
        <f>G$62/(G$43+G$42+G$50+G$57+G$62)</f>
        <v>0.43403995729754463</v>
      </c>
      <c r="H154" s="16">
        <f t="shared" si="149"/>
        <v>0.4345273047563124</v>
      </c>
      <c r="I154" s="16">
        <f t="shared" si="149"/>
        <v>0.39325842696629215</v>
      </c>
      <c r="J154" s="16">
        <f t="shared" si="149"/>
        <v>0.41289071965107826</v>
      </c>
      <c r="K154" s="16">
        <f t="shared" si="149"/>
        <v>0.42991522471257693</v>
      </c>
      <c r="L154" s="7">
        <f t="shared" si="146"/>
        <v>0.42099017412970019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 t="e">
        <f>SUM(B151:B154)</f>
        <v>#DIV/0!</v>
      </c>
      <c r="C155" s="7">
        <f t="shared" ref="C155:J155" si="150">SUM(C151:C154)</f>
        <v>1</v>
      </c>
      <c r="D155" s="7">
        <f t="shared" si="150"/>
        <v>1</v>
      </c>
      <c r="E155" s="7">
        <f t="shared" si="150"/>
        <v>1</v>
      </c>
      <c r="F155" s="7">
        <f t="shared" si="150"/>
        <v>1</v>
      </c>
      <c r="G155" s="7">
        <f t="shared" si="150"/>
        <v>1</v>
      </c>
      <c r="H155" s="7">
        <f t="shared" si="150"/>
        <v>1</v>
      </c>
      <c r="I155" s="7">
        <f t="shared" si="150"/>
        <v>1</v>
      </c>
      <c r="J155" s="7">
        <f t="shared" si="150"/>
        <v>1</v>
      </c>
      <c r="K155" s="7">
        <f t="shared" ref="K155" si="151">SUM(K151:K154)</f>
        <v>1</v>
      </c>
      <c r="L155" s="7">
        <f t="shared" si="146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  <pageSetup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61"/>
  <sheetViews>
    <sheetView topLeftCell="A61" workbookViewId="0">
      <pane xSplit="3" topLeftCell="K1" activePane="topRight" state="frozen"/>
      <selection pane="topRight" activeCell="A2" sqref="A2"/>
    </sheetView>
  </sheetViews>
  <sheetFormatPr defaultRowHeight="15"/>
  <cols>
    <col min="1" max="1" width="25.7109375" customWidth="1"/>
    <col min="2" max="3" width="9.140625" hidden="1" customWidth="1"/>
    <col min="4" max="4" width="9.5703125" hidden="1" customWidth="1"/>
    <col min="5" max="5" width="9.140625" hidden="1" customWidth="1"/>
    <col min="6" max="11" width="10.7109375" customWidth="1"/>
    <col min="12" max="12" width="10.5703125" bestFit="1" customWidth="1"/>
    <col min="13" max="13" width="8.42578125" customWidth="1"/>
    <col min="14" max="14" width="32.28515625" bestFit="1" customWidth="1"/>
    <col min="15" max="16" width="9.140625" hidden="1" customWidth="1"/>
    <col min="17" max="18" width="0" hidden="1" customWidth="1"/>
    <col min="19" max="24" width="10.28515625" customWidth="1"/>
    <col min="25" max="25" width="11.2851562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17" t="s">
        <v>126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SOUTHERN COMPANY</v>
      </c>
      <c r="O3" s="2"/>
      <c r="P3" s="2"/>
      <c r="Q3" s="2"/>
      <c r="R3" s="2"/>
      <c r="S3" s="2"/>
      <c r="T3" s="2"/>
      <c r="U3" s="2"/>
      <c r="V3" s="2"/>
      <c r="W3" s="2"/>
      <c r="X3" s="2"/>
      <c r="Y3" s="10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10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10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10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6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>P8+1</f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"/>
      <c r="C11" s="22">
        <v>273</v>
      </c>
      <c r="D11" s="137">
        <v>311</v>
      </c>
      <c r="E11" s="137">
        <v>368</v>
      </c>
      <c r="F11" s="137">
        <v>202</v>
      </c>
      <c r="G11" s="137">
        <v>167</v>
      </c>
      <c r="H11" s="137">
        <v>269</v>
      </c>
      <c r="I11" s="11">
        <f>417+103</f>
        <v>520</v>
      </c>
      <c r="J11" s="11">
        <f>690+43</f>
        <v>733</v>
      </c>
      <c r="K11" s="11">
        <f>447+68</f>
        <v>515</v>
      </c>
      <c r="L11" s="7">
        <f>RATE(5,,-F11,K11)</f>
        <v>0.20584412534531257</v>
      </c>
      <c r="M11" s="1"/>
      <c r="N11" s="1" t="str">
        <f>A11</f>
        <v>Cash &amp; Equivalents</v>
      </c>
      <c r="O11" s="7" t="e">
        <f t="shared" ref="O11:P15" si="2">B11/B$38</f>
        <v>#DIV/0!</v>
      </c>
      <c r="P11" s="7">
        <f t="shared" si="2"/>
        <v>8.5851756344539135E-3</v>
      </c>
      <c r="Q11" s="7">
        <f t="shared" ref="Q11:X15" si="3">D11/D$38</f>
        <v>8.8407527431917671E-3</v>
      </c>
      <c r="R11" s="7">
        <f t="shared" si="3"/>
        <v>9.9580570964686779E-3</v>
      </c>
      <c r="S11" s="7">
        <f t="shared" si="3"/>
        <v>5.065576648193194E-3</v>
      </c>
      <c r="T11" s="7">
        <f t="shared" si="3"/>
        <v>3.8965887348919688E-3</v>
      </c>
      <c r="U11" s="7">
        <f t="shared" si="3"/>
        <v>5.8747734171962695E-3</v>
      </c>
      <c r="V11" s="7">
        <f t="shared" si="3"/>
        <v>1.0755579456843238E-2</v>
      </c>
      <c r="W11" s="7">
        <f t="shared" si="3"/>
        <v>1.4083695192714138E-2</v>
      </c>
      <c r="X11" s="7">
        <f t="shared" si="3"/>
        <v>9.3581915976159325E-3</v>
      </c>
      <c r="Y11" s="7">
        <f>SUM(F11:K11)/SUM(F$38:K$38)</f>
        <v>8.473352609095295E-3</v>
      </c>
      <c r="Z11" s="189"/>
    </row>
    <row r="12" spans="1:26">
      <c r="A12" s="1" t="s">
        <v>13</v>
      </c>
      <c r="B12" s="1"/>
      <c r="C12" s="22">
        <v>1506</v>
      </c>
      <c r="D12" s="137">
        <f>680+275+204+338-30</f>
        <v>1467</v>
      </c>
      <c r="E12" s="137">
        <f>697+304+532+310-33</f>
        <v>1810</v>
      </c>
      <c r="F12" s="137">
        <f>868+304+755+410-38</f>
        <v>2299</v>
      </c>
      <c r="G12" s="137">
        <f>943+283+517+330-35</f>
        <v>2038</v>
      </c>
      <c r="H12" s="137">
        <f>1000+294+716+348-22</f>
        <v>2336</v>
      </c>
      <c r="I12" s="11">
        <f>1054+320+646+301-26</f>
        <v>2295</v>
      </c>
      <c r="J12" s="11">
        <f>953+394+333+375-25</f>
        <v>2030</v>
      </c>
      <c r="K12" s="11">
        <f>1140+420+209+285-25</f>
        <v>2029</v>
      </c>
      <c r="L12" s="7">
        <f t="shared" ref="L12:L15" si="4">RATE(5,,-F12,K12)</f>
        <v>-2.4676664676745605E-2</v>
      </c>
      <c r="M12" s="1"/>
      <c r="N12" s="1" t="str">
        <f>A12</f>
        <v>Accounts Receivable</v>
      </c>
      <c r="O12" s="7" t="e">
        <f t="shared" si="2"/>
        <v>#DIV/0!</v>
      </c>
      <c r="P12" s="7">
        <f t="shared" si="2"/>
        <v>4.7359979873580933E-2</v>
      </c>
      <c r="Q12" s="7">
        <f t="shared" si="3"/>
        <v>4.1702200238785604E-2</v>
      </c>
      <c r="R12" s="7">
        <f t="shared" si="3"/>
        <v>4.89784873494791E-2</v>
      </c>
      <c r="S12" s="7">
        <f t="shared" si="3"/>
        <v>5.7652280763347295E-2</v>
      </c>
      <c r="T12" s="7">
        <f t="shared" si="3"/>
        <v>4.7552382285687617E-2</v>
      </c>
      <c r="U12" s="7">
        <f t="shared" si="3"/>
        <v>5.1016619712157943E-2</v>
      </c>
      <c r="V12" s="7">
        <f t="shared" si="3"/>
        <v>4.7469336256644672E-2</v>
      </c>
      <c r="W12" s="7">
        <f t="shared" si="3"/>
        <v>3.9003958037121006E-2</v>
      </c>
      <c r="X12" s="7">
        <f t="shared" si="3"/>
        <v>3.6869457770024712E-2</v>
      </c>
      <c r="Y12" s="7">
        <f t="shared" ref="Y12:Y15" si="5">SUM(F12:K12)/SUM(F$38:K$38)</f>
        <v>4.5877956957059193E-2</v>
      </c>
      <c r="Z12" s="189"/>
    </row>
    <row r="13" spans="1:26">
      <c r="A13" s="1" t="s">
        <v>14</v>
      </c>
      <c r="B13" s="6"/>
      <c r="C13" s="22">
        <v>838</v>
      </c>
      <c r="D13" s="137">
        <f>316+570</f>
        <v>886</v>
      </c>
      <c r="E13" s="137">
        <f>308+602</f>
        <v>910</v>
      </c>
      <c r="F13" s="137">
        <f>403+666</f>
        <v>1069</v>
      </c>
      <c r="G13" s="137">
        <f>675+648</f>
        <v>1323</v>
      </c>
      <c r="H13" s="137">
        <f>710+725</f>
        <v>1435</v>
      </c>
      <c r="I13" s="11">
        <f>1018+757</f>
        <v>1775</v>
      </c>
      <c r="J13" s="11">
        <f>1447+794</f>
        <v>2241</v>
      </c>
      <c r="K13" s="11">
        <f>1308+827</f>
        <v>2135</v>
      </c>
      <c r="L13" s="7">
        <f t="shared" si="4"/>
        <v>0.14837580767312838</v>
      </c>
      <c r="M13" s="1"/>
      <c r="N13" s="1" t="str">
        <f>A13</f>
        <v>Material, Supplies, Fuel</v>
      </c>
      <c r="O13" s="7" t="e">
        <f t="shared" si="2"/>
        <v>#DIV/0!</v>
      </c>
      <c r="P13" s="7">
        <f t="shared" si="2"/>
        <v>2.6353029969495897E-2</v>
      </c>
      <c r="Q13" s="7">
        <f t="shared" si="3"/>
        <v>2.5186195917903234E-2</v>
      </c>
      <c r="R13" s="7">
        <f t="shared" si="3"/>
        <v>2.4624543363550265E-2</v>
      </c>
      <c r="S13" s="7">
        <f t="shared" si="3"/>
        <v>2.68074328560323E-2</v>
      </c>
      <c r="T13" s="7">
        <f t="shared" si="3"/>
        <v>3.0869382612347753E-2</v>
      </c>
      <c r="U13" s="7">
        <f t="shared" si="3"/>
        <v>3.1339404660507983E-2</v>
      </c>
      <c r="V13" s="7">
        <f t="shared" si="3"/>
        <v>3.6713756799801434E-2</v>
      </c>
      <c r="W13" s="7">
        <f t="shared" si="3"/>
        <v>4.3058064020289742E-2</v>
      </c>
      <c r="X13" s="7">
        <f t="shared" si="3"/>
        <v>3.879560982700974E-2</v>
      </c>
      <c r="Y13" s="7">
        <f t="shared" si="5"/>
        <v>3.5140113189340343E-2</v>
      </c>
      <c r="Z13" s="189"/>
    </row>
    <row r="14" spans="1:26">
      <c r="A14" s="1" t="s">
        <v>15</v>
      </c>
      <c r="B14" s="6"/>
      <c r="C14" s="22">
        <v>350</v>
      </c>
      <c r="D14" s="137">
        <f>97+269+30</f>
        <v>396</v>
      </c>
      <c r="E14" s="137">
        <f>105+38+126+134</f>
        <v>403</v>
      </c>
      <c r="F14" s="137">
        <f>117+129+389</f>
        <v>635</v>
      </c>
      <c r="G14" s="137">
        <f>121+128+242</f>
        <v>491</v>
      </c>
      <c r="H14" s="137">
        <f>135+146+411</f>
        <v>692</v>
      </c>
      <c r="I14" s="11">
        <f>140+302+326</f>
        <v>768</v>
      </c>
      <c r="J14" s="11">
        <f>5773-5004</f>
        <v>769</v>
      </c>
      <c r="K14" s="11">
        <f>5883-4679</f>
        <v>1204</v>
      </c>
      <c r="L14" s="7">
        <f t="shared" si="4"/>
        <v>0.1365029106765499</v>
      </c>
      <c r="M14" s="1"/>
      <c r="N14" s="1" t="str">
        <f>A14</f>
        <v>Other Current Assets</v>
      </c>
      <c r="O14" s="7" t="e">
        <f t="shared" si="2"/>
        <v>#DIV/0!</v>
      </c>
      <c r="P14" s="7">
        <f t="shared" si="2"/>
        <v>1.1006635428787069E-2</v>
      </c>
      <c r="Q14" s="7">
        <f t="shared" si="3"/>
        <v>1.125703564727955E-2</v>
      </c>
      <c r="R14" s="7">
        <f t="shared" si="3"/>
        <v>1.0905154918143688E-2</v>
      </c>
      <c r="S14" s="7">
        <f t="shared" si="3"/>
        <v>1.5923966196052863E-2</v>
      </c>
      <c r="T14" s="7">
        <f t="shared" si="3"/>
        <v>1.1456437537915908E-2</v>
      </c>
      <c r="U14" s="7">
        <f t="shared" si="3"/>
        <v>1.5112800017471445E-2</v>
      </c>
      <c r="V14" s="7">
        <f t="shared" si="3"/>
        <v>1.5885163505491552E-2</v>
      </c>
      <c r="W14" s="7">
        <f t="shared" si="3"/>
        <v>1.4775391000268992E-2</v>
      </c>
      <c r="X14" s="7">
        <f t="shared" si="3"/>
        <v>2.1878179968018607E-2</v>
      </c>
      <c r="Y14" s="7">
        <f t="shared" si="5"/>
        <v>1.6055700143335599E-2</v>
      </c>
      <c r="Z14" s="189"/>
    </row>
    <row r="15" spans="1:26">
      <c r="A15" s="1" t="s">
        <v>16</v>
      </c>
      <c r="B15" s="1">
        <f>SUM(B10:B14)</f>
        <v>0</v>
      </c>
      <c r="C15" s="22">
        <f t="shared" ref="C15:H15" si="6">SUM(C10:C14)</f>
        <v>2967</v>
      </c>
      <c r="D15" s="137">
        <f t="shared" si="6"/>
        <v>3060</v>
      </c>
      <c r="E15" s="137">
        <f t="shared" si="6"/>
        <v>3491</v>
      </c>
      <c r="F15" s="137">
        <f t="shared" si="6"/>
        <v>4205</v>
      </c>
      <c r="G15" s="137">
        <f t="shared" si="6"/>
        <v>4019</v>
      </c>
      <c r="H15" s="137">
        <f t="shared" si="6"/>
        <v>4732</v>
      </c>
      <c r="I15" s="11">
        <f t="shared" ref="I15:J15" si="7">SUM(I10:I14)</f>
        <v>5358</v>
      </c>
      <c r="J15" s="11">
        <f t="shared" si="7"/>
        <v>5773</v>
      </c>
      <c r="K15" s="11">
        <f t="shared" ref="K15" si="8">SUM(K10:K14)</f>
        <v>5883</v>
      </c>
      <c r="L15" s="7">
        <f t="shared" si="4"/>
        <v>6.9464984021496673E-2</v>
      </c>
      <c r="M15" s="1"/>
      <c r="N15" s="1" t="str">
        <f>A15</f>
        <v>Total Current Assets</v>
      </c>
      <c r="O15" s="7" t="e">
        <f t="shared" si="2"/>
        <v>#DIV/0!</v>
      </c>
      <c r="P15" s="7">
        <f t="shared" si="2"/>
        <v>9.3304820906317809E-2</v>
      </c>
      <c r="Q15" s="7">
        <f t="shared" si="3"/>
        <v>8.6986184547160159E-2</v>
      </c>
      <c r="R15" s="7">
        <f t="shared" si="3"/>
        <v>9.446624272764173E-2</v>
      </c>
      <c r="S15" s="7">
        <f t="shared" si="3"/>
        <v>0.10544925646362564</v>
      </c>
      <c r="T15" s="7">
        <f t="shared" si="3"/>
        <v>9.3774791170843252E-2</v>
      </c>
      <c r="U15" s="7">
        <f t="shared" si="3"/>
        <v>0.10334359780733364</v>
      </c>
      <c r="V15" s="7">
        <f t="shared" si="3"/>
        <v>0.1108238360187809</v>
      </c>
      <c r="W15" s="7">
        <f t="shared" si="3"/>
        <v>0.11092110825039388</v>
      </c>
      <c r="X15" s="7">
        <f t="shared" si="3"/>
        <v>0.10690143916266899</v>
      </c>
      <c r="Y15" s="7">
        <f t="shared" si="5"/>
        <v>0.10554712289883042</v>
      </c>
      <c r="Z15" s="189"/>
    </row>
    <row r="16" spans="1:26">
      <c r="A16" s="1"/>
      <c r="B16" s="1"/>
      <c r="C16" s="28"/>
      <c r="D16" s="142"/>
      <c r="E16" s="142"/>
      <c r="F16" s="142"/>
      <c r="G16" s="142"/>
      <c r="H16" s="142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"/>
      <c r="C17" s="22"/>
      <c r="D17" s="137"/>
      <c r="E17" s="137"/>
      <c r="F17" s="137"/>
      <c r="G17" s="137"/>
      <c r="H17" s="137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"/>
      <c r="C18" s="22">
        <v>37486</v>
      </c>
      <c r="D18" s="137">
        <v>40339</v>
      </c>
      <c r="E18" s="137">
        <v>41425</v>
      </c>
      <c r="F18" s="137">
        <v>43578</v>
      </c>
      <c r="G18" s="137">
        <v>45486</v>
      </c>
      <c r="H18" s="137">
        <v>47176</v>
      </c>
      <c r="I18" s="11">
        <v>50618</v>
      </c>
      <c r="J18" s="136">
        <v>53588</v>
      </c>
      <c r="K18" s="136">
        <v>56731</v>
      </c>
      <c r="L18" s="7">
        <f t="shared" ref="L18:L22" si="9">RATE(5,,-F18,K18)</f>
        <v>5.416994212804787E-2</v>
      </c>
      <c r="M18" s="1"/>
      <c r="N18" s="1" t="str">
        <f>A18</f>
        <v xml:space="preserve">  Domestic Electric Plant in Service</v>
      </c>
      <c r="O18" s="7" t="e">
        <f t="shared" ref="O18:P22" si="10">B18/B$38</f>
        <v>#DIV/0!</v>
      </c>
      <c r="P18" s="7">
        <f t="shared" si="10"/>
        <v>1.1788421019528916</v>
      </c>
      <c r="Q18" s="7">
        <f t="shared" ref="Q18:X22" si="11">D18/D$38</f>
        <v>1.1467110125646711</v>
      </c>
      <c r="R18" s="7">
        <f t="shared" si="11"/>
        <v>1.1209579217967798</v>
      </c>
      <c r="S18" s="7">
        <f t="shared" si="11"/>
        <v>1.0928103919552625</v>
      </c>
      <c r="T18" s="7">
        <f t="shared" si="11"/>
        <v>1.0613187736245275</v>
      </c>
      <c r="U18" s="7">
        <f t="shared" si="11"/>
        <v>1.0302911179540937</v>
      </c>
      <c r="V18" s="7">
        <f t="shared" si="11"/>
        <v>1.046972924897098</v>
      </c>
      <c r="W18" s="7">
        <f t="shared" si="11"/>
        <v>1.0296276370902664</v>
      </c>
      <c r="X18" s="7">
        <f t="shared" si="11"/>
        <v>1.0308729466492224</v>
      </c>
      <c r="Y18" s="7">
        <f t="shared" ref="Y18:Y22" si="12">SUM(F18:K18)/SUM(F$38:K$38)</f>
        <v>1.0465858305540783</v>
      </c>
      <c r="Z18" s="189"/>
    </row>
    <row r="19" spans="1:26">
      <c r="A19" s="1" t="s">
        <v>19</v>
      </c>
      <c r="B19" s="1"/>
      <c r="C19" s="22">
        <v>2382</v>
      </c>
      <c r="D19" s="137">
        <v>1275</v>
      </c>
      <c r="E19" s="137">
        <v>1662</v>
      </c>
      <c r="F19" s="137">
        <v>1367</v>
      </c>
      <c r="G19" s="137">
        <v>1871</v>
      </c>
      <c r="H19" s="137">
        <v>3228</v>
      </c>
      <c r="I19" s="11">
        <v>3036</v>
      </c>
      <c r="J19" s="136">
        <v>4170</v>
      </c>
      <c r="K19" s="136">
        <v>4775</v>
      </c>
      <c r="L19" s="7">
        <f t="shared" si="9"/>
        <v>0.28422456294898646</v>
      </c>
      <c r="M19" s="1"/>
      <c r="N19" s="1" t="str">
        <f>A19</f>
        <v xml:space="preserve">  Electric Construction Work in Progress</v>
      </c>
      <c r="O19" s="7" t="e">
        <f t="shared" si="10"/>
        <v>#DIV/0!</v>
      </c>
      <c r="P19" s="7">
        <f t="shared" si="10"/>
        <v>7.4908015975345132E-2</v>
      </c>
      <c r="Q19" s="7">
        <f t="shared" si="11"/>
        <v>3.6244243561316732E-2</v>
      </c>
      <c r="R19" s="7">
        <f t="shared" si="11"/>
        <v>4.4973616560681912E-2</v>
      </c>
      <c r="S19" s="7">
        <f t="shared" si="11"/>
        <v>3.428041226772325E-2</v>
      </c>
      <c r="T19" s="7">
        <f t="shared" si="11"/>
        <v>4.365579355079565E-2</v>
      </c>
      <c r="U19" s="7">
        <f t="shared" si="11"/>
        <v>7.0497281006355245E-2</v>
      </c>
      <c r="V19" s="7">
        <f t="shared" si="11"/>
        <v>6.2796036982646283E-2</v>
      </c>
      <c r="W19" s="7">
        <f t="shared" si="11"/>
        <v>8.0121431041770746E-2</v>
      </c>
      <c r="X19" s="7">
        <f t="shared" si="11"/>
        <v>8.6767698793429271E-2</v>
      </c>
      <c r="Y19" s="7">
        <f t="shared" si="12"/>
        <v>6.4965891762253078E-2</v>
      </c>
      <c r="Z19" s="189"/>
    </row>
    <row r="20" spans="1:26">
      <c r="A20" s="9" t="s">
        <v>20</v>
      </c>
      <c r="B20" s="1"/>
      <c r="C20" s="22">
        <v>223</v>
      </c>
      <c r="D20" s="137">
        <v>223</v>
      </c>
      <c r="E20" s="137">
        <v>218</v>
      </c>
      <c r="F20" s="137">
        <v>262</v>
      </c>
      <c r="G20" s="137">
        <v>317</v>
      </c>
      <c r="H20" s="137">
        <v>336</v>
      </c>
      <c r="I20" s="11">
        <v>510</v>
      </c>
      <c r="J20" s="136">
        <v>593</v>
      </c>
      <c r="K20" s="136">
        <v>670</v>
      </c>
      <c r="L20" s="7">
        <f t="shared" si="9"/>
        <v>0.20657605489893116</v>
      </c>
      <c r="M20" s="1"/>
      <c r="N20" s="1" t="str">
        <f>A20</f>
        <v>Other Regulated PP &amp; E</v>
      </c>
      <c r="O20" s="7" t="e">
        <f t="shared" si="10"/>
        <v>#DIV/0!</v>
      </c>
      <c r="P20" s="7">
        <f t="shared" si="10"/>
        <v>7.0127991446271897E-3</v>
      </c>
      <c r="Q20" s="7">
        <f t="shared" si="11"/>
        <v>6.3391892660185347E-3</v>
      </c>
      <c r="R20" s="7">
        <f t="shared" si="11"/>
        <v>5.8990664321472057E-3</v>
      </c>
      <c r="S20" s="7">
        <f t="shared" si="11"/>
        <v>6.5702033753792912E-3</v>
      </c>
      <c r="T20" s="7">
        <f t="shared" si="11"/>
        <v>7.396518736291941E-3</v>
      </c>
      <c r="U20" s="7">
        <f t="shared" si="11"/>
        <v>7.3380069448994297E-3</v>
      </c>
      <c r="V20" s="7">
        <f t="shared" si="11"/>
        <v>1.0548741390365483E-2</v>
      </c>
      <c r="W20" s="7">
        <f t="shared" si="11"/>
        <v>1.1393767052223034E-2</v>
      </c>
      <c r="X20" s="7">
        <f t="shared" si="11"/>
        <v>1.2174734699811019E-2</v>
      </c>
      <c r="Y20" s="7">
        <f t="shared" si="12"/>
        <v>9.4664887004356421E-3</v>
      </c>
      <c r="Z20" s="189"/>
    </row>
    <row r="21" spans="1:26">
      <c r="A21" s="1" t="s">
        <v>21</v>
      </c>
      <c r="B21" s="1"/>
      <c r="C21" s="22">
        <v>1673</v>
      </c>
      <c r="D21" s="137">
        <v>1926</v>
      </c>
      <c r="E21" s="137">
        <v>2247</v>
      </c>
      <c r="F21" s="137">
        <v>2373</v>
      </c>
      <c r="G21" s="137">
        <v>2493</v>
      </c>
      <c r="H21" s="137">
        <v>2354</v>
      </c>
      <c r="I21" s="11">
        <v>1988</v>
      </c>
      <c r="J21" s="136"/>
      <c r="K21" s="136"/>
      <c r="L21" s="7">
        <f t="shared" si="9"/>
        <v>-0.99999940914518248</v>
      </c>
      <c r="M21" s="1"/>
      <c r="N21" s="1" t="str">
        <f>A21</f>
        <v>Other PP&amp;E</v>
      </c>
      <c r="O21" s="7" t="e">
        <f t="shared" si="10"/>
        <v>#DIV/0!</v>
      </c>
      <c r="P21" s="7">
        <f t="shared" si="10"/>
        <v>5.261171734960219E-2</v>
      </c>
      <c r="Q21" s="7">
        <f t="shared" si="11"/>
        <v>5.4750127920859627E-2</v>
      </c>
      <c r="R21" s="7">
        <f t="shared" si="11"/>
        <v>6.0803680151535651E-2</v>
      </c>
      <c r="S21" s="7">
        <f t="shared" si="11"/>
        <v>5.9507987060210148E-2</v>
      </c>
      <c r="T21" s="7">
        <f t="shared" si="11"/>
        <v>5.8168836623267536E-2</v>
      </c>
      <c r="U21" s="7">
        <f t="shared" si="11"/>
        <v>5.1409727227063266E-2</v>
      </c>
      <c r="V21" s="7">
        <f t="shared" si="11"/>
        <v>4.1119407615777606E-2</v>
      </c>
      <c r="W21" s="7">
        <f t="shared" si="11"/>
        <v>0</v>
      </c>
      <c r="X21" s="7">
        <f t="shared" si="11"/>
        <v>0</v>
      </c>
      <c r="Y21" s="7">
        <f t="shared" si="12"/>
        <v>3.2428358613694711E-2</v>
      </c>
      <c r="Z21" s="189"/>
    </row>
    <row r="22" spans="1:26">
      <c r="A22" s="1" t="s">
        <v>22</v>
      </c>
      <c r="B22" s="1">
        <f t="shared" ref="B22:J22" si="13">SUM(B18:B21)</f>
        <v>0</v>
      </c>
      <c r="C22" s="22">
        <f t="shared" ref="C22:H22" si="14">SUM(C18:C21)</f>
        <v>41764</v>
      </c>
      <c r="D22" s="137">
        <f t="shared" si="14"/>
        <v>43763</v>
      </c>
      <c r="E22" s="137">
        <f t="shared" si="14"/>
        <v>45552</v>
      </c>
      <c r="F22" s="137">
        <f t="shared" si="14"/>
        <v>47580</v>
      </c>
      <c r="G22" s="137">
        <f t="shared" si="14"/>
        <v>50167</v>
      </c>
      <c r="H22" s="137">
        <f t="shared" si="14"/>
        <v>53094</v>
      </c>
      <c r="I22" s="11">
        <f t="shared" si="13"/>
        <v>56152</v>
      </c>
      <c r="J22" s="11">
        <f t="shared" si="13"/>
        <v>58351</v>
      </c>
      <c r="K22" s="11">
        <f t="shared" ref="K22" si="15">SUM(K18:K21)</f>
        <v>62176</v>
      </c>
      <c r="L22" s="7">
        <f t="shared" si="9"/>
        <v>5.4968927264098182E-2</v>
      </c>
      <c r="M22" s="1"/>
      <c r="N22" s="1" t="s">
        <v>23</v>
      </c>
      <c r="O22" s="7" t="e">
        <f t="shared" si="10"/>
        <v>#DIV/0!</v>
      </c>
      <c r="P22" s="7">
        <f t="shared" si="10"/>
        <v>1.3133746344224662</v>
      </c>
      <c r="Q22" s="7">
        <f t="shared" si="11"/>
        <v>1.244044573312866</v>
      </c>
      <c r="R22" s="7">
        <f t="shared" si="11"/>
        <v>1.2326342849411447</v>
      </c>
      <c r="S22" s="7">
        <f t="shared" si="11"/>
        <v>1.1931689946585751</v>
      </c>
      <c r="T22" s="7">
        <f t="shared" si="11"/>
        <v>1.1705399225348827</v>
      </c>
      <c r="U22" s="7">
        <f t="shared" si="11"/>
        <v>1.1595361331324117</v>
      </c>
      <c r="V22" s="7">
        <f t="shared" si="11"/>
        <v>1.1614371108858874</v>
      </c>
      <c r="W22" s="7">
        <f t="shared" si="11"/>
        <v>1.1211428351842601</v>
      </c>
      <c r="X22" s="7">
        <f t="shared" si="11"/>
        <v>1.1298153801424626</v>
      </c>
      <c r="Y22" s="7">
        <f t="shared" si="12"/>
        <v>1.1534465696304619</v>
      </c>
      <c r="Z22" s="189"/>
    </row>
    <row r="23" spans="1:26">
      <c r="A23" s="1"/>
      <c r="B23" s="1"/>
      <c r="C23" s="22"/>
      <c r="D23" s="137"/>
      <c r="E23" s="137"/>
      <c r="F23" s="137"/>
      <c r="G23" s="137"/>
      <c r="H23" s="137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"/>
      <c r="C24" s="22">
        <v>15449</v>
      </c>
      <c r="D24" s="137">
        <v>14312</v>
      </c>
      <c r="E24" s="137">
        <v>14947</v>
      </c>
      <c r="F24" s="137">
        <v>15727</v>
      </c>
      <c r="G24" s="137">
        <v>16582</v>
      </c>
      <c r="H24" s="137">
        <v>17413</v>
      </c>
      <c r="I24" s="11">
        <v>18286</v>
      </c>
      <c r="J24" s="11">
        <v>19121</v>
      </c>
      <c r="K24" s="11">
        <v>20174</v>
      </c>
      <c r="L24" s="7">
        <f>RATE(5,,-F24,K24)</f>
        <v>5.1064156395915938E-2</v>
      </c>
      <c r="M24" s="2"/>
      <c r="N24" s="1" t="str">
        <f>A24</f>
        <v>Accumulated Depreciation &amp; Amort.</v>
      </c>
      <c r="O24" s="7" t="e">
        <f t="shared" ref="O24:P24" si="16">B24/B$38</f>
        <v>#DIV/0!</v>
      </c>
      <c r="P24" s="7">
        <f t="shared" si="16"/>
        <v>0.48583288782666123</v>
      </c>
      <c r="Q24" s="7">
        <f t="shared" ref="Q24:X24" si="17">D24/D$38</f>
        <v>0.40684518733299219</v>
      </c>
      <c r="R24" s="7">
        <f t="shared" si="17"/>
        <v>0.40446488973075362</v>
      </c>
      <c r="S24" s="7">
        <f t="shared" si="17"/>
        <v>0.39438774230759588</v>
      </c>
      <c r="T24" s="7">
        <f t="shared" si="17"/>
        <v>0.38690559522142892</v>
      </c>
      <c r="U24" s="7">
        <f t="shared" si="17"/>
        <v>0.38028784205813626</v>
      </c>
      <c r="V24" s="7">
        <f t="shared" si="17"/>
        <v>0.37822408836122201</v>
      </c>
      <c r="W24" s="7">
        <f t="shared" si="17"/>
        <v>0.36738654267378856</v>
      </c>
      <c r="X24" s="7">
        <f t="shared" si="17"/>
        <v>0.36658671318505598</v>
      </c>
      <c r="Y24" s="7">
        <f>SUM(F24:K24)/SUM(F$38:K$38)</f>
        <v>0.37789532627338007</v>
      </c>
      <c r="Z24" s="189"/>
    </row>
    <row r="25" spans="1:26">
      <c r="A25" s="1"/>
      <c r="B25" s="1"/>
      <c r="C25" s="22"/>
      <c r="D25" s="137"/>
      <c r="E25" s="137"/>
      <c r="F25" s="137"/>
      <c r="G25" s="137"/>
      <c r="H25" s="137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">
        <f t="shared" ref="B26:J26" si="18">B22-B24</f>
        <v>0</v>
      </c>
      <c r="C26" s="22">
        <f t="shared" si="18"/>
        <v>26315</v>
      </c>
      <c r="D26" s="137">
        <f t="shared" si="18"/>
        <v>29451</v>
      </c>
      <c r="E26" s="137">
        <f t="shared" si="18"/>
        <v>30605</v>
      </c>
      <c r="F26" s="137">
        <f t="shared" si="18"/>
        <v>31853</v>
      </c>
      <c r="G26" s="137">
        <f t="shared" si="18"/>
        <v>33585</v>
      </c>
      <c r="H26" s="137">
        <f t="shared" si="18"/>
        <v>35681</v>
      </c>
      <c r="I26" s="137">
        <f t="shared" si="18"/>
        <v>37866</v>
      </c>
      <c r="J26" s="137">
        <f t="shared" si="18"/>
        <v>39230</v>
      </c>
      <c r="K26" s="137">
        <f t="shared" ref="K26" si="19">K22-K24</f>
        <v>42002</v>
      </c>
      <c r="L26" s="7">
        <f>RATE(5,,-F26,K26)</f>
        <v>5.6875732147982874E-2</v>
      </c>
      <c r="M26" s="1"/>
      <c r="N26" s="1" t="s">
        <v>23</v>
      </c>
      <c r="O26" s="7" t="e">
        <f t="shared" ref="O26:P26" si="20">B26/B$38</f>
        <v>#DIV/0!</v>
      </c>
      <c r="P26" s="7">
        <f t="shared" si="20"/>
        <v>0.82754174659580493</v>
      </c>
      <c r="Q26" s="7">
        <f t="shared" ref="Q26:X26" si="21">D26/D$38</f>
        <v>0.83719938597987376</v>
      </c>
      <c r="R26" s="7">
        <f t="shared" si="21"/>
        <v>0.82816939521039101</v>
      </c>
      <c r="S26" s="7">
        <f t="shared" si="21"/>
        <v>0.7987812523509793</v>
      </c>
      <c r="T26" s="7">
        <f t="shared" si="21"/>
        <v>0.78363432731345373</v>
      </c>
      <c r="U26" s="7">
        <f t="shared" si="21"/>
        <v>0.77924829107427551</v>
      </c>
      <c r="V26" s="7">
        <f t="shared" si="21"/>
        <v>0.7832130225246654</v>
      </c>
      <c r="W26" s="7">
        <f t="shared" si="21"/>
        <v>0.75375629251047149</v>
      </c>
      <c r="X26" s="7">
        <f t="shared" si="21"/>
        <v>0.76322866695740665</v>
      </c>
      <c r="Y26" s="7">
        <f>SUM(F26:K26)/SUM(F$38:K$38)</f>
        <v>0.7755512433570817</v>
      </c>
      <c r="Z26" s="189"/>
    </row>
    <row r="27" spans="1:26">
      <c r="A27" s="1"/>
      <c r="B27" s="1"/>
      <c r="C27" s="22"/>
      <c r="D27" s="137"/>
      <c r="E27" s="137"/>
      <c r="F27" s="137"/>
      <c r="G27" s="137"/>
      <c r="H27" s="137"/>
      <c r="I27" s="11"/>
      <c r="J27" s="11">
        <f>39230-J26</f>
        <v>0</v>
      </c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"/>
      <c r="C28" s="22"/>
      <c r="D28" s="137"/>
      <c r="E28" s="137"/>
      <c r="F28" s="137"/>
      <c r="G28" s="137"/>
      <c r="H28" s="137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"/>
      <c r="C29" s="22">
        <v>1619</v>
      </c>
      <c r="D29" s="137">
        <v>132</v>
      </c>
      <c r="E29" s="137">
        <v>253</v>
      </c>
      <c r="F29" s="137">
        <v>519</v>
      </c>
      <c r="G29" s="137">
        <v>936</v>
      </c>
      <c r="H29" s="137">
        <v>768</v>
      </c>
      <c r="I29" s="11">
        <v>2637</v>
      </c>
      <c r="J29" s="11">
        <v>2702</v>
      </c>
      <c r="K29" s="11">
        <v>2402</v>
      </c>
      <c r="L29" s="7">
        <f t="shared" ref="L29:L31" si="22">RATE(5,,-F29,K29)</f>
        <v>0.35856721210748155</v>
      </c>
      <c r="M29" s="1"/>
      <c r="N29" s="1" t="s">
        <v>27</v>
      </c>
      <c r="O29" s="7" t="e">
        <f t="shared" ref="O29:P36" si="23">B29/B$38</f>
        <v>#DIV/0!</v>
      </c>
      <c r="P29" s="7">
        <f t="shared" si="23"/>
        <v>5.0913550740589328E-2</v>
      </c>
      <c r="Q29" s="7">
        <f t="shared" ref="Q29:X36" si="24">D29/D$38</f>
        <v>3.7523452157598499E-3</v>
      </c>
      <c r="R29" s="7">
        <f t="shared" si="24"/>
        <v>6.8461642538222159E-3</v>
      </c>
      <c r="S29" s="7">
        <f t="shared" si="24"/>
        <v>1.3015021190159742E-2</v>
      </c>
      <c r="T29" s="7">
        <f t="shared" si="24"/>
        <v>2.1839563208735827E-2</v>
      </c>
      <c r="U29" s="7">
        <f t="shared" si="24"/>
        <v>1.6772587302627269E-2</v>
      </c>
      <c r="V29" s="7">
        <f t="shared" si="24"/>
        <v>5.4543198130183879E-2</v>
      </c>
      <c r="W29" s="7">
        <f t="shared" si="24"/>
        <v>5.1915613111478305E-2</v>
      </c>
      <c r="X29" s="7">
        <f t="shared" si="24"/>
        <v>4.3647332461113533E-2</v>
      </c>
      <c r="Y29" s="7">
        <f t="shared" ref="Y29:Y36" si="25">SUM(F29:K29)/SUM(F$38:K$38)</f>
        <v>3.5090808560692237E-2</v>
      </c>
      <c r="Z29" s="189"/>
    </row>
    <row r="30" spans="1:26">
      <c r="A30" s="1" t="s">
        <v>28</v>
      </c>
      <c r="B30" s="1"/>
      <c r="C30" s="22"/>
      <c r="D30" s="137">
        <v>911</v>
      </c>
      <c r="E30" s="137">
        <v>986</v>
      </c>
      <c r="F30" s="137">
        <v>1022</v>
      </c>
      <c r="G30" s="137">
        <v>1549</v>
      </c>
      <c r="H30" s="137">
        <v>2369</v>
      </c>
      <c r="I30" s="11">
        <v>0</v>
      </c>
      <c r="J30" s="11">
        <v>1963</v>
      </c>
      <c r="K30" s="11">
        <v>2271</v>
      </c>
      <c r="L30" s="7">
        <f t="shared" si="22"/>
        <v>0.17314919701733369</v>
      </c>
      <c r="M30" s="1"/>
      <c r="N30" s="1" t="str">
        <f>A30</f>
        <v>Intangible Assets-net</v>
      </c>
      <c r="O30" s="7" t="e">
        <f t="shared" si="23"/>
        <v>#DIV/0!</v>
      </c>
      <c r="P30" s="7">
        <f t="shared" si="23"/>
        <v>0</v>
      </c>
      <c r="Q30" s="7">
        <f t="shared" si="24"/>
        <v>2.5896867360281996E-2</v>
      </c>
      <c r="R30" s="7">
        <f t="shared" si="24"/>
        <v>2.6681098633473142E-2</v>
      </c>
      <c r="S30" s="7">
        <f t="shared" si="24"/>
        <v>2.5628808586403189E-2</v>
      </c>
      <c r="T30" s="7">
        <f t="shared" si="24"/>
        <v>3.6142610481123709E-2</v>
      </c>
      <c r="U30" s="7">
        <f t="shared" si="24"/>
        <v>5.1737316822817708E-2</v>
      </c>
      <c r="V30" s="7">
        <f t="shared" si="24"/>
        <v>0</v>
      </c>
      <c r="W30" s="7">
        <f t="shared" si="24"/>
        <v>3.7716635284171691E-2</v>
      </c>
      <c r="X30" s="7">
        <f t="shared" si="24"/>
        <v>4.1266899258613168E-2</v>
      </c>
      <c r="Y30" s="7">
        <f t="shared" si="25"/>
        <v>3.2308618801263608E-2</v>
      </c>
      <c r="Z30" s="189"/>
    </row>
    <row r="31" spans="1:26">
      <c r="A31" s="1" t="s">
        <v>29</v>
      </c>
      <c r="B31" s="1"/>
      <c r="C31" s="22"/>
      <c r="D31" s="137">
        <f>152+326</f>
        <v>478</v>
      </c>
      <c r="E31" s="137">
        <f>153+323</f>
        <v>476</v>
      </c>
      <c r="F31" s="137">
        <f>162+309+531</f>
        <v>1002</v>
      </c>
      <c r="G31" s="137">
        <f>172+293</f>
        <v>465</v>
      </c>
      <c r="H31" s="137">
        <f>191+289</f>
        <v>480</v>
      </c>
      <c r="I31" s="11">
        <f>208+271</f>
        <v>479</v>
      </c>
      <c r="J31" s="11">
        <v>395</v>
      </c>
      <c r="K31" s="11">
        <v>436</v>
      </c>
      <c r="L31" s="7">
        <f t="shared" si="22"/>
        <v>-0.15331131973159193</v>
      </c>
      <c r="M31" s="1"/>
      <c r="N31" s="1" t="str">
        <f t="shared" ref="N31:N36" si="26">A31</f>
        <v>Finance Assets</v>
      </c>
      <c r="O31" s="7" t="e">
        <f t="shared" si="23"/>
        <v>#DIV/0!</v>
      </c>
      <c r="P31" s="7">
        <f t="shared" si="23"/>
        <v>0</v>
      </c>
      <c r="Q31" s="7">
        <f t="shared" si="24"/>
        <v>1.3588037978281882E-2</v>
      </c>
      <c r="R31" s="7">
        <f t="shared" si="24"/>
        <v>1.2880530374780139E-2</v>
      </c>
      <c r="S31" s="7">
        <f t="shared" si="24"/>
        <v>2.5127266344007824E-2</v>
      </c>
      <c r="T31" s="7">
        <f t="shared" si="24"/>
        <v>1.0849783004339914E-2</v>
      </c>
      <c r="U31" s="7">
        <f t="shared" si="24"/>
        <v>1.0482867064142042E-2</v>
      </c>
      <c r="V31" s="7">
        <f t="shared" si="24"/>
        <v>9.9075433842844441E-3</v>
      </c>
      <c r="W31" s="7">
        <f t="shared" si="24"/>
        <v>7.5894401106713291E-3</v>
      </c>
      <c r="X31" s="7">
        <f t="shared" si="24"/>
        <v>7.9226631777874687E-3</v>
      </c>
      <c r="Y31" s="7">
        <f t="shared" si="25"/>
        <v>1.1470369679062085E-2</v>
      </c>
      <c r="Z31" s="189"/>
    </row>
    <row r="32" spans="1:26">
      <c r="A32" s="1" t="s">
        <v>30</v>
      </c>
      <c r="B32" s="1"/>
      <c r="C32" s="22"/>
      <c r="D32" s="137"/>
      <c r="E32" s="137"/>
      <c r="F32" s="137"/>
      <c r="G32" s="137"/>
      <c r="H32" s="137"/>
      <c r="I32" s="11"/>
      <c r="J32" s="11"/>
      <c r="K32" s="11"/>
      <c r="L32" s="7"/>
      <c r="M32" s="1"/>
      <c r="N32" s="1" t="str">
        <f t="shared" si="26"/>
        <v xml:space="preserve">Investments </v>
      </c>
      <c r="O32" s="7" t="e">
        <f t="shared" si="23"/>
        <v>#DIV/0!</v>
      </c>
      <c r="P32" s="7">
        <f t="shared" si="23"/>
        <v>0</v>
      </c>
      <c r="Q32" s="7">
        <f t="shared" si="24"/>
        <v>0</v>
      </c>
      <c r="R32" s="7">
        <f t="shared" si="24"/>
        <v>0</v>
      </c>
      <c r="S32" s="7">
        <f t="shared" si="24"/>
        <v>0</v>
      </c>
      <c r="T32" s="7">
        <f t="shared" si="24"/>
        <v>0</v>
      </c>
      <c r="U32" s="7">
        <f t="shared" si="24"/>
        <v>0</v>
      </c>
      <c r="V32" s="7">
        <f t="shared" si="24"/>
        <v>0</v>
      </c>
      <c r="W32" s="7">
        <f t="shared" si="24"/>
        <v>0</v>
      </c>
      <c r="X32" s="7">
        <f t="shared" si="24"/>
        <v>0</v>
      </c>
      <c r="Y32" s="7">
        <f t="shared" si="25"/>
        <v>0</v>
      </c>
      <c r="Z32" s="189"/>
    </row>
    <row r="33" spans="1:26">
      <c r="A33" s="1" t="s">
        <v>31</v>
      </c>
      <c r="B33" s="1"/>
      <c r="C33" s="22">
        <v>898</v>
      </c>
      <c r="D33" s="137">
        <f>874+272</f>
        <v>1146</v>
      </c>
      <c r="E33" s="137">
        <f>864+280</f>
        <v>1144</v>
      </c>
      <c r="F33" s="137">
        <f>937+339</f>
        <v>1276</v>
      </c>
      <c r="G33" s="137">
        <f>845+564+895</f>
        <v>2304</v>
      </c>
      <c r="H33" s="137">
        <f>460+389+910</f>
        <v>1759</v>
      </c>
      <c r="I33" s="11">
        <f>973+606+428</f>
        <v>2007</v>
      </c>
      <c r="J33" s="11">
        <f>52046-50063</f>
        <v>1983</v>
      </c>
      <c r="K33" s="11">
        <f>55032-52994</f>
        <v>2038</v>
      </c>
      <c r="L33" s="7">
        <f t="shared" ref="L33:L35" si="27">RATE(5,,-F33,K33)</f>
        <v>9.8172846367364633E-2</v>
      </c>
      <c r="M33" s="1"/>
      <c r="N33" s="1" t="str">
        <f t="shared" si="26"/>
        <v>Deferred Charges and Other</v>
      </c>
      <c r="O33" s="7" t="e">
        <f t="shared" si="23"/>
        <v>#DIV/0!</v>
      </c>
      <c r="P33" s="7">
        <f t="shared" si="23"/>
        <v>2.8239881757287966E-2</v>
      </c>
      <c r="Q33" s="7">
        <f t="shared" si="24"/>
        <v>3.2577178918642334E-2</v>
      </c>
      <c r="R33" s="7">
        <f t="shared" si="24"/>
        <v>3.0956568799891761E-2</v>
      </c>
      <c r="S33" s="7">
        <f t="shared" si="24"/>
        <v>3.1998395064824332E-2</v>
      </c>
      <c r="T33" s="7">
        <f t="shared" si="24"/>
        <v>5.3758924821503573E-2</v>
      </c>
      <c r="U33" s="7">
        <f t="shared" si="24"/>
        <v>3.841533992880386E-2</v>
      </c>
      <c r="V33" s="7">
        <f t="shared" si="24"/>
        <v>4.1512399942085339E-2</v>
      </c>
      <c r="W33" s="7">
        <f t="shared" si="24"/>
        <v>3.8100910732813284E-2</v>
      </c>
      <c r="X33" s="7">
        <f t="shared" si="24"/>
        <v>3.7032998982410234E-2</v>
      </c>
      <c r="Y33" s="7">
        <f t="shared" si="25"/>
        <v>4.0031836703069916E-2</v>
      </c>
      <c r="Z33" s="189"/>
    </row>
    <row r="34" spans="1:26">
      <c r="A34" s="1" t="s">
        <v>32</v>
      </c>
      <c r="B34" s="1">
        <f t="shared" ref="B34:I34" si="28">SUM(B29:B33)</f>
        <v>0</v>
      </c>
      <c r="C34" s="22">
        <f t="shared" ref="C34:H34" si="29">SUM(C29:C33)</f>
        <v>2517</v>
      </c>
      <c r="D34" s="137">
        <f t="shared" si="29"/>
        <v>2667</v>
      </c>
      <c r="E34" s="137">
        <f t="shared" si="29"/>
        <v>2859</v>
      </c>
      <c r="F34" s="137">
        <f t="shared" si="29"/>
        <v>3819</v>
      </c>
      <c r="G34" s="137">
        <f t="shared" si="29"/>
        <v>5254</v>
      </c>
      <c r="H34" s="137">
        <f t="shared" si="29"/>
        <v>5376</v>
      </c>
      <c r="I34" s="11">
        <f t="shared" si="28"/>
        <v>5123</v>
      </c>
      <c r="J34" s="11">
        <f>SUM(J29:J33)</f>
        <v>7043</v>
      </c>
      <c r="K34" s="11">
        <f>SUM(K29:K33)</f>
        <v>7147</v>
      </c>
      <c r="L34" s="7">
        <f t="shared" si="27"/>
        <v>0.1335347140069669</v>
      </c>
      <c r="M34" s="1"/>
      <c r="N34" s="1" t="str">
        <f t="shared" si="26"/>
        <v>Total Other Assets</v>
      </c>
      <c r="O34" s="7" t="e">
        <f t="shared" si="23"/>
        <v>#DIV/0!</v>
      </c>
      <c r="P34" s="7">
        <f t="shared" si="23"/>
        <v>7.9153432497877291E-2</v>
      </c>
      <c r="Q34" s="7">
        <f t="shared" si="24"/>
        <v>7.5814429472966058E-2</v>
      </c>
      <c r="R34" s="7">
        <f t="shared" si="24"/>
        <v>7.7364362061967257E-2</v>
      </c>
      <c r="S34" s="7">
        <f t="shared" si="24"/>
        <v>9.5769491185395086E-2</v>
      </c>
      <c r="T34" s="7">
        <f t="shared" si="24"/>
        <v>0.12259088151570302</v>
      </c>
      <c r="U34" s="7">
        <f t="shared" si="24"/>
        <v>0.11740811111839088</v>
      </c>
      <c r="V34" s="7">
        <f t="shared" si="24"/>
        <v>0.10596314145655367</v>
      </c>
      <c r="W34" s="7">
        <f t="shared" si="24"/>
        <v>0.13532259923913462</v>
      </c>
      <c r="X34" s="7">
        <f t="shared" si="24"/>
        <v>0.1298698938799244</v>
      </c>
      <c r="Y34" s="7">
        <f t="shared" si="25"/>
        <v>0.11890163374408785</v>
      </c>
      <c r="Z34" s="189"/>
    </row>
    <row r="35" spans="1:26">
      <c r="A35" s="1" t="s">
        <v>33</v>
      </c>
      <c r="B35" s="1">
        <f t="shared" ref="B35:I35" si="30">B26+B34</f>
        <v>0</v>
      </c>
      <c r="C35" s="22">
        <f t="shared" si="30"/>
        <v>28832</v>
      </c>
      <c r="D35" s="137">
        <f t="shared" si="30"/>
        <v>32118</v>
      </c>
      <c r="E35" s="137">
        <f t="shared" si="30"/>
        <v>33464</v>
      </c>
      <c r="F35" s="137">
        <f t="shared" si="30"/>
        <v>35672</v>
      </c>
      <c r="G35" s="137">
        <f t="shared" si="30"/>
        <v>38839</v>
      </c>
      <c r="H35" s="137">
        <f t="shared" si="30"/>
        <v>41057</v>
      </c>
      <c r="I35" s="11">
        <f t="shared" si="30"/>
        <v>42989</v>
      </c>
      <c r="J35" s="11">
        <f>J26+J34</f>
        <v>46273</v>
      </c>
      <c r="K35" s="11">
        <f>K26+K34</f>
        <v>49149</v>
      </c>
      <c r="L35" s="7">
        <f t="shared" si="27"/>
        <v>6.6196973307389911E-2</v>
      </c>
      <c r="M35" s="1"/>
      <c r="N35" s="1" t="str">
        <f t="shared" si="26"/>
        <v>Total Non-Current Assets</v>
      </c>
      <c r="O35" s="7" t="e">
        <f t="shared" si="23"/>
        <v>#DIV/0!</v>
      </c>
      <c r="P35" s="7">
        <f t="shared" si="23"/>
        <v>0.90669517909368225</v>
      </c>
      <c r="Q35" s="7">
        <f t="shared" si="24"/>
        <v>0.91301381545283988</v>
      </c>
      <c r="R35" s="7">
        <f t="shared" si="24"/>
        <v>0.9055337572723583</v>
      </c>
      <c r="S35" s="7">
        <f t="shared" si="24"/>
        <v>0.89455074353637432</v>
      </c>
      <c r="T35" s="7">
        <f t="shared" si="24"/>
        <v>0.9062252088291568</v>
      </c>
      <c r="U35" s="7">
        <f t="shared" si="24"/>
        <v>0.8966564021926664</v>
      </c>
      <c r="V35" s="7">
        <f t="shared" si="24"/>
        <v>0.88917616398121913</v>
      </c>
      <c r="W35" s="7">
        <f t="shared" si="24"/>
        <v>0.88907889174960608</v>
      </c>
      <c r="X35" s="7">
        <f t="shared" si="24"/>
        <v>0.89309856083733097</v>
      </c>
      <c r="Y35" s="7">
        <f t="shared" si="25"/>
        <v>0.89445287710116961</v>
      </c>
      <c r="Z35" s="189"/>
    </row>
    <row r="36" spans="1:26">
      <c r="A36" s="1" t="s">
        <v>34</v>
      </c>
      <c r="B36" s="1"/>
      <c r="C36" s="22"/>
      <c r="D36" s="137"/>
      <c r="E36" s="137"/>
      <c r="F36" s="137"/>
      <c r="G36" s="137"/>
      <c r="H36" s="137"/>
      <c r="I36" s="11"/>
      <c r="J36" s="11"/>
      <c r="K36" s="11"/>
      <c r="L36" s="7"/>
      <c r="M36" s="1"/>
      <c r="N36" s="1" t="str">
        <f t="shared" si="26"/>
        <v xml:space="preserve"> Electric Assets</v>
      </c>
      <c r="O36" s="7" t="e">
        <f>B36/B$38</f>
        <v>#DIV/0!</v>
      </c>
      <c r="P36" s="7">
        <f t="shared" si="23"/>
        <v>0</v>
      </c>
      <c r="Q36" s="7">
        <f t="shared" si="24"/>
        <v>0</v>
      </c>
      <c r="R36" s="7">
        <f t="shared" si="24"/>
        <v>0</v>
      </c>
      <c r="S36" s="7">
        <f t="shared" si="24"/>
        <v>0</v>
      </c>
      <c r="T36" s="7">
        <f t="shared" si="24"/>
        <v>0</v>
      </c>
      <c r="U36" s="7">
        <f t="shared" si="24"/>
        <v>0</v>
      </c>
      <c r="V36" s="7">
        <f t="shared" si="24"/>
        <v>0</v>
      </c>
      <c r="W36" s="7">
        <f t="shared" si="24"/>
        <v>0</v>
      </c>
      <c r="X36" s="7">
        <f t="shared" si="24"/>
        <v>0</v>
      </c>
      <c r="Y36" s="7">
        <f t="shared" si="25"/>
        <v>0</v>
      </c>
      <c r="Z36" s="189"/>
    </row>
    <row r="37" spans="1:26">
      <c r="A37" s="1" t="s">
        <v>35</v>
      </c>
      <c r="B37" s="1"/>
      <c r="C37" s="22"/>
      <c r="D37" s="137"/>
      <c r="E37" s="137"/>
      <c r="F37" s="137"/>
      <c r="G37" s="137"/>
      <c r="H37" s="137"/>
      <c r="I37" s="11"/>
      <c r="J37" s="11"/>
      <c r="K37" s="11"/>
      <c r="L37" s="7"/>
      <c r="M37" s="1"/>
      <c r="N37" s="1" t="str">
        <f t="shared" ref="N37" si="31">A37</f>
        <v>Other Regulated Assets</v>
      </c>
      <c r="O37" s="7" t="e">
        <f>B37/B$38</f>
        <v>#DIV/0!</v>
      </c>
      <c r="P37" s="7">
        <f t="shared" ref="P37" si="32">C37/C$38</f>
        <v>0</v>
      </c>
      <c r="Q37" s="7">
        <f t="shared" ref="Q37" si="33">D37/D$38</f>
        <v>0</v>
      </c>
      <c r="R37" s="7">
        <f t="shared" ref="R37" si="34">E37/E$38</f>
        <v>0</v>
      </c>
      <c r="S37" s="7">
        <f t="shared" ref="S37" si="35">F37/F$38</f>
        <v>0</v>
      </c>
      <c r="T37" s="7">
        <f t="shared" ref="T37" si="36">G37/G$38</f>
        <v>0</v>
      </c>
      <c r="U37" s="7">
        <f t="shared" ref="U37" si="37">H37/H$38</f>
        <v>0</v>
      </c>
      <c r="V37" s="7">
        <f t="shared" ref="V37" si="38">I37/I$38</f>
        <v>0</v>
      </c>
      <c r="W37" s="7">
        <f t="shared" ref="W37" si="39">J37/J$38</f>
        <v>0</v>
      </c>
      <c r="X37" s="7">
        <f t="shared" ref="X37" si="40">K37/K$38</f>
        <v>0</v>
      </c>
      <c r="Y37" s="7">
        <f t="shared" ref="Y37" si="41">SUM(F37:K37)/SUM(F$38:K$38)</f>
        <v>0</v>
      </c>
      <c r="Z37" s="189"/>
    </row>
    <row r="38" spans="1:26">
      <c r="A38" s="1" t="s">
        <v>36</v>
      </c>
      <c r="B38" s="1">
        <f t="shared" ref="B38:J38" si="42">B15+B26+B34</f>
        <v>0</v>
      </c>
      <c r="C38" s="22">
        <f t="shared" si="42"/>
        <v>31799</v>
      </c>
      <c r="D38" s="137">
        <f t="shared" si="42"/>
        <v>35178</v>
      </c>
      <c r="E38" s="137">
        <f t="shared" si="42"/>
        <v>36955</v>
      </c>
      <c r="F38" s="137">
        <f>F15+F26+F34</f>
        <v>39877</v>
      </c>
      <c r="G38" s="137">
        <f t="shared" si="42"/>
        <v>42858</v>
      </c>
      <c r="H38" s="137">
        <f t="shared" si="42"/>
        <v>45789</v>
      </c>
      <c r="I38" s="11">
        <f t="shared" si="42"/>
        <v>48347</v>
      </c>
      <c r="J38" s="11">
        <f t="shared" si="42"/>
        <v>52046</v>
      </c>
      <c r="K38" s="11">
        <f t="shared" ref="K38" si="43">K15+K26+K34</f>
        <v>55032</v>
      </c>
      <c r="L38" s="7">
        <f>RATE(5,,-F38,K38)</f>
        <v>6.6543476329985113E-2</v>
      </c>
      <c r="M38" s="1"/>
      <c r="N38" s="1" t="s">
        <v>36</v>
      </c>
      <c r="O38" s="7" t="e">
        <f t="shared" ref="O38:P38" si="44">B38/B$38</f>
        <v>#DIV/0!</v>
      </c>
      <c r="P38" s="7">
        <f t="shared" si="44"/>
        <v>1</v>
      </c>
      <c r="Q38" s="7">
        <f t="shared" ref="Q38:X38" si="45">D38/D$38</f>
        <v>1</v>
      </c>
      <c r="R38" s="7">
        <f t="shared" si="45"/>
        <v>1</v>
      </c>
      <c r="S38" s="7">
        <f t="shared" si="45"/>
        <v>1</v>
      </c>
      <c r="T38" s="7">
        <f t="shared" si="45"/>
        <v>1</v>
      </c>
      <c r="U38" s="7">
        <f t="shared" si="45"/>
        <v>1</v>
      </c>
      <c r="V38" s="7">
        <f t="shared" si="45"/>
        <v>1</v>
      </c>
      <c r="W38" s="7">
        <f t="shared" si="45"/>
        <v>1</v>
      </c>
      <c r="X38" s="7">
        <f t="shared" si="45"/>
        <v>1</v>
      </c>
      <c r="Y38" s="7">
        <f>SUM(F38:K38)/SUM(F$38:K$38)</f>
        <v>1</v>
      </c>
      <c r="Z38" s="189"/>
    </row>
    <row r="39" spans="1:26">
      <c r="A39" s="1"/>
      <c r="B39" s="1"/>
      <c r="C39" s="28"/>
      <c r="D39" s="142"/>
      <c r="E39" s="142"/>
      <c r="F39" s="142"/>
      <c r="G39" s="142"/>
      <c r="H39" s="142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"/>
      <c r="C40" s="22"/>
      <c r="D40" s="137"/>
      <c r="E40" s="137"/>
      <c r="F40" s="137"/>
      <c r="G40" s="137"/>
      <c r="H40" s="137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"/>
      <c r="C41" s="22"/>
      <c r="D41" s="137"/>
      <c r="E41" s="137"/>
      <c r="F41" s="137"/>
      <c r="G41" s="137"/>
      <c r="H41" s="137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"/>
      <c r="C42" s="22">
        <v>1639</v>
      </c>
      <c r="D42" s="137">
        <v>741</v>
      </c>
      <c r="E42" s="137">
        <v>983</v>
      </c>
      <c r="F42" s="137">
        <v>901</v>
      </c>
      <c r="G42" s="137">
        <v>1418</v>
      </c>
      <c r="H42" s="137">
        <v>1178</v>
      </c>
      <c r="I42" s="11">
        <v>617</v>
      </c>
      <c r="J42" s="11">
        <v>1113</v>
      </c>
      <c r="K42" s="11">
        <v>1301</v>
      </c>
      <c r="L42" s="7">
        <f t="shared" ref="L42:L48" si="46">RATE(5,,-F42,K42)</f>
        <v>7.6243399840076498E-2</v>
      </c>
      <c r="M42" s="1"/>
      <c r="N42" s="1" t="str">
        <f t="shared" ref="N42:N47" si="47">A42</f>
        <v>Current Maturities LTD</v>
      </c>
      <c r="O42" s="7" t="e">
        <f t="shared" ref="O42:P48" si="48">B42/B$38</f>
        <v>#DIV/0!</v>
      </c>
      <c r="P42" s="7">
        <f t="shared" si="48"/>
        <v>5.1542501336520018E-2</v>
      </c>
      <c r="Q42" s="7">
        <f t="shared" ref="Q42:X48" si="49">D42/D$38</f>
        <v>2.1064301552106431E-2</v>
      </c>
      <c r="R42" s="7">
        <f t="shared" si="49"/>
        <v>2.6599918820186714E-2</v>
      </c>
      <c r="S42" s="7">
        <f t="shared" si="49"/>
        <v>2.2594478019911227E-2</v>
      </c>
      <c r="T42" s="7">
        <f t="shared" si="49"/>
        <v>3.3086004946567736E-2</v>
      </c>
      <c r="U42" s="7">
        <f t="shared" si="49"/>
        <v>2.5726702919915263E-2</v>
      </c>
      <c r="V42" s="7">
        <f t="shared" si="49"/>
        <v>1.2761908701677456E-2</v>
      </c>
      <c r="W42" s="7">
        <f t="shared" si="49"/>
        <v>2.1384928716904276E-2</v>
      </c>
      <c r="X42" s="7">
        <f t="shared" si="49"/>
        <v>2.3640790812618113E-2</v>
      </c>
      <c r="Y42" s="7">
        <f t="shared" ref="Y42:Y48" si="50">SUM(F42:K42)/SUM(F$38:K$38)</f>
        <v>2.2990043986772273E-2</v>
      </c>
      <c r="Z42" s="189"/>
    </row>
    <row r="43" spans="1:26">
      <c r="A43" s="1" t="s">
        <v>39</v>
      </c>
      <c r="B43" s="1"/>
      <c r="C43" s="22">
        <v>1007</v>
      </c>
      <c r="D43" s="137">
        <v>568</v>
      </c>
      <c r="E43" s="137">
        <v>426</v>
      </c>
      <c r="F43" s="137">
        <v>1258</v>
      </c>
      <c r="G43" s="137">
        <v>1941</v>
      </c>
      <c r="H43" s="137">
        <v>1272</v>
      </c>
      <c r="I43" s="11">
        <v>953</v>
      </c>
      <c r="J43" s="11">
        <v>639</v>
      </c>
      <c r="K43" s="11">
        <v>1297</v>
      </c>
      <c r="L43" s="7">
        <f t="shared" si="46"/>
        <v>6.124829944214343E-3</v>
      </c>
      <c r="M43" s="1"/>
      <c r="N43" s="1" t="str">
        <f t="shared" si="47"/>
        <v>Notes Payable and Commercial Paper</v>
      </c>
      <c r="O43" s="7" t="e">
        <f t="shared" si="48"/>
        <v>#DIV/0!</v>
      </c>
      <c r="P43" s="7">
        <f t="shared" si="48"/>
        <v>3.1667662505110224E-2</v>
      </c>
      <c r="Q43" s="7">
        <f t="shared" si="49"/>
        <v>1.6146455170845415E-2</v>
      </c>
      <c r="R43" s="7">
        <f t="shared" si="49"/>
        <v>1.1527533486672981E-2</v>
      </c>
      <c r="S43" s="7">
        <f t="shared" si="49"/>
        <v>3.1547007046668504E-2</v>
      </c>
      <c r="T43" s="7">
        <f t="shared" si="49"/>
        <v>4.5289094218115639E-2</v>
      </c>
      <c r="U43" s="7">
        <f t="shared" si="49"/>
        <v>2.7779597719976415E-2</v>
      </c>
      <c r="V43" s="7">
        <f t="shared" si="49"/>
        <v>1.9711667735330011E-2</v>
      </c>
      <c r="W43" s="7">
        <f t="shared" si="49"/>
        <v>1.2277600584098682E-2</v>
      </c>
      <c r="X43" s="7">
        <f t="shared" si="49"/>
        <v>2.3568105829335658E-2</v>
      </c>
      <c r="Y43" s="7">
        <f t="shared" si="50"/>
        <v>2.5920147632145209E-2</v>
      </c>
      <c r="Z43" s="189"/>
    </row>
    <row r="44" spans="1:26">
      <c r="A44" s="1" t="s">
        <v>40</v>
      </c>
      <c r="B44" s="1"/>
      <c r="C44" s="22">
        <v>986</v>
      </c>
      <c r="D44" s="137">
        <v>688</v>
      </c>
      <c r="E44" s="137">
        <v>877</v>
      </c>
      <c r="F44" s="137">
        <v>1229</v>
      </c>
      <c r="G44" s="137">
        <v>1081</v>
      </c>
      <c r="H44" s="137">
        <v>1214</v>
      </c>
      <c r="I44" s="11">
        <v>1250</v>
      </c>
      <c r="J44" s="11">
        <v>1329</v>
      </c>
      <c r="K44" s="11">
        <v>1275</v>
      </c>
      <c r="L44" s="7">
        <f t="shared" si="46"/>
        <v>7.3761402914832236E-3</v>
      </c>
      <c r="M44" s="1"/>
      <c r="N44" s="1" t="str">
        <f t="shared" si="47"/>
        <v>Accounts Payable</v>
      </c>
      <c r="O44" s="7" t="e">
        <f t="shared" si="48"/>
        <v>#DIV/0!</v>
      </c>
      <c r="P44" s="7">
        <f t="shared" si="48"/>
        <v>3.1007264379383E-2</v>
      </c>
      <c r="Q44" s="7">
        <f t="shared" si="49"/>
        <v>1.955767809426346E-2</v>
      </c>
      <c r="R44" s="7">
        <f t="shared" si="49"/>
        <v>2.3731565417399542E-2</v>
      </c>
      <c r="S44" s="7">
        <f t="shared" si="49"/>
        <v>3.0819770795195225E-2</v>
      </c>
      <c r="T44" s="7">
        <f t="shared" si="49"/>
        <v>2.5222828876755799E-2</v>
      </c>
      <c r="U44" s="7">
        <f t="shared" si="49"/>
        <v>2.6512917949725916E-2</v>
      </c>
      <c r="V44" s="7">
        <f t="shared" si="49"/>
        <v>2.5854758309719322E-2</v>
      </c>
      <c r="W44" s="7">
        <f t="shared" si="49"/>
        <v>2.5535103562233409E-2</v>
      </c>
      <c r="X44" s="7">
        <f t="shared" si="49"/>
        <v>2.3168338421282162E-2</v>
      </c>
      <c r="Y44" s="7">
        <f t="shared" si="50"/>
        <v>2.5983539297549912E-2</v>
      </c>
      <c r="Z44" s="189"/>
    </row>
    <row r="45" spans="1:26">
      <c r="A45" s="1" t="s">
        <v>41</v>
      </c>
      <c r="B45" s="1"/>
      <c r="C45" s="22"/>
      <c r="D45" s="137">
        <v>189</v>
      </c>
      <c r="E45" s="137">
        <v>199</v>
      </c>
      <c r="F45" s="137">
        <v>220</v>
      </c>
      <c r="G45" s="137">
        <v>249</v>
      </c>
      <c r="H45" s="137">
        <v>274</v>
      </c>
      <c r="I45" s="11">
        <v>302</v>
      </c>
      <c r="J45" s="11">
        <v>331</v>
      </c>
      <c r="K45" s="11">
        <v>332</v>
      </c>
      <c r="L45" s="7">
        <f t="shared" si="46"/>
        <v>8.5783107280797535E-2</v>
      </c>
      <c r="M45" s="1"/>
      <c r="N45" s="1" t="str">
        <f t="shared" si="47"/>
        <v>Payable to Affiliates</v>
      </c>
      <c r="O45" s="7" t="e">
        <f t="shared" si="48"/>
        <v>#DIV/0!</v>
      </c>
      <c r="P45" s="7">
        <f t="shared" si="48"/>
        <v>0</v>
      </c>
      <c r="Q45" s="7">
        <f t="shared" si="49"/>
        <v>5.3726761043834219E-3</v>
      </c>
      <c r="R45" s="7">
        <f t="shared" si="49"/>
        <v>5.3849276146664864E-3</v>
      </c>
      <c r="S45" s="7">
        <f t="shared" si="49"/>
        <v>5.5169646663490229E-3</v>
      </c>
      <c r="T45" s="7">
        <f t="shared" si="49"/>
        <v>5.8098838023239539E-3</v>
      </c>
      <c r="U45" s="7">
        <f t="shared" si="49"/>
        <v>5.983969949114416E-3</v>
      </c>
      <c r="V45" s="7">
        <f t="shared" si="49"/>
        <v>6.2465096076281881E-3</v>
      </c>
      <c r="W45" s="7">
        <f t="shared" si="49"/>
        <v>6.3597586750182532E-3</v>
      </c>
      <c r="X45" s="7">
        <f t="shared" si="49"/>
        <v>6.032853612443669E-3</v>
      </c>
      <c r="Y45" s="7">
        <f t="shared" si="50"/>
        <v>6.015164695068481E-3</v>
      </c>
      <c r="Z45" s="189"/>
    </row>
    <row r="46" spans="1:26">
      <c r="A46" s="1" t="s">
        <v>42</v>
      </c>
      <c r="B46" s="1"/>
      <c r="C46" s="22">
        <v>1382</v>
      </c>
      <c r="D46" s="137">
        <f>46+249+185+129+437</f>
        <v>1046</v>
      </c>
      <c r="E46" s="137">
        <f>47+242+179+137+424</f>
        <v>1029</v>
      </c>
      <c r="F46" s="137">
        <f>104+319+204+144+459+402</f>
        <v>1632</v>
      </c>
      <c r="G46" s="137">
        <f>110+391+184+151+444</f>
        <v>1280</v>
      </c>
      <c r="H46" s="137">
        <f>217+330+218+171+408</f>
        <v>1344</v>
      </c>
      <c r="I46" s="11">
        <f>197+131+396+196+179+447</f>
        <v>1546</v>
      </c>
      <c r="J46" s="11">
        <f>5584-3704</f>
        <v>1880</v>
      </c>
      <c r="K46" s="11">
        <f>6472-4740</f>
        <v>1732</v>
      </c>
      <c r="L46" s="7">
        <f t="shared" si="46"/>
        <v>1.1965126933513532E-2</v>
      </c>
      <c r="M46" s="1"/>
      <c r="N46" s="1" t="str">
        <f t="shared" si="47"/>
        <v>Other Payables and Accrued Expenses</v>
      </c>
      <c r="O46" s="7" t="e">
        <f t="shared" si="48"/>
        <v>#DIV/0!</v>
      </c>
      <c r="P46" s="7">
        <f t="shared" si="48"/>
        <v>4.3460486178810653E-2</v>
      </c>
      <c r="Q46" s="7">
        <f t="shared" si="49"/>
        <v>2.9734493149127295E-2</v>
      </c>
      <c r="R46" s="7">
        <f t="shared" si="49"/>
        <v>2.78446759572453E-2</v>
      </c>
      <c r="S46" s="7">
        <f t="shared" si="49"/>
        <v>4.0925846979461847E-2</v>
      </c>
      <c r="T46" s="7">
        <f t="shared" si="49"/>
        <v>2.9866069345279762E-2</v>
      </c>
      <c r="U46" s="7">
        <f t="shared" si="49"/>
        <v>2.9352027779597719E-2</v>
      </c>
      <c r="V46" s="7">
        <f t="shared" si="49"/>
        <v>3.1977165077460859E-2</v>
      </c>
      <c r="W46" s="7">
        <f t="shared" si="49"/>
        <v>3.6121892172309114E-2</v>
      </c>
      <c r="X46" s="7">
        <f t="shared" si="49"/>
        <v>3.1472597761302512E-2</v>
      </c>
      <c r="Y46" s="7">
        <f t="shared" si="50"/>
        <v>3.3153841006659648E-2</v>
      </c>
      <c r="Z46" s="189"/>
    </row>
    <row r="47" spans="1:26">
      <c r="A47" s="1" t="s">
        <v>43</v>
      </c>
      <c r="B47" s="1"/>
      <c r="C47" s="22"/>
      <c r="D47" s="137">
        <v>273</v>
      </c>
      <c r="E47" s="137">
        <v>284</v>
      </c>
      <c r="F47" s="137"/>
      <c r="G47" s="137">
        <v>384</v>
      </c>
      <c r="H47" s="137">
        <v>349</v>
      </c>
      <c r="I47" s="11">
        <f>261+297</f>
        <v>558</v>
      </c>
      <c r="J47" s="11">
        <v>292</v>
      </c>
      <c r="K47" s="11">
        <v>535</v>
      </c>
      <c r="L47" s="7"/>
      <c r="M47" s="1"/>
      <c r="N47" s="1" t="str">
        <f t="shared" si="47"/>
        <v xml:space="preserve">Other </v>
      </c>
      <c r="O47" s="7" t="e">
        <f t="shared" si="48"/>
        <v>#DIV/0!</v>
      </c>
      <c r="P47" s="7">
        <f t="shared" si="48"/>
        <v>0</v>
      </c>
      <c r="Q47" s="7">
        <f t="shared" si="49"/>
        <v>7.7605321507760536E-3</v>
      </c>
      <c r="R47" s="7">
        <f t="shared" si="49"/>
        <v>7.6850223244486534E-3</v>
      </c>
      <c r="S47" s="7">
        <f t="shared" si="49"/>
        <v>0</v>
      </c>
      <c r="T47" s="7">
        <f t="shared" si="49"/>
        <v>8.9598208035839288E-3</v>
      </c>
      <c r="U47" s="7">
        <f t="shared" si="49"/>
        <v>7.6219179278866102E-3</v>
      </c>
      <c r="V47" s="7">
        <f t="shared" si="49"/>
        <v>1.1541564109458705E-2</v>
      </c>
      <c r="W47" s="7">
        <f t="shared" si="49"/>
        <v>5.6104215501671601E-3</v>
      </c>
      <c r="X47" s="7">
        <f t="shared" si="49"/>
        <v>9.7216165140282026E-3</v>
      </c>
      <c r="Y47" s="7">
        <f t="shared" si="50"/>
        <v>7.4590859626200478E-3</v>
      </c>
      <c r="Z47" s="189"/>
    </row>
    <row r="48" spans="1:26">
      <c r="A48" s="1" t="s">
        <v>44</v>
      </c>
      <c r="B48" s="1">
        <f t="shared" ref="B48:J48" si="51">SUM(B41:B47)</f>
        <v>0</v>
      </c>
      <c r="C48" s="22">
        <f t="shared" ref="C48:H48" si="52">SUM(C41:C47)</f>
        <v>5014</v>
      </c>
      <c r="D48" s="137">
        <f t="shared" si="52"/>
        <v>3505</v>
      </c>
      <c r="E48" s="137">
        <f t="shared" si="52"/>
        <v>3798</v>
      </c>
      <c r="F48" s="137">
        <f t="shared" si="52"/>
        <v>5240</v>
      </c>
      <c r="G48" s="137">
        <f t="shared" si="52"/>
        <v>6353</v>
      </c>
      <c r="H48" s="137">
        <f t="shared" si="52"/>
        <v>5631</v>
      </c>
      <c r="I48" s="11">
        <f t="shared" si="51"/>
        <v>5226</v>
      </c>
      <c r="J48" s="11">
        <f t="shared" si="51"/>
        <v>5584</v>
      </c>
      <c r="K48" s="11">
        <f t="shared" ref="K48" si="53">SUM(K41:K47)</f>
        <v>6472</v>
      </c>
      <c r="L48" s="7">
        <f t="shared" si="46"/>
        <v>4.3137226384112548E-2</v>
      </c>
      <c r="M48" s="1"/>
      <c r="N48" s="1" t="s">
        <v>44</v>
      </c>
      <c r="O48" s="7" t="e">
        <f t="shared" si="48"/>
        <v>#DIV/0!</v>
      </c>
      <c r="P48" s="7">
        <f t="shared" si="48"/>
        <v>0.1576779143998239</v>
      </c>
      <c r="Q48" s="7">
        <f t="shared" si="49"/>
        <v>9.9636136221502081E-2</v>
      </c>
      <c r="R48" s="7">
        <f t="shared" si="49"/>
        <v>0.10277364362061968</v>
      </c>
      <c r="S48" s="7">
        <f t="shared" si="49"/>
        <v>0.13140406750758582</v>
      </c>
      <c r="T48" s="7">
        <f t="shared" si="49"/>
        <v>0.14823370199262681</v>
      </c>
      <c r="U48" s="7">
        <f t="shared" si="49"/>
        <v>0.12297713424621634</v>
      </c>
      <c r="V48" s="7">
        <f t="shared" si="49"/>
        <v>0.10809357354127454</v>
      </c>
      <c r="W48" s="7">
        <f t="shared" si="49"/>
        <v>0.10728970526073089</v>
      </c>
      <c r="X48" s="7">
        <f t="shared" si="49"/>
        <v>0.11760430295101032</v>
      </c>
      <c r="Y48" s="7">
        <f t="shared" si="50"/>
        <v>0.12152182258081556</v>
      </c>
      <c r="Z48" s="189"/>
    </row>
    <row r="49" spans="1:26">
      <c r="A49" s="1"/>
      <c r="B49" s="1"/>
      <c r="C49" s="22"/>
      <c r="D49" s="137"/>
      <c r="E49" s="137"/>
      <c r="F49" s="137"/>
      <c r="G49" s="137"/>
      <c r="H49" s="137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"/>
      <c r="C50" s="22">
        <f>8658+2420</f>
        <v>11078</v>
      </c>
      <c r="D50" s="137">
        <f>10164+1900</f>
        <v>12064</v>
      </c>
      <c r="E50" s="137">
        <f>10488+1961</f>
        <v>12449</v>
      </c>
      <c r="F50" s="137">
        <f>10958+1888</f>
        <v>12846</v>
      </c>
      <c r="G50" s="137">
        <v>12503</v>
      </c>
      <c r="H50" s="137">
        <v>14143</v>
      </c>
      <c r="I50" s="11">
        <v>16816</v>
      </c>
      <c r="J50" s="11">
        <v>18131</v>
      </c>
      <c r="K50" s="11">
        <v>18154</v>
      </c>
      <c r="L50" s="7">
        <f t="shared" ref="L50:L53" si="54">RATE(5,,-F50,K50)</f>
        <v>7.1620178380955163E-2</v>
      </c>
      <c r="M50" s="1"/>
      <c r="N50" s="1" t="str">
        <f>A50</f>
        <v>Long-Term Debt</v>
      </c>
      <c r="O50" s="7" t="e">
        <f t="shared" ref="O50:P53" si="55">B50/B$38</f>
        <v>#DIV/0!</v>
      </c>
      <c r="P50" s="7">
        <f t="shared" si="55"/>
        <v>0.348375735086009</v>
      </c>
      <c r="Q50" s="7">
        <f t="shared" ref="Q50:X53" si="56">D50/D$38</f>
        <v>0.34294161123429417</v>
      </c>
      <c r="R50" s="7">
        <f t="shared" si="56"/>
        <v>0.33686916520092003</v>
      </c>
      <c r="S50" s="7">
        <f t="shared" si="56"/>
        <v>0.32214058229054343</v>
      </c>
      <c r="T50" s="7">
        <f t="shared" si="56"/>
        <v>0.29173083205002565</v>
      </c>
      <c r="U50" s="7">
        <f t="shared" si="56"/>
        <v>0.30887331018366859</v>
      </c>
      <c r="V50" s="7">
        <f t="shared" si="56"/>
        <v>0.34781889258899207</v>
      </c>
      <c r="W50" s="7">
        <f t="shared" si="56"/>
        <v>0.34836490796603004</v>
      </c>
      <c r="X50" s="7">
        <f t="shared" si="56"/>
        <v>0.32988079662741676</v>
      </c>
      <c r="Y50" s="7">
        <f t="shared" ref="Y50:Y53" si="57">SUM(F50:K50)/SUM(F$38:K$38)</f>
        <v>0.32609024860098118</v>
      </c>
      <c r="Z50" s="189"/>
    </row>
    <row r="51" spans="1:26">
      <c r="A51" s="1" t="s">
        <v>46</v>
      </c>
      <c r="B51" s="1"/>
      <c r="C51" s="22">
        <v>4214</v>
      </c>
      <c r="D51" s="137">
        <v>4837</v>
      </c>
      <c r="E51" s="137">
        <v>5237</v>
      </c>
      <c r="F51" s="137">
        <v>5736</v>
      </c>
      <c r="G51" s="137">
        <v>5989</v>
      </c>
      <c r="H51" s="137">
        <v>5839</v>
      </c>
      <c r="I51" s="11">
        <v>6080</v>
      </c>
      <c r="J51" s="11">
        <v>6455</v>
      </c>
      <c r="K51" s="11">
        <v>7554</v>
      </c>
      <c r="L51" s="7">
        <f t="shared" si="54"/>
        <v>5.6607204399374014E-2</v>
      </c>
      <c r="M51" s="1"/>
      <c r="N51" s="1" t="str">
        <f>A51</f>
        <v>Deferred Income Taxes</v>
      </c>
      <c r="O51" s="7" t="e">
        <f t="shared" si="55"/>
        <v>#DIV/0!</v>
      </c>
      <c r="P51" s="7">
        <f t="shared" si="55"/>
        <v>0.1325198905625963</v>
      </c>
      <c r="Q51" s="7">
        <f t="shared" si="56"/>
        <v>0.13750071067144237</v>
      </c>
      <c r="R51" s="7">
        <f t="shared" si="56"/>
        <v>0.14171289406034365</v>
      </c>
      <c r="S51" s="7">
        <f t="shared" si="56"/>
        <v>0.1438423151189909</v>
      </c>
      <c r="T51" s="7">
        <f t="shared" si="56"/>
        <v>0.13974053852256288</v>
      </c>
      <c r="U51" s="7">
        <f t="shared" si="56"/>
        <v>0.12751970997401121</v>
      </c>
      <c r="V51" s="7">
        <f t="shared" si="56"/>
        <v>0.12575754441847478</v>
      </c>
      <c r="W51" s="7">
        <f t="shared" si="56"/>
        <v>0.12402490104907198</v>
      </c>
      <c r="X51" s="7">
        <f t="shared" si="56"/>
        <v>0.13726559092891408</v>
      </c>
      <c r="Y51" s="7">
        <f t="shared" si="57"/>
        <v>0.13260479874907113</v>
      </c>
      <c r="Z51" s="189"/>
    </row>
    <row r="52" spans="1:26">
      <c r="A52" s="1" t="s">
        <v>47</v>
      </c>
      <c r="B52" s="1"/>
      <c r="C52" s="22">
        <v>2485</v>
      </c>
      <c r="D52" s="137">
        <f>9538-D51</f>
        <v>4701</v>
      </c>
      <c r="E52" s="137">
        <f>9869-E51</f>
        <v>4632</v>
      </c>
      <c r="F52" s="137">
        <f>311+527+930+1117+1295+323+267</f>
        <v>4770</v>
      </c>
      <c r="G52" s="137">
        <f>11887-G51</f>
        <v>5898</v>
      </c>
      <c r="H52" s="137">
        <f>12550-H51</f>
        <v>6711</v>
      </c>
      <c r="I52" s="11">
        <f>11947-I51</f>
        <v>5867</v>
      </c>
      <c r="J52" s="11">
        <f>36086-30170</f>
        <v>5916</v>
      </c>
      <c r="K52" s="11">
        <f>37748-32180</f>
        <v>5568</v>
      </c>
      <c r="L52" s="7">
        <f t="shared" si="54"/>
        <v>3.1421474995331024E-2</v>
      </c>
      <c r="M52" s="1"/>
      <c r="N52" s="1" t="str">
        <f>A52</f>
        <v>Other Deferred Credits</v>
      </c>
      <c r="O52" s="7" t="e">
        <f t="shared" si="55"/>
        <v>#DIV/0!</v>
      </c>
      <c r="P52" s="7">
        <f t="shared" si="55"/>
        <v>7.8147111544388193E-2</v>
      </c>
      <c r="Q52" s="7">
        <f t="shared" si="56"/>
        <v>0.13363465802490193</v>
      </c>
      <c r="R52" s="7">
        <f t="shared" si="56"/>
        <v>0.12534163171424706</v>
      </c>
      <c r="S52" s="7">
        <f t="shared" si="56"/>
        <v>0.11961782481129474</v>
      </c>
      <c r="T52" s="7">
        <f t="shared" si="56"/>
        <v>0.1376172476550469</v>
      </c>
      <c r="U52" s="7">
        <f t="shared" si="56"/>
        <v>0.14656358514053594</v>
      </c>
      <c r="V52" s="7">
        <f t="shared" si="56"/>
        <v>0.12135189360249861</v>
      </c>
      <c r="W52" s="7">
        <f t="shared" si="56"/>
        <v>0.11366867770818122</v>
      </c>
      <c r="X52" s="7">
        <f t="shared" si="56"/>
        <v>0.10117749672917575</v>
      </c>
      <c r="Y52" s="7">
        <f t="shared" si="57"/>
        <v>0.1223106966391852</v>
      </c>
      <c r="Z52" s="189"/>
    </row>
    <row r="53" spans="1:26">
      <c r="A53" s="1" t="s">
        <v>48</v>
      </c>
      <c r="B53" s="1">
        <f t="shared" ref="B53:J53" si="58">SUM(B50:B52)</f>
        <v>0</v>
      </c>
      <c r="C53" s="22">
        <f t="shared" ref="C53:H53" si="59">SUM(C50:C52)</f>
        <v>17777</v>
      </c>
      <c r="D53" s="137">
        <f t="shared" si="59"/>
        <v>21602</v>
      </c>
      <c r="E53" s="137">
        <f t="shared" si="59"/>
        <v>22318</v>
      </c>
      <c r="F53" s="137">
        <f t="shared" si="59"/>
        <v>23352</v>
      </c>
      <c r="G53" s="137">
        <f t="shared" si="59"/>
        <v>24390</v>
      </c>
      <c r="H53" s="137">
        <f t="shared" si="59"/>
        <v>26693</v>
      </c>
      <c r="I53" s="11">
        <f t="shared" si="58"/>
        <v>28763</v>
      </c>
      <c r="J53" s="11">
        <f t="shared" si="58"/>
        <v>30502</v>
      </c>
      <c r="K53" s="11">
        <f t="shared" ref="K53" si="60">SUM(K50:K52)</f>
        <v>31276</v>
      </c>
      <c r="L53" s="7">
        <f t="shared" si="54"/>
        <v>6.0174671881257004E-2</v>
      </c>
      <c r="M53" s="1"/>
      <c r="N53" s="1" t="str">
        <f>A53</f>
        <v>Total LTD &amp; Deferrals</v>
      </c>
      <c r="O53" s="7" t="e">
        <f t="shared" si="55"/>
        <v>#DIV/0!</v>
      </c>
      <c r="P53" s="7">
        <f t="shared" si="55"/>
        <v>0.55904273719299347</v>
      </c>
      <c r="Q53" s="7">
        <f t="shared" si="56"/>
        <v>0.61407697993063848</v>
      </c>
      <c r="R53" s="7">
        <f t="shared" si="56"/>
        <v>0.6039236909755108</v>
      </c>
      <c r="S53" s="7">
        <f t="shared" si="56"/>
        <v>0.58560072222082904</v>
      </c>
      <c r="T53" s="7">
        <f t="shared" si="56"/>
        <v>0.56908861822763546</v>
      </c>
      <c r="U53" s="7">
        <f t="shared" si="56"/>
        <v>0.58295660529821569</v>
      </c>
      <c r="V53" s="7">
        <f t="shared" si="56"/>
        <v>0.59492833060996542</v>
      </c>
      <c r="W53" s="7">
        <f t="shared" si="56"/>
        <v>0.5860584867232832</v>
      </c>
      <c r="X53" s="7">
        <f t="shared" si="56"/>
        <v>0.56832388428550662</v>
      </c>
      <c r="Y53" s="7">
        <f t="shared" si="57"/>
        <v>0.58100574398923754</v>
      </c>
      <c r="Z53" s="189"/>
    </row>
    <row r="54" spans="1:26">
      <c r="A54" s="1"/>
      <c r="B54" s="1"/>
      <c r="C54" s="22"/>
      <c r="D54" s="137"/>
      <c r="E54" s="137"/>
      <c r="F54" s="137"/>
      <c r="G54" s="137"/>
      <c r="H54" s="137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">
        <f t="shared" ref="B55:J55" si="61">B53+B48</f>
        <v>0</v>
      </c>
      <c r="C55" s="22">
        <f t="shared" si="61"/>
        <v>22791</v>
      </c>
      <c r="D55" s="137">
        <f t="shared" si="61"/>
        <v>25107</v>
      </c>
      <c r="E55" s="137">
        <f t="shared" si="61"/>
        <v>26116</v>
      </c>
      <c r="F55" s="137">
        <f t="shared" si="61"/>
        <v>28592</v>
      </c>
      <c r="G55" s="137">
        <f t="shared" si="61"/>
        <v>30743</v>
      </c>
      <c r="H55" s="137">
        <f t="shared" si="61"/>
        <v>32324</v>
      </c>
      <c r="I55" s="11">
        <f t="shared" si="61"/>
        <v>33989</v>
      </c>
      <c r="J55" s="11">
        <f t="shared" si="61"/>
        <v>36086</v>
      </c>
      <c r="K55" s="11">
        <f t="shared" ref="K55" si="62">K53+K48</f>
        <v>37748</v>
      </c>
      <c r="L55" s="7">
        <f>RATE(5,,-F55,K55)</f>
        <v>5.7133613519355982E-2</v>
      </c>
      <c r="M55" s="1"/>
      <c r="N55" s="1" t="s">
        <v>49</v>
      </c>
      <c r="O55" s="7" t="e">
        <f t="shared" ref="O55:P55" si="63">B55/B$38</f>
        <v>#DIV/0!</v>
      </c>
      <c r="P55" s="7">
        <f t="shared" si="63"/>
        <v>0.71672065159281739</v>
      </c>
      <c r="Q55" s="7">
        <f t="shared" ref="Q55:X55" si="64">D55/D$38</f>
        <v>0.7137131161521405</v>
      </c>
      <c r="R55" s="7">
        <f t="shared" si="64"/>
        <v>0.70669733459613038</v>
      </c>
      <c r="S55" s="7">
        <f t="shared" si="64"/>
        <v>0.71700478972841486</v>
      </c>
      <c r="T55" s="7">
        <f t="shared" si="64"/>
        <v>0.71732232022026221</v>
      </c>
      <c r="U55" s="7">
        <f t="shared" si="64"/>
        <v>0.70593373954443206</v>
      </c>
      <c r="V55" s="7">
        <f t="shared" si="64"/>
        <v>0.70302190415124</v>
      </c>
      <c r="W55" s="7">
        <f t="shared" si="64"/>
        <v>0.6933481919840141</v>
      </c>
      <c r="X55" s="7">
        <f t="shared" si="64"/>
        <v>0.68592818723651694</v>
      </c>
      <c r="Y55" s="7">
        <f>SUM(F55:K55)/SUM(F$38:K$38)</f>
        <v>0.70252756657005311</v>
      </c>
      <c r="Z55" s="189"/>
    </row>
    <row r="56" spans="1:26">
      <c r="A56" s="1"/>
      <c r="B56" s="1"/>
      <c r="C56" s="22"/>
      <c r="D56" s="142"/>
      <c r="E56" s="142"/>
      <c r="F56" s="142"/>
      <c r="G56" s="142"/>
      <c r="H56" s="142"/>
      <c r="I56" s="11"/>
      <c r="J56" s="11"/>
      <c r="K56" s="1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"/>
      <c r="C57" s="22">
        <v>298</v>
      </c>
      <c r="D57" s="137">
        <v>423</v>
      </c>
      <c r="E57" s="137">
        <v>561</v>
      </c>
      <c r="F57" s="137">
        <v>596</v>
      </c>
      <c r="G57" s="137">
        <v>744</v>
      </c>
      <c r="H57" s="137">
        <v>1080</v>
      </c>
      <c r="I57" s="11">
        <v>1082</v>
      </c>
      <c r="J57" s="11">
        <v>375</v>
      </c>
      <c r="K57" s="11">
        <v>375</v>
      </c>
      <c r="L57" s="7">
        <f>RATE(5,,-F57,K57)</f>
        <v>-8.8499310318339658E-2</v>
      </c>
      <c r="M57" s="1"/>
      <c r="N57" s="1" t="s">
        <v>50</v>
      </c>
      <c r="O57" s="7" t="e">
        <f t="shared" ref="O57:P57" si="65">B57/B$38</f>
        <v>#DIV/0!</v>
      </c>
      <c r="P57" s="7">
        <f t="shared" si="65"/>
        <v>9.3713638793672758E-3</v>
      </c>
      <c r="Q57" s="7">
        <f t="shared" ref="Q57:X57" si="66">D57/D$38</f>
        <v>1.2024560805048609E-2</v>
      </c>
      <c r="R57" s="7">
        <f t="shared" si="66"/>
        <v>1.5180625084562305E-2</v>
      </c>
      <c r="S57" s="7">
        <f t="shared" si="66"/>
        <v>1.49459588233819E-2</v>
      </c>
      <c r="T57" s="7">
        <f t="shared" si="66"/>
        <v>1.7359652806943862E-2</v>
      </c>
      <c r="U57" s="7">
        <f t="shared" si="66"/>
        <v>2.3586450894319596E-2</v>
      </c>
      <c r="V57" s="7">
        <f t="shared" si="66"/>
        <v>2.2379878792893045E-2</v>
      </c>
      <c r="W57" s="7">
        <f t="shared" si="66"/>
        <v>7.2051646620297427E-3</v>
      </c>
      <c r="X57" s="7">
        <f t="shared" si="66"/>
        <v>6.8142171827300481E-3</v>
      </c>
      <c r="Y57" s="7">
        <f>SUM(F57:K57)/SUM(F$38:K$38)</f>
        <v>1.4974520072266498E-2</v>
      </c>
      <c r="Z57" s="189"/>
    </row>
    <row r="58" spans="1:26">
      <c r="A58" s="1"/>
      <c r="B58" s="1"/>
      <c r="C58" s="22"/>
      <c r="D58" s="137"/>
      <c r="E58" s="137"/>
      <c r="F58" s="137"/>
      <c r="G58" s="137"/>
      <c r="H58" s="137"/>
      <c r="I58" s="11"/>
      <c r="J58" s="11"/>
      <c r="K58" s="1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"/>
      <c r="C59" s="22"/>
      <c r="D59" s="137"/>
      <c r="E59" s="137"/>
      <c r="F59" s="137"/>
      <c r="G59" s="137"/>
      <c r="H59" s="137"/>
      <c r="I59" s="11"/>
      <c r="J59" s="11"/>
      <c r="K59" s="1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"/>
      <c r="C60" s="22">
        <f>8710-C61</f>
        <v>3878</v>
      </c>
      <c r="D60" s="137">
        <f>9648-D61</f>
        <v>4418</v>
      </c>
      <c r="E60" s="137">
        <f>10278-E61</f>
        <v>4572</v>
      </c>
      <c r="F60" s="137">
        <f>10689-F61</f>
        <v>4485</v>
      </c>
      <c r="G60" s="137">
        <f>11371-G61</f>
        <v>4663</v>
      </c>
      <c r="H60" s="137">
        <f>12385-H61</f>
        <v>5260</v>
      </c>
      <c r="I60" s="11">
        <f>13276-I61</f>
        <v>5769</v>
      </c>
      <c r="J60" s="11">
        <v>7700</v>
      </c>
      <c r="K60" s="11">
        <v>8543</v>
      </c>
      <c r="L60" s="7">
        <f t="shared" ref="L60:L63" si="67">RATE(5,,-F60,K60)</f>
        <v>0.13754763482085039</v>
      </c>
      <c r="M60" s="1"/>
      <c r="N60" s="1" t="str">
        <f>A60</f>
        <v>Common Stock</v>
      </c>
      <c r="O60" s="7" t="e">
        <f t="shared" ref="O60:P63" si="68">B60/B$38</f>
        <v>#DIV/0!</v>
      </c>
      <c r="P60" s="7">
        <f t="shared" si="68"/>
        <v>0.12195352055096072</v>
      </c>
      <c r="Q60" s="7">
        <f t="shared" ref="Q60:X63" si="69">D60/D$38</f>
        <v>0.12558985729717437</v>
      </c>
      <c r="R60" s="7">
        <f t="shared" si="69"/>
        <v>0.12371803544851846</v>
      </c>
      <c r="S60" s="7">
        <f t="shared" si="69"/>
        <v>0.11247084785716077</v>
      </c>
      <c r="T60" s="7">
        <f t="shared" si="69"/>
        <v>0.10880115731018714</v>
      </c>
      <c r="U60" s="7">
        <f t="shared" si="69"/>
        <v>0.11487475157788989</v>
      </c>
      <c r="V60" s="7">
        <f t="shared" si="69"/>
        <v>0.11932488055101662</v>
      </c>
      <c r="W60" s="7">
        <f t="shared" si="69"/>
        <v>0.14794604772701073</v>
      </c>
      <c r="X60" s="7">
        <f t="shared" si="69"/>
        <v>0.15523695304550081</v>
      </c>
      <c r="Y60" s="7">
        <f t="shared" ref="Y60:Y63" si="70">SUM(F60:K60)/SUM(F$38:K$38)</f>
        <v>0.12826246966884899</v>
      </c>
      <c r="Z60" s="189"/>
    </row>
    <row r="61" spans="1:26">
      <c r="A61" s="1" t="s">
        <v>53</v>
      </c>
      <c r="B61" s="1"/>
      <c r="C61" s="22">
        <f>4922-90</f>
        <v>4832</v>
      </c>
      <c r="D61" s="137">
        <f>5343-113</f>
        <v>5230</v>
      </c>
      <c r="E61" s="137">
        <f>5839-133</f>
        <v>5706</v>
      </c>
      <c r="F61" s="137">
        <f>6332-128</f>
        <v>6204</v>
      </c>
      <c r="G61" s="137">
        <f>6765-57</f>
        <v>6708</v>
      </c>
      <c r="H61" s="137">
        <f>7155-30</f>
        <v>7125</v>
      </c>
      <c r="I61" s="11">
        <v>7507</v>
      </c>
      <c r="J61" s="11">
        <v>7885</v>
      </c>
      <c r="K61" s="11">
        <v>8366</v>
      </c>
      <c r="L61" s="7">
        <f t="shared" si="67"/>
        <v>6.1620299584086817E-2</v>
      </c>
      <c r="M61" s="1"/>
      <c r="N61" s="1" t="str">
        <f>A61</f>
        <v>Retained Earnings</v>
      </c>
      <c r="O61" s="7" t="e">
        <f t="shared" si="68"/>
        <v>#DIV/0!</v>
      </c>
      <c r="P61" s="7">
        <f t="shared" si="68"/>
        <v>0.15195446397685461</v>
      </c>
      <c r="Q61" s="7">
        <f t="shared" si="69"/>
        <v>0.14867246574563647</v>
      </c>
      <c r="R61" s="7">
        <f t="shared" si="69"/>
        <v>0.15440400487078879</v>
      </c>
      <c r="S61" s="7">
        <f t="shared" si="69"/>
        <v>0.15557840359104247</v>
      </c>
      <c r="T61" s="7">
        <f t="shared" si="69"/>
        <v>0.15651686966260675</v>
      </c>
      <c r="U61" s="7">
        <f t="shared" si="69"/>
        <v>0.15560505798335844</v>
      </c>
      <c r="V61" s="7">
        <f t="shared" si="69"/>
        <v>0.15527333650485034</v>
      </c>
      <c r="W61" s="7">
        <f t="shared" si="69"/>
        <v>0.1515005956269454</v>
      </c>
      <c r="X61" s="7">
        <f t="shared" si="69"/>
        <v>0.15202064253525222</v>
      </c>
      <c r="Y61" s="7">
        <f t="shared" si="70"/>
        <v>0.15423544368883144</v>
      </c>
      <c r="Z61" s="189"/>
    </row>
    <row r="62" spans="1:26">
      <c r="A62" s="1" t="s">
        <v>54</v>
      </c>
      <c r="B62" s="1">
        <f t="shared" ref="B62:J62" si="71">SUM(B59:B61)</f>
        <v>0</v>
      </c>
      <c r="C62" s="22">
        <f t="shared" ref="C62:H62" si="72">SUM(C59:C61)</f>
        <v>8710</v>
      </c>
      <c r="D62" s="137">
        <f t="shared" si="72"/>
        <v>9648</v>
      </c>
      <c r="E62" s="137">
        <f t="shared" si="72"/>
        <v>10278</v>
      </c>
      <c r="F62" s="137">
        <f t="shared" si="72"/>
        <v>10689</v>
      </c>
      <c r="G62" s="137">
        <f t="shared" si="72"/>
        <v>11371</v>
      </c>
      <c r="H62" s="137">
        <f t="shared" si="72"/>
        <v>12385</v>
      </c>
      <c r="I62" s="11">
        <f t="shared" si="71"/>
        <v>13276</v>
      </c>
      <c r="J62" s="11">
        <f t="shared" si="71"/>
        <v>15585</v>
      </c>
      <c r="K62" s="11">
        <f t="shared" ref="K62" si="73">SUM(K59:K61)</f>
        <v>16909</v>
      </c>
      <c r="L62" s="7">
        <f t="shared" si="67"/>
        <v>9.6064645440890079E-2</v>
      </c>
      <c r="M62" s="1"/>
      <c r="N62" s="1" t="str">
        <f>A62</f>
        <v>Total Common Equity</v>
      </c>
      <c r="O62" s="7" t="e">
        <f t="shared" si="68"/>
        <v>#DIV/0!</v>
      </c>
      <c r="P62" s="7">
        <f t="shared" si="68"/>
        <v>0.27390798452781534</v>
      </c>
      <c r="Q62" s="7">
        <f t="shared" si="69"/>
        <v>0.27426232304281084</v>
      </c>
      <c r="R62" s="7">
        <f t="shared" si="69"/>
        <v>0.27812204031930726</v>
      </c>
      <c r="S62" s="7">
        <f t="shared" si="69"/>
        <v>0.26804925144820324</v>
      </c>
      <c r="T62" s="7">
        <f t="shared" si="69"/>
        <v>0.26531802697279389</v>
      </c>
      <c r="U62" s="7">
        <f t="shared" si="69"/>
        <v>0.27047980956124834</v>
      </c>
      <c r="V62" s="7">
        <f t="shared" si="69"/>
        <v>0.27459821705586696</v>
      </c>
      <c r="W62" s="7">
        <f t="shared" si="69"/>
        <v>0.2994466433539561</v>
      </c>
      <c r="X62" s="7">
        <f t="shared" si="69"/>
        <v>0.307257595580753</v>
      </c>
      <c r="Y62" s="7">
        <f t="shared" si="70"/>
        <v>0.28249791335768043</v>
      </c>
      <c r="Z62" s="189"/>
    </row>
    <row r="63" spans="1:26">
      <c r="A63" s="1" t="s">
        <v>55</v>
      </c>
      <c r="B63" s="1">
        <f t="shared" ref="B63:J63" si="74">B62+B55+B57</f>
        <v>0</v>
      </c>
      <c r="C63" s="22">
        <f t="shared" si="74"/>
        <v>31799</v>
      </c>
      <c r="D63" s="137">
        <f t="shared" si="74"/>
        <v>35178</v>
      </c>
      <c r="E63" s="137">
        <f t="shared" si="74"/>
        <v>36955</v>
      </c>
      <c r="F63" s="137">
        <f t="shared" si="74"/>
        <v>39877</v>
      </c>
      <c r="G63" s="137">
        <f t="shared" si="74"/>
        <v>42858</v>
      </c>
      <c r="H63" s="137">
        <f t="shared" si="74"/>
        <v>45789</v>
      </c>
      <c r="I63" s="11">
        <f t="shared" si="74"/>
        <v>48347</v>
      </c>
      <c r="J63" s="11">
        <f t="shared" si="74"/>
        <v>52046</v>
      </c>
      <c r="K63" s="11">
        <f t="shared" ref="K63" si="75">K62+K55+K57</f>
        <v>55032</v>
      </c>
      <c r="L63" s="7">
        <f t="shared" si="67"/>
        <v>6.6543476329985113E-2</v>
      </c>
      <c r="M63" s="1"/>
      <c r="N63" s="1" t="s">
        <v>55</v>
      </c>
      <c r="O63" s="7" t="e">
        <f t="shared" si="68"/>
        <v>#DIV/0!</v>
      </c>
      <c r="P63" s="7">
        <f t="shared" si="68"/>
        <v>1</v>
      </c>
      <c r="Q63" s="7">
        <f t="shared" si="69"/>
        <v>1</v>
      </c>
      <c r="R63" s="7">
        <f t="shared" si="69"/>
        <v>1</v>
      </c>
      <c r="S63" s="7">
        <f t="shared" si="69"/>
        <v>1</v>
      </c>
      <c r="T63" s="7">
        <f t="shared" si="69"/>
        <v>1</v>
      </c>
      <c r="U63" s="7">
        <f t="shared" si="69"/>
        <v>1</v>
      </c>
      <c r="V63" s="7">
        <f t="shared" si="69"/>
        <v>1</v>
      </c>
      <c r="W63" s="7">
        <f t="shared" si="69"/>
        <v>1</v>
      </c>
      <c r="X63" s="7">
        <f t="shared" si="69"/>
        <v>1</v>
      </c>
      <c r="Y63" s="7">
        <f t="shared" si="70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SOUTHERN COMPANY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SOUTHERN COMPANY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10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10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10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10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76">B73+1</f>
        <v>2002</v>
      </c>
      <c r="D73" s="5">
        <f t="shared" si="76"/>
        <v>2003</v>
      </c>
      <c r="E73" s="5">
        <f t="shared" si="76"/>
        <v>2004</v>
      </c>
      <c r="F73" s="5">
        <f t="shared" si="76"/>
        <v>2005</v>
      </c>
      <c r="G73" s="5">
        <f t="shared" si="76"/>
        <v>2006</v>
      </c>
      <c r="H73" s="5">
        <f t="shared" si="76"/>
        <v>2007</v>
      </c>
      <c r="I73" s="5">
        <f>H73+1</f>
        <v>2008</v>
      </c>
      <c r="J73" s="162">
        <f>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P73" si="77">B73</f>
        <v>2001</v>
      </c>
      <c r="P73" s="5">
        <f t="shared" si="77"/>
        <v>2002</v>
      </c>
      <c r="Q73" s="5">
        <f t="shared" ref="Q73:V73" si="78">D73</f>
        <v>2003</v>
      </c>
      <c r="R73" s="5">
        <f t="shared" si="78"/>
        <v>2004</v>
      </c>
      <c r="S73" s="5">
        <f t="shared" si="78"/>
        <v>2005</v>
      </c>
      <c r="T73" s="5">
        <f t="shared" si="78"/>
        <v>2006</v>
      </c>
      <c r="U73" s="5">
        <f t="shared" si="78"/>
        <v>2007</v>
      </c>
      <c r="V73" s="5">
        <f t="shared" si="78"/>
        <v>2008</v>
      </c>
      <c r="W73" s="162">
        <f>J8</f>
        <v>2009</v>
      </c>
      <c r="X73" s="162">
        <f>K8</f>
        <v>2010</v>
      </c>
      <c r="Y73" s="10" t="s">
        <v>10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tr">
        <f t="shared" ref="N74:N75" si="79">A74</f>
        <v>Operating Sales and Revenues: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/>
      <c r="C75" s="22">
        <f>9.896*$A$72</f>
        <v>0</v>
      </c>
      <c r="D75" s="137">
        <f>8875+1358</f>
        <v>10233</v>
      </c>
      <c r="E75" s="137">
        <f>9732+1341</f>
        <v>11073</v>
      </c>
      <c r="F75" s="137">
        <f>11165+1667</f>
        <v>12832</v>
      </c>
      <c r="G75" s="137">
        <f>11801+1822</f>
        <v>13623</v>
      </c>
      <c r="H75" s="137">
        <f>12639+1988</f>
        <v>14627</v>
      </c>
      <c r="I75" s="136">
        <f>14055+2400</f>
        <v>16455</v>
      </c>
      <c r="J75" s="136">
        <f>13307+1802</f>
        <v>15109</v>
      </c>
      <c r="K75" s="136">
        <f>14791+1994</f>
        <v>16785</v>
      </c>
      <c r="L75" s="7">
        <f t="shared" ref="L75:L78" si="80">RATE(5,,-F75,K75)</f>
        <v>5.5177201004830451E-2</v>
      </c>
      <c r="M75" s="1"/>
      <c r="N75" s="1" t="str">
        <f t="shared" si="79"/>
        <v>Electric</v>
      </c>
      <c r="O75" s="1"/>
      <c r="P75" s="1"/>
      <c r="Q75" s="1"/>
      <c r="R75" s="1"/>
      <c r="S75" s="7">
        <f t="shared" ref="S75" si="81">F75/F$78</f>
        <v>0.94673159214991887</v>
      </c>
      <c r="T75" s="7">
        <f t="shared" ref="T75" si="82">G75/G$78</f>
        <v>0.94894120925048764</v>
      </c>
      <c r="U75" s="7">
        <f t="shared" ref="U75" si="83">H75/H$78</f>
        <v>0.95271282485507713</v>
      </c>
      <c r="V75" s="7">
        <f t="shared" ref="V75" si="84">I75/I$78</f>
        <v>0.96076370642844633</v>
      </c>
      <c r="W75" s="7">
        <f t="shared" ref="W75" si="85">J75/J$78</f>
        <v>0.95972813313853778</v>
      </c>
      <c r="X75" s="7">
        <f t="shared" ref="X75" si="86">K75/K$78</f>
        <v>0.9615604949587534</v>
      </c>
      <c r="Y75" s="7">
        <f>SUM(F75:K75)/SUM(F$78:K$78)</f>
        <v>0.95557170180256223</v>
      </c>
    </row>
    <row r="76" spans="1:25">
      <c r="A76" s="1" t="s">
        <v>64</v>
      </c>
      <c r="B76" s="1"/>
      <c r="C76" s="22">
        <f>0.31*B72</f>
        <v>0</v>
      </c>
      <c r="D76" s="137">
        <f>0.514*1000</f>
        <v>514</v>
      </c>
      <c r="E76" s="137">
        <f>0.392*1000</f>
        <v>392</v>
      </c>
      <c r="F76" s="137">
        <v>446</v>
      </c>
      <c r="G76" s="137">
        <v>465</v>
      </c>
      <c r="H76" s="137">
        <v>513</v>
      </c>
      <c r="I76" s="136">
        <v>545</v>
      </c>
      <c r="J76" s="136">
        <v>533</v>
      </c>
      <c r="K76" s="136">
        <v>589</v>
      </c>
      <c r="L76" s="7">
        <f t="shared" si="80"/>
        <v>5.7197402016981209E-2</v>
      </c>
      <c r="M76" s="1"/>
      <c r="N76" s="1" t="str">
        <f>A76</f>
        <v>Other Regulated Operations</v>
      </c>
      <c r="O76" s="7" t="e">
        <f t="shared" ref="O76:P76" si="87">B77/B$78</f>
        <v>#DIV/0!</v>
      </c>
      <c r="P76" s="7" t="e">
        <f t="shared" si="87"/>
        <v>#DIV/0!</v>
      </c>
      <c r="Q76" s="7">
        <f t="shared" ref="Q76:R76" si="88">D77/D$78</f>
        <v>2.4596115447449628E-2</v>
      </c>
      <c r="R76" s="7">
        <f t="shared" si="88"/>
        <v>2.250831272913292E-2</v>
      </c>
      <c r="S76" s="7">
        <f t="shared" ref="S76:S78" si="89">F76/F$78</f>
        <v>3.2905415375534895E-2</v>
      </c>
      <c r="T76" s="7">
        <f t="shared" ref="T76:T78" si="90">G76/G$78</f>
        <v>3.2390638060741155E-2</v>
      </c>
      <c r="U76" s="7">
        <f t="shared" ref="U76:U78" si="91">H76/H$78</f>
        <v>3.3413665081742983E-2</v>
      </c>
      <c r="V76" s="7">
        <f t="shared" ref="V76:V78" si="92">I76/I$78</f>
        <v>3.1821101185263032E-2</v>
      </c>
      <c r="W76" s="7">
        <f t="shared" ref="W76:W78" si="93">J76/J$78</f>
        <v>3.3856317093311314E-2</v>
      </c>
      <c r="X76" s="7">
        <f t="shared" ref="X76:X78" si="94">K76/K$78</f>
        <v>3.3741979835013751E-2</v>
      </c>
      <c r="Y76" s="7">
        <f t="shared" ref="Y76:Y78" si="95">SUM(F76:K76)/SUM(F$78:K$78)</f>
        <v>3.3027385697037046E-2</v>
      </c>
    </row>
    <row r="77" spans="1:25">
      <c r="A77" s="1" t="s">
        <v>65</v>
      </c>
      <c r="B77" s="1"/>
      <c r="C77" s="22">
        <f>0.308*B72</f>
        <v>0</v>
      </c>
      <c r="D77" s="137">
        <v>271</v>
      </c>
      <c r="E77" s="137">
        <v>264</v>
      </c>
      <c r="F77" s="137">
        <v>276</v>
      </c>
      <c r="G77" s="137">
        <v>268</v>
      </c>
      <c r="H77" s="137">
        <v>213</v>
      </c>
      <c r="I77" s="136">
        <v>127</v>
      </c>
      <c r="J77" s="136">
        <v>101</v>
      </c>
      <c r="K77" s="136">
        <v>82</v>
      </c>
      <c r="L77" s="7">
        <f t="shared" si="80"/>
        <v>-0.21552166514439605</v>
      </c>
      <c r="M77" s="1"/>
      <c r="N77" s="1" t="str">
        <f t="shared" ref="N77:N78" si="96">A77</f>
        <v>Non-Regulated Operations</v>
      </c>
      <c r="S77" s="7">
        <f t="shared" si="89"/>
        <v>2.036299247454626E-2</v>
      </c>
      <c r="T77" s="7">
        <f t="shared" si="90"/>
        <v>1.8668152688771245E-2</v>
      </c>
      <c r="U77" s="7">
        <f t="shared" si="91"/>
        <v>1.3873510063179835E-2</v>
      </c>
      <c r="V77" s="7">
        <f t="shared" si="92"/>
        <v>7.4151923862906524E-3</v>
      </c>
      <c r="W77" s="7">
        <f t="shared" si="93"/>
        <v>6.4155497681509244E-3</v>
      </c>
      <c r="X77" s="7">
        <f t="shared" si="94"/>
        <v>4.697525206232814E-3</v>
      </c>
      <c r="Y77" s="7">
        <f t="shared" si="95"/>
        <v>1.1400912500400689E-2</v>
      </c>
    </row>
    <row r="78" spans="1:25">
      <c r="A78" s="1" t="s">
        <v>67</v>
      </c>
      <c r="B78" s="1">
        <f t="shared" ref="B78:J78" si="97">SUM(B74:B77)</f>
        <v>0</v>
      </c>
      <c r="C78" s="22">
        <f t="shared" ref="C78:H78" si="98">SUM(C74:C77)</f>
        <v>0</v>
      </c>
      <c r="D78" s="137">
        <f t="shared" si="98"/>
        <v>11018</v>
      </c>
      <c r="E78" s="137">
        <f t="shared" si="98"/>
        <v>11729</v>
      </c>
      <c r="F78" s="137">
        <f t="shared" si="98"/>
        <v>13554</v>
      </c>
      <c r="G78" s="137">
        <f t="shared" si="98"/>
        <v>14356</v>
      </c>
      <c r="H78" s="137">
        <f t="shared" si="98"/>
        <v>15353</v>
      </c>
      <c r="I78" s="11">
        <f t="shared" si="97"/>
        <v>17127</v>
      </c>
      <c r="J78" s="11">
        <f t="shared" si="97"/>
        <v>15743</v>
      </c>
      <c r="K78" s="11">
        <f t="shared" ref="K78" si="99">SUM(K74:K77)</f>
        <v>17456</v>
      </c>
      <c r="L78" s="7">
        <f t="shared" si="80"/>
        <v>5.1902410654906979E-2</v>
      </c>
      <c r="M78" s="1"/>
      <c r="N78" s="1" t="str">
        <f t="shared" si="96"/>
        <v>Total Revenues</v>
      </c>
      <c r="O78" s="7" t="e">
        <f>B78/B$78</f>
        <v>#DIV/0!</v>
      </c>
      <c r="P78" s="7" t="e">
        <f>C78/C$78</f>
        <v>#DIV/0!</v>
      </c>
      <c r="Q78" s="7">
        <f>D78/D$78</f>
        <v>1</v>
      </c>
      <c r="R78" s="7">
        <f>E78/E$78</f>
        <v>1</v>
      </c>
      <c r="S78" s="7">
        <f t="shared" si="89"/>
        <v>1</v>
      </c>
      <c r="T78" s="7">
        <f t="shared" si="90"/>
        <v>1</v>
      </c>
      <c r="U78" s="7">
        <f t="shared" si="91"/>
        <v>1</v>
      </c>
      <c r="V78" s="7">
        <f t="shared" si="92"/>
        <v>1</v>
      </c>
      <c r="W78" s="7">
        <f t="shared" si="93"/>
        <v>1</v>
      </c>
      <c r="X78" s="7">
        <f t="shared" si="94"/>
        <v>1</v>
      </c>
      <c r="Y78" s="7">
        <f t="shared" si="95"/>
        <v>1</v>
      </c>
    </row>
    <row r="79" spans="1:25">
      <c r="A79" s="1"/>
      <c r="B79" s="1"/>
      <c r="C79" s="22"/>
      <c r="D79" s="137"/>
      <c r="E79" s="137"/>
      <c r="F79" s="137"/>
      <c r="G79" s="137"/>
      <c r="H79" s="137"/>
      <c r="I79" s="11"/>
      <c r="J79" s="11"/>
      <c r="K79" s="1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22"/>
      <c r="D80" s="137"/>
      <c r="E80" s="137"/>
      <c r="F80" s="137"/>
      <c r="G80" s="137"/>
      <c r="H80" s="137"/>
      <c r="I80" s="11"/>
      <c r="J80" s="11"/>
      <c r="K80" s="1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"/>
      <c r="C81" s="22">
        <f>0.449*1000</f>
        <v>449</v>
      </c>
      <c r="D81" s="137">
        <v>473</v>
      </c>
      <c r="E81" s="137">
        <f>0.643*1000</f>
        <v>643</v>
      </c>
      <c r="F81" s="137">
        <f>0.731*1000</f>
        <v>731</v>
      </c>
      <c r="G81" s="137">
        <v>543</v>
      </c>
      <c r="H81" s="137">
        <v>515</v>
      </c>
      <c r="I81" s="11">
        <v>815</v>
      </c>
      <c r="J81" s="11">
        <v>474</v>
      </c>
      <c r="K81" s="11">
        <v>563</v>
      </c>
      <c r="L81" s="7">
        <f t="shared" ref="L81:L85" si="100">RATE(5,,-F81,K81)</f>
        <v>-5.0886384565206978E-2</v>
      </c>
      <c r="M81" s="1"/>
      <c r="N81" s="1" t="str">
        <f>A81</f>
        <v xml:space="preserve">   Purchased power</v>
      </c>
      <c r="O81" s="7" t="e">
        <f t="shared" ref="O81:P87" si="101">B81/B$78</f>
        <v>#DIV/0!</v>
      </c>
      <c r="P81" s="7" t="e">
        <f t="shared" si="101"/>
        <v>#DIV/0!</v>
      </c>
      <c r="Q81" s="7">
        <f t="shared" ref="Q81:X87" si="102">D81/D$78</f>
        <v>4.2929751316028317E-2</v>
      </c>
      <c r="R81" s="7">
        <f t="shared" si="102"/>
        <v>5.4821382897092673E-2</v>
      </c>
      <c r="S81" s="7">
        <f t="shared" si="102"/>
        <v>5.3932418474251141E-2</v>
      </c>
      <c r="T81" s="7">
        <f t="shared" si="102"/>
        <v>3.7823906380607411E-2</v>
      </c>
      <c r="U81" s="7">
        <f t="shared" si="102"/>
        <v>3.3543932781866737E-2</v>
      </c>
      <c r="V81" s="7">
        <f t="shared" si="102"/>
        <v>4.7585683423833715E-2</v>
      </c>
      <c r="W81" s="7">
        <f t="shared" si="102"/>
        <v>3.0108619703995428E-2</v>
      </c>
      <c r="X81" s="7">
        <f t="shared" si="102"/>
        <v>3.2252520623281392E-2</v>
      </c>
      <c r="Y81" s="7">
        <f t="shared" ref="Y81:Y101" si="103">SUM(F81:K81)/SUM(F$78:K$78)</f>
        <v>3.8904144717862139E-2</v>
      </c>
    </row>
    <row r="82" spans="1:25">
      <c r="A82" s="1" t="s">
        <v>70</v>
      </c>
      <c r="B82" s="1"/>
      <c r="C82" s="22">
        <f>2.831*1000</f>
        <v>2831</v>
      </c>
      <c r="D82" s="137">
        <v>2999</v>
      </c>
      <c r="E82" s="137">
        <v>3399</v>
      </c>
      <c r="F82" s="137">
        <f>4.495*1000</f>
        <v>4495</v>
      </c>
      <c r="G82" s="137">
        <f>5.152*1000</f>
        <v>5152</v>
      </c>
      <c r="H82" s="137">
        <v>5856</v>
      </c>
      <c r="I82" s="11">
        <v>6818</v>
      </c>
      <c r="J82" s="11">
        <v>5952</v>
      </c>
      <c r="K82" s="11">
        <v>6699</v>
      </c>
      <c r="L82" s="7">
        <f t="shared" si="100"/>
        <v>8.3068827597469502E-2</v>
      </c>
      <c r="M82" s="1"/>
      <c r="N82" s="1" t="str">
        <f t="shared" ref="N82:N87" si="104">A82</f>
        <v xml:space="preserve">   Fuel</v>
      </c>
      <c r="O82" s="7" t="e">
        <f t="shared" si="101"/>
        <v>#DIV/0!</v>
      </c>
      <c r="P82" s="7" t="e">
        <f t="shared" si="101"/>
        <v>#DIV/0!</v>
      </c>
      <c r="Q82" s="7">
        <f t="shared" si="102"/>
        <v>0.27219096024686878</v>
      </c>
      <c r="R82" s="7">
        <f t="shared" si="102"/>
        <v>0.28979452638758635</v>
      </c>
      <c r="S82" s="7">
        <f t="shared" si="102"/>
        <v>0.33163641729378779</v>
      </c>
      <c r="T82" s="7">
        <f t="shared" si="102"/>
        <v>0.35887433825578158</v>
      </c>
      <c r="U82" s="7">
        <f t="shared" si="102"/>
        <v>0.38142382596235264</v>
      </c>
      <c r="V82" s="7">
        <f t="shared" si="102"/>
        <v>0.39808489519472179</v>
      </c>
      <c r="W82" s="7">
        <f t="shared" si="102"/>
        <v>0.37807279425776535</v>
      </c>
      <c r="X82" s="7">
        <f t="shared" si="102"/>
        <v>0.38376489459211732</v>
      </c>
      <c r="Y82" s="7">
        <f t="shared" si="103"/>
        <v>0.37367639359326416</v>
      </c>
    </row>
    <row r="83" spans="1:25">
      <c r="A83" s="1" t="s">
        <v>71</v>
      </c>
      <c r="B83" s="1"/>
      <c r="C83" s="22">
        <f>3.048*1000</f>
        <v>3048</v>
      </c>
      <c r="D83" s="137">
        <f>2177+937</f>
        <v>3114</v>
      </c>
      <c r="E83" s="137">
        <f>2263+1027</f>
        <v>3290</v>
      </c>
      <c r="F83" s="137">
        <f>2394+1116</f>
        <v>3510</v>
      </c>
      <c r="G83" s="137">
        <f>2423+1096</f>
        <v>3519</v>
      </c>
      <c r="H83" s="137">
        <f>2495+1175</f>
        <v>3670</v>
      </c>
      <c r="I83" s="11">
        <v>3748</v>
      </c>
      <c r="J83" s="11">
        <f>3526+202</f>
        <v>3728</v>
      </c>
      <c r="K83" s="11">
        <v>4010</v>
      </c>
      <c r="L83" s="7">
        <f t="shared" si="100"/>
        <v>2.699292381345134E-2</v>
      </c>
      <c r="M83" s="1"/>
      <c r="N83" s="1" t="str">
        <f t="shared" si="104"/>
        <v xml:space="preserve">   Other operations and maintenance</v>
      </c>
      <c r="O83" s="7" t="e">
        <f t="shared" si="101"/>
        <v>#DIV/0!</v>
      </c>
      <c r="P83" s="7" t="e">
        <f t="shared" si="101"/>
        <v>#DIV/0!</v>
      </c>
      <c r="Q83" s="7">
        <f t="shared" si="102"/>
        <v>0.28262842621165368</v>
      </c>
      <c r="R83" s="7">
        <f t="shared" si="102"/>
        <v>0.28050132151078522</v>
      </c>
      <c r="S83" s="7">
        <f t="shared" si="102"/>
        <v>0.25896414342629481</v>
      </c>
      <c r="T83" s="7">
        <f t="shared" si="102"/>
        <v>0.24512398996935078</v>
      </c>
      <c r="U83" s="7">
        <f t="shared" si="102"/>
        <v>0.23904122972708916</v>
      </c>
      <c r="V83" s="7">
        <f t="shared" si="102"/>
        <v>0.21883575640801076</v>
      </c>
      <c r="W83" s="7">
        <f t="shared" si="102"/>
        <v>0.23680365876897669</v>
      </c>
      <c r="X83" s="7">
        <f t="shared" si="102"/>
        <v>0.22972043996333638</v>
      </c>
      <c r="Y83" s="7">
        <f t="shared" si="103"/>
        <v>0.2370470888672814</v>
      </c>
    </row>
    <row r="84" spans="1:25">
      <c r="A84" s="1" t="s">
        <v>72</v>
      </c>
      <c r="B84" s="1"/>
      <c r="C84" s="22">
        <f>1.047*1000</f>
        <v>1047</v>
      </c>
      <c r="D84" s="137">
        <v>1022</v>
      </c>
      <c r="E84" s="137">
        <v>949</v>
      </c>
      <c r="F84" s="137">
        <f>1.176*1000</f>
        <v>1176</v>
      </c>
      <c r="G84" s="137">
        <f>1.2*1000</f>
        <v>1200</v>
      </c>
      <c r="H84" s="137">
        <v>1245</v>
      </c>
      <c r="I84" s="11">
        <v>1443</v>
      </c>
      <c r="J84" s="11">
        <v>1503</v>
      </c>
      <c r="K84" s="11">
        <v>1513</v>
      </c>
      <c r="L84" s="7">
        <f t="shared" si="100"/>
        <v>5.1686553598875001E-2</v>
      </c>
      <c r="M84" s="1"/>
      <c r="N84" s="1" t="str">
        <f t="shared" si="104"/>
        <v xml:space="preserve">   Depreciation and amortization</v>
      </c>
      <c r="O84" s="7" t="e">
        <f t="shared" si="101"/>
        <v>#DIV/0!</v>
      </c>
      <c r="P84" s="7" t="e">
        <f t="shared" si="101"/>
        <v>#DIV/0!</v>
      </c>
      <c r="Q84" s="7">
        <f t="shared" si="102"/>
        <v>9.2757306226175354E-2</v>
      </c>
      <c r="R84" s="7">
        <f t="shared" si="102"/>
        <v>8.0910563560405838E-2</v>
      </c>
      <c r="S84" s="7">
        <f t="shared" si="102"/>
        <v>8.6764054891544928E-2</v>
      </c>
      <c r="T84" s="7">
        <f t="shared" si="102"/>
        <v>8.3588743382557812E-2</v>
      </c>
      <c r="U84" s="7">
        <f t="shared" si="102"/>
        <v>8.1091643327037055E-2</v>
      </c>
      <c r="V84" s="7">
        <f t="shared" si="102"/>
        <v>8.4252933963916629E-2</v>
      </c>
      <c r="W84" s="7">
        <f t="shared" si="102"/>
        <v>9.5471002985453857E-2</v>
      </c>
      <c r="X84" s="7">
        <f t="shared" si="102"/>
        <v>8.6675068744271305E-2</v>
      </c>
      <c r="Y84" s="7">
        <f t="shared" si="103"/>
        <v>8.633493252412143E-2</v>
      </c>
    </row>
    <row r="85" spans="1:25">
      <c r="A85" s="1" t="s">
        <v>73</v>
      </c>
      <c r="B85" s="1"/>
      <c r="C85" s="22">
        <f>0.557*1000</f>
        <v>557</v>
      </c>
      <c r="D85" s="137">
        <v>586</v>
      </c>
      <c r="E85" s="137">
        <v>627</v>
      </c>
      <c r="F85" s="137">
        <f>0.68*1000</f>
        <v>680</v>
      </c>
      <c r="G85" s="137">
        <f>0.718*1000</f>
        <v>718</v>
      </c>
      <c r="H85" s="137">
        <v>741</v>
      </c>
      <c r="I85" s="11">
        <v>797</v>
      </c>
      <c r="J85" s="11">
        <v>818</v>
      </c>
      <c r="K85" s="11">
        <v>869</v>
      </c>
      <c r="L85" s="7">
        <f t="shared" si="100"/>
        <v>5.0272931778231701E-2</v>
      </c>
      <c r="M85" s="1"/>
      <c r="N85" s="1" t="str">
        <f t="shared" si="104"/>
        <v xml:space="preserve">   Taxes, other than income taxes</v>
      </c>
      <c r="O85" s="7" t="e">
        <f t="shared" si="101"/>
        <v>#DIV/0!</v>
      </c>
      <c r="P85" s="7" t="e">
        <f t="shared" si="101"/>
        <v>#DIV/0!</v>
      </c>
      <c r="Q85" s="7">
        <f t="shared" si="102"/>
        <v>5.3185696133599566E-2</v>
      </c>
      <c r="R85" s="7">
        <f t="shared" si="102"/>
        <v>5.3457242731690682E-2</v>
      </c>
      <c r="S85" s="7">
        <f t="shared" si="102"/>
        <v>5.0169691603954555E-2</v>
      </c>
      <c r="T85" s="7">
        <f t="shared" si="102"/>
        <v>5.0013931457230425E-2</v>
      </c>
      <c r="U85" s="7">
        <f t="shared" si="102"/>
        <v>4.8264182895850972E-2</v>
      </c>
      <c r="V85" s="7">
        <f t="shared" si="102"/>
        <v>4.6534711274595665E-2</v>
      </c>
      <c r="W85" s="7">
        <f t="shared" si="102"/>
        <v>5.1959601092549067E-2</v>
      </c>
      <c r="X85" s="7">
        <f t="shared" si="102"/>
        <v>4.9782309807516037E-2</v>
      </c>
      <c r="Y85" s="7">
        <f t="shared" si="103"/>
        <v>4.9396830824135318E-2</v>
      </c>
    </row>
    <row r="86" spans="1:25">
      <c r="A86" s="1" t="s">
        <v>74</v>
      </c>
      <c r="B86" s="1"/>
      <c r="C86" s="22"/>
      <c r="D86" s="137"/>
      <c r="E86" s="137"/>
      <c r="F86" s="137"/>
      <c r="G86" s="137"/>
      <c r="H86" s="137"/>
      <c r="I86" s="11"/>
      <c r="J86" s="11"/>
      <c r="K86" s="11"/>
      <c r="L86" s="7"/>
      <c r="M86" s="1"/>
      <c r="N86" s="1" t="str">
        <f t="shared" si="104"/>
        <v xml:space="preserve">   Other Operating Expenses</v>
      </c>
      <c r="O86" s="7" t="e">
        <f t="shared" si="101"/>
        <v>#DIV/0!</v>
      </c>
      <c r="P86" s="7" t="e">
        <f t="shared" si="101"/>
        <v>#DIV/0!</v>
      </c>
      <c r="Q86" s="7">
        <f t="shared" si="102"/>
        <v>0</v>
      </c>
      <c r="R86" s="7">
        <f t="shared" si="102"/>
        <v>0</v>
      </c>
      <c r="S86" s="7">
        <f t="shared" si="102"/>
        <v>0</v>
      </c>
      <c r="T86" s="7">
        <f t="shared" si="102"/>
        <v>0</v>
      </c>
      <c r="U86" s="7">
        <f t="shared" si="102"/>
        <v>0</v>
      </c>
      <c r="V86" s="7">
        <f t="shared" si="102"/>
        <v>0</v>
      </c>
      <c r="W86" s="7">
        <f t="shared" si="102"/>
        <v>0</v>
      </c>
      <c r="X86" s="7">
        <f t="shared" si="102"/>
        <v>0</v>
      </c>
      <c r="Y86" s="7">
        <f t="shared" si="103"/>
        <v>0</v>
      </c>
    </row>
    <row r="87" spans="1:25">
      <c r="A87" s="1" t="s">
        <v>75</v>
      </c>
      <c r="B87" s="1">
        <f t="shared" ref="B87" si="105">SUM(B80:B86)</f>
        <v>0</v>
      </c>
      <c r="C87" s="22">
        <f t="shared" ref="C87:H87" si="106">SUM(C80:C86)</f>
        <v>7932</v>
      </c>
      <c r="D87" s="137">
        <f t="shared" si="106"/>
        <v>8194</v>
      </c>
      <c r="E87" s="137">
        <f t="shared" si="106"/>
        <v>8908</v>
      </c>
      <c r="F87" s="137">
        <f t="shared" si="106"/>
        <v>10592</v>
      </c>
      <c r="G87" s="137">
        <f t="shared" si="106"/>
        <v>11132</v>
      </c>
      <c r="H87" s="137">
        <f t="shared" si="106"/>
        <v>12027</v>
      </c>
      <c r="I87" s="11">
        <f>SUM(I81:I86)</f>
        <v>13621</v>
      </c>
      <c r="J87" s="11">
        <f>SUM(J81:J86)</f>
        <v>12475</v>
      </c>
      <c r="K87" s="11">
        <f>SUM(K81:K86)</f>
        <v>13654</v>
      </c>
      <c r="L87" s="7">
        <f t="shared" ref="L87" si="107">RATE(5,,-F87,K87)</f>
        <v>5.2098460913696264E-2</v>
      </c>
      <c r="M87" s="1"/>
      <c r="N87" s="1" t="str">
        <f t="shared" si="104"/>
        <v>Total Operating Expenses</v>
      </c>
      <c r="O87" s="7" t="e">
        <f t="shared" si="101"/>
        <v>#DIV/0!</v>
      </c>
      <c r="P87" s="7" t="e">
        <f t="shared" si="101"/>
        <v>#DIV/0!</v>
      </c>
      <c r="Q87" s="7">
        <f t="shared" si="102"/>
        <v>0.74369214013432561</v>
      </c>
      <c r="R87" s="7">
        <f t="shared" si="102"/>
        <v>0.75948503708756077</v>
      </c>
      <c r="S87" s="7">
        <f t="shared" si="102"/>
        <v>0.78146672568983322</v>
      </c>
      <c r="T87" s="7">
        <f t="shared" si="102"/>
        <v>0.775424909445528</v>
      </c>
      <c r="U87" s="7">
        <f t="shared" si="102"/>
        <v>0.78336481469419661</v>
      </c>
      <c r="V87" s="7">
        <f t="shared" si="102"/>
        <v>0.79529398026507858</v>
      </c>
      <c r="W87" s="7">
        <f t="shared" si="102"/>
        <v>0.79241567680874037</v>
      </c>
      <c r="X87" s="7">
        <f t="shared" si="102"/>
        <v>0.78219523373052247</v>
      </c>
      <c r="Y87" s="7">
        <f t="shared" si="103"/>
        <v>0.78535939052666448</v>
      </c>
    </row>
    <row r="88" spans="1:25">
      <c r="A88" s="1" t="s">
        <v>76</v>
      </c>
      <c r="B88" s="1"/>
      <c r="C88" s="22"/>
      <c r="D88" s="137"/>
      <c r="E88" s="137"/>
      <c r="F88" s="137"/>
      <c r="G88" s="137"/>
      <c r="H88" s="137"/>
      <c r="I88" s="11"/>
      <c r="J88" s="11"/>
      <c r="K88" s="11"/>
      <c r="L88" s="7"/>
      <c r="M88" s="1"/>
      <c r="N88" s="1" t="str">
        <f t="shared" ref="N88:N90" si="108">A88</f>
        <v xml:space="preserve">  Electric Earnings from Operations</v>
      </c>
      <c r="O88" s="7" t="e">
        <f t="shared" ref="O88:O90" si="109">B88/B$78</f>
        <v>#DIV/0!</v>
      </c>
      <c r="P88" s="7" t="e">
        <f t="shared" ref="P88:P90" si="110">C88/C$78</f>
        <v>#DIV/0!</v>
      </c>
      <c r="Q88" s="7">
        <f t="shared" ref="Q88:Q90" si="111">D88/D$78</f>
        <v>0</v>
      </c>
      <c r="R88" s="7">
        <f t="shared" ref="R88:R90" si="112">E88/E$78</f>
        <v>0</v>
      </c>
      <c r="S88" s="7">
        <f t="shared" ref="S88:S90" si="113">F88/F$78</f>
        <v>0</v>
      </c>
      <c r="T88" s="7">
        <f t="shared" ref="T88:T90" si="114">G88/G$78</f>
        <v>0</v>
      </c>
      <c r="U88" s="7">
        <f t="shared" ref="U88:U90" si="115">H88/H$78</f>
        <v>0</v>
      </c>
      <c r="V88" s="7">
        <f t="shared" ref="V88:V90" si="116">I88/I$78</f>
        <v>0</v>
      </c>
      <c r="W88" s="7">
        <f t="shared" ref="W88:W90" si="117">J88/J$78</f>
        <v>0</v>
      </c>
      <c r="X88" s="7">
        <f t="shared" ref="X88:X90" si="118">K88/K$78</f>
        <v>0</v>
      </c>
      <c r="Y88" s="7">
        <f t="shared" si="103"/>
        <v>0</v>
      </c>
    </row>
    <row r="89" spans="1:25">
      <c r="A89" s="1" t="s">
        <v>77</v>
      </c>
      <c r="B89" s="1"/>
      <c r="C89" s="22"/>
      <c r="D89" s="137"/>
      <c r="E89" s="137"/>
      <c r="F89" s="137"/>
      <c r="G89" s="137"/>
      <c r="H89" s="137"/>
      <c r="I89" s="11"/>
      <c r="J89" s="11"/>
      <c r="K89" s="11"/>
      <c r="L89" s="7"/>
      <c r="M89" s="1"/>
      <c r="N89" s="1" t="str">
        <f t="shared" si="108"/>
        <v xml:space="preserve">  Other Regulated Operating Earnings</v>
      </c>
      <c r="O89" s="7" t="e">
        <f t="shared" si="109"/>
        <v>#DIV/0!</v>
      </c>
      <c r="P89" s="7" t="e">
        <f t="shared" si="110"/>
        <v>#DIV/0!</v>
      </c>
      <c r="Q89" s="7">
        <f t="shared" si="111"/>
        <v>0</v>
      </c>
      <c r="R89" s="7">
        <f t="shared" si="112"/>
        <v>0</v>
      </c>
      <c r="S89" s="7">
        <f t="shared" si="113"/>
        <v>0</v>
      </c>
      <c r="T89" s="7">
        <f t="shared" si="114"/>
        <v>0</v>
      </c>
      <c r="U89" s="7">
        <f t="shared" si="115"/>
        <v>0</v>
      </c>
      <c r="V89" s="7">
        <f t="shared" si="116"/>
        <v>0</v>
      </c>
      <c r="W89" s="7">
        <f t="shared" si="117"/>
        <v>0</v>
      </c>
      <c r="X89" s="7">
        <f t="shared" si="118"/>
        <v>0</v>
      </c>
      <c r="Y89" s="7">
        <f t="shared" si="103"/>
        <v>0</v>
      </c>
    </row>
    <row r="90" spans="1:25">
      <c r="A90" s="1" t="s">
        <v>78</v>
      </c>
      <c r="B90" s="1">
        <f t="shared" ref="B90:I90" si="119">B78-B87</f>
        <v>0</v>
      </c>
      <c r="C90" s="22">
        <f t="shared" si="119"/>
        <v>-7932</v>
      </c>
      <c r="D90" s="137">
        <f t="shared" si="119"/>
        <v>2824</v>
      </c>
      <c r="E90" s="137">
        <f t="shared" si="119"/>
        <v>2821</v>
      </c>
      <c r="F90" s="137">
        <f t="shared" si="119"/>
        <v>2962</v>
      </c>
      <c r="G90" s="137">
        <f t="shared" si="119"/>
        <v>3224</v>
      </c>
      <c r="H90" s="137">
        <f t="shared" si="119"/>
        <v>3326</v>
      </c>
      <c r="I90" s="137">
        <f t="shared" si="119"/>
        <v>3506</v>
      </c>
      <c r="J90" s="11">
        <f>J78-J87</f>
        <v>3268</v>
      </c>
      <c r="K90" s="11">
        <f>K78-K87</f>
        <v>3802</v>
      </c>
      <c r="L90" s="7">
        <f t="shared" ref="L90" si="120">RATE(5,,-F90,K90)</f>
        <v>5.1200143905010508E-2</v>
      </c>
      <c r="M90" s="1"/>
      <c r="N90" s="1" t="str">
        <f t="shared" si="108"/>
        <v>Total Earnings From Operations</v>
      </c>
      <c r="O90" s="7" t="e">
        <f t="shared" si="109"/>
        <v>#DIV/0!</v>
      </c>
      <c r="P90" s="7" t="e">
        <f t="shared" si="110"/>
        <v>#DIV/0!</v>
      </c>
      <c r="Q90" s="7">
        <f t="shared" si="111"/>
        <v>0.25630785986567434</v>
      </c>
      <c r="R90" s="7">
        <f t="shared" si="112"/>
        <v>0.24051496291243926</v>
      </c>
      <c r="S90" s="7">
        <f t="shared" si="113"/>
        <v>0.21853327431016675</v>
      </c>
      <c r="T90" s="7">
        <f t="shared" si="114"/>
        <v>0.224575090554472</v>
      </c>
      <c r="U90" s="7">
        <f t="shared" si="115"/>
        <v>0.21663518530580342</v>
      </c>
      <c r="V90" s="7">
        <f t="shared" si="116"/>
        <v>0.20470601973492147</v>
      </c>
      <c r="W90" s="7">
        <f t="shared" si="117"/>
        <v>0.20758432319125961</v>
      </c>
      <c r="X90" s="7">
        <f t="shared" si="118"/>
        <v>0.21780476626947753</v>
      </c>
      <c r="Y90" s="7">
        <f t="shared" si="103"/>
        <v>0.21464060947333555</v>
      </c>
    </row>
    <row r="91" spans="1:25">
      <c r="A91" s="1"/>
      <c r="B91" s="1"/>
      <c r="C91" s="22"/>
      <c r="D91" s="137"/>
      <c r="E91" s="137"/>
      <c r="F91" s="137"/>
      <c r="G91" s="137"/>
      <c r="H91" s="137"/>
      <c r="I91" s="11"/>
      <c r="J91" s="11"/>
      <c r="K91" s="1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</row>
    <row r="92" spans="1:25">
      <c r="A92" s="1" t="s">
        <v>79</v>
      </c>
      <c r="B92" s="1"/>
      <c r="C92" s="22">
        <f>0.736*1000</f>
        <v>736</v>
      </c>
      <c r="D92" s="137">
        <v>527</v>
      </c>
      <c r="E92" s="137">
        <v>640</v>
      </c>
      <c r="F92" s="137">
        <v>747</v>
      </c>
      <c r="G92" s="137">
        <v>866</v>
      </c>
      <c r="H92" s="137">
        <v>886</v>
      </c>
      <c r="I92" s="11">
        <v>866</v>
      </c>
      <c r="J92" s="11">
        <v>905</v>
      </c>
      <c r="K92" s="11">
        <v>895</v>
      </c>
      <c r="L92" s="7">
        <f t="shared" ref="L92:L93" si="121">RATE(5,,-F92,K92)</f>
        <v>3.6813125984426737E-2</v>
      </c>
      <c r="M92" s="1"/>
      <c r="N92" s="1" t="str">
        <f>A92</f>
        <v xml:space="preserve">   Interest expense (net)</v>
      </c>
      <c r="O92" s="7" t="e">
        <f t="shared" ref="O92:P96" si="122">B92/B$78</f>
        <v>#DIV/0!</v>
      </c>
      <c r="P92" s="7" t="e">
        <f t="shared" si="122"/>
        <v>#DIV/0!</v>
      </c>
      <c r="Q92" s="7">
        <f t="shared" ref="Q92:X96" si="123">D92/D$78</f>
        <v>4.7830822290796875E-2</v>
      </c>
      <c r="R92" s="7">
        <f t="shared" si="123"/>
        <v>5.4565606616079801E-2</v>
      </c>
      <c r="S92" s="7">
        <f t="shared" si="123"/>
        <v>5.5112881806108897E-2</v>
      </c>
      <c r="T92" s="7">
        <f t="shared" si="123"/>
        <v>6.0323209807745894E-2</v>
      </c>
      <c r="U92" s="7">
        <f t="shared" si="123"/>
        <v>5.7708591154823165E-2</v>
      </c>
      <c r="V92" s="7">
        <f t="shared" si="123"/>
        <v>5.0563437846674844E-2</v>
      </c>
      <c r="W92" s="7">
        <f t="shared" si="123"/>
        <v>5.7485866734421645E-2</v>
      </c>
      <c r="X92" s="7">
        <f t="shared" si="123"/>
        <v>5.1271769019248396E-2</v>
      </c>
      <c r="Y92" s="7">
        <f t="shared" si="103"/>
        <v>5.5188109713748414E-2</v>
      </c>
    </row>
    <row r="93" spans="1:25">
      <c r="A93" s="1" t="s">
        <v>80</v>
      </c>
      <c r="B93" s="1"/>
      <c r="C93" s="22"/>
      <c r="D93" s="137">
        <v>-36</v>
      </c>
      <c r="E93" s="137">
        <v>-27</v>
      </c>
      <c r="F93" s="137">
        <v>-36</v>
      </c>
      <c r="G93" s="137">
        <v>-41</v>
      </c>
      <c r="H93" s="137">
        <v>-45</v>
      </c>
      <c r="I93" s="11">
        <v>-33</v>
      </c>
      <c r="J93" s="11">
        <v>-23</v>
      </c>
      <c r="K93" s="11">
        <v>-24</v>
      </c>
      <c r="L93" s="7">
        <f t="shared" si="121"/>
        <v>-7.7892088518272243E-2</v>
      </c>
      <c r="M93" s="1"/>
      <c r="N93" s="1" t="str">
        <f>A93</f>
        <v xml:space="preserve">   Interest income</v>
      </c>
      <c r="O93" s="7" t="e">
        <f t="shared" si="122"/>
        <v>#DIV/0!</v>
      </c>
      <c r="P93" s="7" t="e">
        <f t="shared" si="122"/>
        <v>#DIV/0!</v>
      </c>
      <c r="Q93" s="7">
        <f t="shared" si="123"/>
        <v>-3.267380649845707E-3</v>
      </c>
      <c r="R93" s="7">
        <f t="shared" si="123"/>
        <v>-2.3019865291158668E-3</v>
      </c>
      <c r="S93" s="7">
        <f t="shared" si="123"/>
        <v>-2.6560424966799467E-3</v>
      </c>
      <c r="T93" s="7">
        <f t="shared" si="123"/>
        <v>-2.8559487322373919E-3</v>
      </c>
      <c r="U93" s="7">
        <f t="shared" si="123"/>
        <v>-2.9310232527844722E-3</v>
      </c>
      <c r="V93" s="7">
        <f t="shared" si="123"/>
        <v>-1.9267822736030828E-3</v>
      </c>
      <c r="W93" s="7">
        <f t="shared" si="123"/>
        <v>-1.460966778885854E-3</v>
      </c>
      <c r="X93" s="7">
        <f t="shared" si="123"/>
        <v>-1.3748854262144821E-3</v>
      </c>
      <c r="Y93" s="7">
        <f t="shared" si="103"/>
        <v>-2.1583733131030356E-3</v>
      </c>
    </row>
    <row r="94" spans="1:25">
      <c r="A94" s="1" t="s">
        <v>81</v>
      </c>
      <c r="B94" s="1"/>
      <c r="C94" s="22"/>
      <c r="D94" s="137">
        <v>99</v>
      </c>
      <c r="E94" s="137">
        <v>95</v>
      </c>
      <c r="F94" s="137"/>
      <c r="G94" s="137">
        <v>16</v>
      </c>
      <c r="H94" s="137"/>
      <c r="I94" s="11"/>
      <c r="J94" s="11"/>
      <c r="K94" s="11"/>
      <c r="L94" s="7"/>
      <c r="M94" s="1"/>
      <c r="N94" s="1" t="str">
        <f>A94</f>
        <v xml:space="preserve">   Loss (Gain) on Sale of Assets</v>
      </c>
      <c r="O94" s="7" t="e">
        <f t="shared" si="122"/>
        <v>#DIV/0!</v>
      </c>
      <c r="P94" s="7" t="e">
        <f t="shared" si="122"/>
        <v>#DIV/0!</v>
      </c>
      <c r="Q94" s="7">
        <f t="shared" si="123"/>
        <v>8.9852967870756948E-3</v>
      </c>
      <c r="R94" s="7">
        <f t="shared" si="123"/>
        <v>8.0995822320743451E-3</v>
      </c>
      <c r="S94" s="7">
        <f t="shared" si="123"/>
        <v>0</v>
      </c>
      <c r="T94" s="7">
        <f t="shared" si="123"/>
        <v>1.1145165784341043E-3</v>
      </c>
      <c r="U94" s="7">
        <f t="shared" si="123"/>
        <v>0</v>
      </c>
      <c r="V94" s="7">
        <f t="shared" si="123"/>
        <v>0</v>
      </c>
      <c r="W94" s="7">
        <f t="shared" si="123"/>
        <v>0</v>
      </c>
      <c r="X94" s="7">
        <f t="shared" si="123"/>
        <v>0</v>
      </c>
      <c r="Y94" s="7">
        <f t="shared" si="103"/>
        <v>1.7096026242400283E-4</v>
      </c>
    </row>
    <row r="95" spans="1:25">
      <c r="A95" s="1" t="s">
        <v>157</v>
      </c>
      <c r="B95" s="1"/>
      <c r="C95" s="22"/>
      <c r="D95" s="137">
        <f>-25-66+151+21+52</f>
        <v>133</v>
      </c>
      <c r="E95" s="137">
        <f>-47-70+30+59+27</f>
        <v>-1</v>
      </c>
      <c r="F95" s="137">
        <f>-51+119-74+30+41</f>
        <v>65</v>
      </c>
      <c r="G95" s="137">
        <f>-50+57-69+34+58</f>
        <v>30</v>
      </c>
      <c r="H95" s="137">
        <f>24-40+48-10-106</f>
        <v>-84</v>
      </c>
      <c r="I95" s="11">
        <f>-152-11+85+65+29</f>
        <v>16</v>
      </c>
      <c r="J95" s="11">
        <v>-153</v>
      </c>
      <c r="K95" s="11">
        <v>-70</v>
      </c>
      <c r="L95" s="7"/>
      <c r="M95" s="1"/>
      <c r="N95" s="1" t="str">
        <f>A95</f>
        <v xml:space="preserve">   Other (Income) Expense</v>
      </c>
      <c r="O95" s="7" t="e">
        <f t="shared" si="122"/>
        <v>#DIV/0!</v>
      </c>
      <c r="P95" s="7" t="e">
        <f t="shared" si="122"/>
        <v>#DIV/0!</v>
      </c>
      <c r="Q95" s="7">
        <f t="shared" si="123"/>
        <v>1.207115628970775E-2</v>
      </c>
      <c r="R95" s="7">
        <f t="shared" si="123"/>
        <v>-8.5258760337624692E-5</v>
      </c>
      <c r="S95" s="7">
        <f t="shared" si="123"/>
        <v>4.7956322856721259E-3</v>
      </c>
      <c r="T95" s="7">
        <f t="shared" si="123"/>
        <v>2.0897185845639454E-3</v>
      </c>
      <c r="U95" s="7">
        <f t="shared" si="123"/>
        <v>-5.4712434051976816E-3</v>
      </c>
      <c r="V95" s="7">
        <f t="shared" si="123"/>
        <v>9.341974659893735E-4</v>
      </c>
      <c r="W95" s="7">
        <f t="shared" si="123"/>
        <v>-9.7186050943276377E-3</v>
      </c>
      <c r="X95" s="7">
        <f t="shared" si="123"/>
        <v>-4.0100824931255732E-3</v>
      </c>
      <c r="Y95" s="7">
        <f t="shared" si="103"/>
        <v>-2.0942632146940345E-3</v>
      </c>
    </row>
    <row r="96" spans="1:25">
      <c r="A96" s="1" t="s">
        <v>83</v>
      </c>
      <c r="B96" s="1">
        <f t="shared" ref="B96:J96" si="124">SUM(B92:B95)</f>
        <v>0</v>
      </c>
      <c r="C96" s="22">
        <f t="shared" ref="C96:G96" si="125">SUM(C92:C95)</f>
        <v>736</v>
      </c>
      <c r="D96" s="137">
        <f>SUM(D92:D95)</f>
        <v>723</v>
      </c>
      <c r="E96" s="137">
        <f t="shared" si="125"/>
        <v>707</v>
      </c>
      <c r="F96" s="137">
        <f t="shared" si="125"/>
        <v>776</v>
      </c>
      <c r="G96" s="137">
        <f t="shared" si="125"/>
        <v>871</v>
      </c>
      <c r="H96" s="137">
        <f>SUM(H92:H95)</f>
        <v>757</v>
      </c>
      <c r="I96" s="11">
        <f t="shared" si="124"/>
        <v>849</v>
      </c>
      <c r="J96" s="11">
        <f t="shared" si="124"/>
        <v>729</v>
      </c>
      <c r="K96" s="11">
        <f t="shared" ref="K96" si="126">SUM(K92:K95)</f>
        <v>801</v>
      </c>
      <c r="L96" s="7">
        <f t="shared" ref="L96" si="127">RATE(5,,-F96,K96)</f>
        <v>6.3618364384482656E-3</v>
      </c>
      <c r="M96" s="1"/>
      <c r="N96" s="1" t="str">
        <f>A96</f>
        <v>Total Other Income/Expense</v>
      </c>
      <c r="O96" s="7" t="e">
        <f t="shared" si="122"/>
        <v>#DIV/0!</v>
      </c>
      <c r="P96" s="7" t="e">
        <f t="shared" si="122"/>
        <v>#DIV/0!</v>
      </c>
      <c r="Q96" s="7">
        <f t="shared" si="123"/>
        <v>6.561989471773462E-2</v>
      </c>
      <c r="R96" s="7">
        <f t="shared" si="123"/>
        <v>6.0277943558700656E-2</v>
      </c>
      <c r="S96" s="7">
        <f t="shared" si="123"/>
        <v>5.7252471595101079E-2</v>
      </c>
      <c r="T96" s="7">
        <f t="shared" si="123"/>
        <v>6.0671496238506546E-2</v>
      </c>
      <c r="U96" s="7">
        <f t="shared" si="123"/>
        <v>4.9306324496841011E-2</v>
      </c>
      <c r="V96" s="7">
        <f t="shared" si="123"/>
        <v>4.9570853039061134E-2</v>
      </c>
      <c r="W96" s="7">
        <f t="shared" si="123"/>
        <v>4.6306294861208158E-2</v>
      </c>
      <c r="X96" s="7">
        <f t="shared" si="123"/>
        <v>4.5886801099908343E-2</v>
      </c>
      <c r="Y96" s="7">
        <f t="shared" si="103"/>
        <v>5.1106433448375344E-2</v>
      </c>
    </row>
    <row r="97" spans="1:25">
      <c r="A97" s="1"/>
      <c r="B97" s="1"/>
      <c r="C97" s="22"/>
      <c r="D97" s="137"/>
      <c r="E97" s="137"/>
      <c r="F97" s="137"/>
      <c r="G97" s="137"/>
      <c r="H97" s="137"/>
      <c r="I97" s="11"/>
      <c r="J97" s="11"/>
      <c r="K97" s="1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</row>
    <row r="98" spans="1:25">
      <c r="A98" s="1" t="s">
        <v>84</v>
      </c>
      <c r="B98" s="1">
        <f t="shared" ref="B98" si="128">B90-B96</f>
        <v>0</v>
      </c>
      <c r="C98" s="22">
        <f>1.846*1000</f>
        <v>1846</v>
      </c>
      <c r="D98" s="137">
        <v>2101</v>
      </c>
      <c r="E98" s="137">
        <v>2114</v>
      </c>
      <c r="F98" s="137">
        <f>2.186*1000</f>
        <v>2186</v>
      </c>
      <c r="G98" s="137">
        <v>2353</v>
      </c>
      <c r="H98" s="137">
        <v>2569</v>
      </c>
      <c r="I98" s="11">
        <f>I90-I96</f>
        <v>2657</v>
      </c>
      <c r="J98" s="11">
        <f>J90-J96</f>
        <v>2539</v>
      </c>
      <c r="K98" s="11">
        <f>K90-K96</f>
        <v>3001</v>
      </c>
      <c r="L98" s="7">
        <f t="shared" ref="L98" si="129">RATE(5,,-F98,K98)</f>
        <v>6.5425697587461709E-2</v>
      </c>
      <c r="M98" s="1"/>
      <c r="N98" s="1" t="s">
        <v>84</v>
      </c>
      <c r="O98" s="7" t="e">
        <f t="shared" ref="O98:P101" si="130">B98/B$78</f>
        <v>#DIV/0!</v>
      </c>
      <c r="P98" s="7" t="e">
        <f t="shared" si="130"/>
        <v>#DIV/0!</v>
      </c>
      <c r="Q98" s="7">
        <f t="shared" ref="Q98:X101" si="131">D98/D$78</f>
        <v>0.19068796514793973</v>
      </c>
      <c r="R98" s="7">
        <f t="shared" si="131"/>
        <v>0.18023701935373859</v>
      </c>
      <c r="S98" s="7">
        <f t="shared" si="131"/>
        <v>0.16128080271506567</v>
      </c>
      <c r="T98" s="7">
        <f t="shared" si="131"/>
        <v>0.16390359431596546</v>
      </c>
      <c r="U98" s="7">
        <f t="shared" si="131"/>
        <v>0.16732886080896242</v>
      </c>
      <c r="V98" s="7">
        <f t="shared" si="131"/>
        <v>0.15513516669586033</v>
      </c>
      <c r="W98" s="7">
        <f t="shared" si="131"/>
        <v>0.16127802833005145</v>
      </c>
      <c r="X98" s="7">
        <f t="shared" si="131"/>
        <v>0.1719179651695692</v>
      </c>
      <c r="Y98" s="7">
        <f t="shared" si="103"/>
        <v>0.1635341760249602</v>
      </c>
    </row>
    <row r="99" spans="1:25">
      <c r="A99" s="1" t="s">
        <v>85</v>
      </c>
      <c r="B99" s="1"/>
      <c r="C99" s="22"/>
      <c r="D99" s="137">
        <v>9</v>
      </c>
      <c r="E99" s="137">
        <v>-3</v>
      </c>
      <c r="F99" s="137"/>
      <c r="G99" s="137"/>
      <c r="H99" s="137"/>
      <c r="I99" s="11"/>
      <c r="J99" s="11"/>
      <c r="K99" s="11"/>
      <c r="L99" s="7"/>
      <c r="M99" s="1"/>
      <c r="N99" s="1" t="str">
        <f>A99</f>
        <v>Extraordinary Items</v>
      </c>
      <c r="O99" s="7" t="e">
        <f t="shared" si="130"/>
        <v>#DIV/0!</v>
      </c>
      <c r="P99" s="7" t="e">
        <f t="shared" si="130"/>
        <v>#DIV/0!</v>
      </c>
      <c r="Q99" s="7">
        <f t="shared" si="131"/>
        <v>8.1684516246142676E-4</v>
      </c>
      <c r="R99" s="7">
        <f t="shared" si="131"/>
        <v>-2.5577628101287409E-4</v>
      </c>
      <c r="S99" s="7">
        <f t="shared" si="131"/>
        <v>0</v>
      </c>
      <c r="T99" s="7">
        <f t="shared" si="131"/>
        <v>0</v>
      </c>
      <c r="U99" s="7">
        <f t="shared" si="131"/>
        <v>0</v>
      </c>
      <c r="V99" s="7">
        <f t="shared" si="131"/>
        <v>0</v>
      </c>
      <c r="W99" s="7">
        <f t="shared" si="131"/>
        <v>0</v>
      </c>
      <c r="X99" s="7">
        <f t="shared" si="131"/>
        <v>0</v>
      </c>
      <c r="Y99" s="7">
        <f t="shared" si="103"/>
        <v>0</v>
      </c>
    </row>
    <row r="100" spans="1:25">
      <c r="A100" s="1" t="s">
        <v>86</v>
      </c>
      <c r="B100" s="1"/>
      <c r="C100" s="22">
        <f>0.528*1000</f>
        <v>528</v>
      </c>
      <c r="D100" s="137">
        <v>618</v>
      </c>
      <c r="E100" s="137">
        <v>585</v>
      </c>
      <c r="F100" s="137">
        <f>0.595*1000</f>
        <v>595</v>
      </c>
      <c r="G100" s="137">
        <v>780</v>
      </c>
      <c r="H100" s="137">
        <v>835</v>
      </c>
      <c r="I100" s="11">
        <v>915</v>
      </c>
      <c r="J100" s="11">
        <v>896</v>
      </c>
      <c r="K100" s="11">
        <v>1026</v>
      </c>
      <c r="L100" s="7">
        <f t="shared" ref="L100:L101" si="132">RATE(5,,-F100,K100)</f>
        <v>0.11513148757685299</v>
      </c>
      <c r="M100" s="1"/>
      <c r="N100" s="1" t="str">
        <f>A100</f>
        <v>Income Taxes</v>
      </c>
      <c r="O100" s="7" t="e">
        <f t="shared" si="130"/>
        <v>#DIV/0!</v>
      </c>
      <c r="P100" s="7" t="e">
        <f t="shared" si="130"/>
        <v>#DIV/0!</v>
      </c>
      <c r="Q100" s="7">
        <f t="shared" si="131"/>
        <v>5.6090034489017969E-2</v>
      </c>
      <c r="R100" s="7">
        <f t="shared" si="131"/>
        <v>4.9876374797510448E-2</v>
      </c>
      <c r="S100" s="7">
        <f t="shared" si="131"/>
        <v>4.3898480153460234E-2</v>
      </c>
      <c r="T100" s="7">
        <f t="shared" si="131"/>
        <v>5.4332683198662579E-2</v>
      </c>
      <c r="U100" s="7">
        <f t="shared" si="131"/>
        <v>5.4386764801667424E-2</v>
      </c>
      <c r="V100" s="7">
        <f t="shared" si="131"/>
        <v>5.34244175862673E-2</v>
      </c>
      <c r="W100" s="7">
        <f t="shared" si="131"/>
        <v>5.6914184081814138E-2</v>
      </c>
      <c r="X100" s="7">
        <f t="shared" si="131"/>
        <v>5.8776351970669112E-2</v>
      </c>
      <c r="Y100" s="7">
        <f t="shared" si="103"/>
        <v>5.3927277778371391E-2</v>
      </c>
    </row>
    <row r="101" spans="1:25">
      <c r="A101" s="1" t="s">
        <v>87</v>
      </c>
      <c r="B101" s="1">
        <f t="shared" ref="B101" si="133">B98+B99-B100</f>
        <v>0</v>
      </c>
      <c r="C101" s="22">
        <f t="shared" ref="C101:H101" si="134">C98-C99-C100</f>
        <v>1318</v>
      </c>
      <c r="D101" s="137">
        <f t="shared" si="134"/>
        <v>1474</v>
      </c>
      <c r="E101" s="137">
        <f t="shared" si="134"/>
        <v>1532</v>
      </c>
      <c r="F101" s="137">
        <f t="shared" si="134"/>
        <v>1591</v>
      </c>
      <c r="G101" s="137">
        <f t="shared" si="134"/>
        <v>1573</v>
      </c>
      <c r="H101" s="137">
        <f t="shared" si="134"/>
        <v>1734</v>
      </c>
      <c r="I101" s="11">
        <f>I98+I99-I100</f>
        <v>1742</v>
      </c>
      <c r="J101" s="11">
        <f>J98+J99-J100</f>
        <v>1643</v>
      </c>
      <c r="K101" s="11">
        <f>K98+K99-K100</f>
        <v>1975</v>
      </c>
      <c r="L101" s="7">
        <f t="shared" si="132"/>
        <v>4.4189649737528203E-2</v>
      </c>
      <c r="M101" s="1"/>
      <c r="N101" s="1" t="s">
        <v>87</v>
      </c>
      <c r="O101" s="7" t="e">
        <f t="shared" si="130"/>
        <v>#DIV/0!</v>
      </c>
      <c r="P101" s="7" t="e">
        <f t="shared" si="130"/>
        <v>#DIV/0!</v>
      </c>
      <c r="Q101" s="7">
        <f t="shared" si="131"/>
        <v>0.13378108549646034</v>
      </c>
      <c r="R101" s="7">
        <f t="shared" si="131"/>
        <v>0.13061642083724104</v>
      </c>
      <c r="S101" s="7">
        <f t="shared" si="131"/>
        <v>0.11738232256160543</v>
      </c>
      <c r="T101" s="7">
        <f t="shared" si="131"/>
        <v>0.10957091111730287</v>
      </c>
      <c r="U101" s="7">
        <f t="shared" si="131"/>
        <v>0.11294209600729499</v>
      </c>
      <c r="V101" s="7">
        <f t="shared" si="131"/>
        <v>0.10171074910959305</v>
      </c>
      <c r="W101" s="7">
        <f t="shared" si="131"/>
        <v>0.10436384424823732</v>
      </c>
      <c r="X101" s="7">
        <f t="shared" si="131"/>
        <v>0.11314161319890009</v>
      </c>
      <c r="Y101" s="7">
        <f t="shared" si="103"/>
        <v>0.10960689824658881</v>
      </c>
    </row>
    <row r="102" spans="1:25">
      <c r="A102" s="1"/>
      <c r="B102" s="1"/>
      <c r="C102" s="29"/>
      <c r="D102" s="137"/>
      <c r="E102" s="137"/>
      <c r="F102" s="137"/>
      <c r="G102" s="137"/>
      <c r="H102" s="137"/>
      <c r="I102" s="11"/>
      <c r="J102" s="11"/>
      <c r="K102" s="1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"/>
      <c r="C103" s="29"/>
      <c r="D103" s="137">
        <v>21</v>
      </c>
      <c r="E103" s="137">
        <v>30</v>
      </c>
      <c r="F103" s="137">
        <v>30</v>
      </c>
      <c r="G103" s="137">
        <v>34</v>
      </c>
      <c r="H103" s="137">
        <v>48</v>
      </c>
      <c r="I103" s="11">
        <v>65</v>
      </c>
      <c r="J103" s="11">
        <v>65</v>
      </c>
      <c r="K103" s="11">
        <v>65</v>
      </c>
      <c r="L103" s="7">
        <f t="shared" ref="L103" si="135">RATE(5,,-F103,K103)</f>
        <v>0.16723531932882202</v>
      </c>
      <c r="M103" s="1"/>
      <c r="N103" s="1" t="s">
        <v>89</v>
      </c>
      <c r="O103" s="7" t="e">
        <f t="shared" ref="O103:P104" si="136">B103/B$101</f>
        <v>#DIV/0!</v>
      </c>
      <c r="P103" s="7">
        <f t="shared" si="136"/>
        <v>0</v>
      </c>
      <c r="Q103" s="7">
        <f t="shared" ref="Q103:X104" si="137">D103/D$101</f>
        <v>1.4246947082767978E-2</v>
      </c>
      <c r="R103" s="7">
        <f t="shared" si="137"/>
        <v>1.95822454308094E-2</v>
      </c>
      <c r="S103" s="7">
        <f t="shared" si="137"/>
        <v>1.8856065367693273E-2</v>
      </c>
      <c r="T103" s="7">
        <f t="shared" si="137"/>
        <v>2.1614748887476162E-2</v>
      </c>
      <c r="U103" s="7">
        <f t="shared" si="137"/>
        <v>2.768166089965398E-2</v>
      </c>
      <c r="V103" s="7">
        <f t="shared" si="137"/>
        <v>3.7313432835820892E-2</v>
      </c>
      <c r="W103" s="7">
        <f t="shared" si="137"/>
        <v>3.9561777236762019E-2</v>
      </c>
      <c r="X103" s="7">
        <f t="shared" si="137"/>
        <v>3.2911392405063293E-2</v>
      </c>
      <c r="Y103" s="7">
        <f>SUM(F103:K103)/SUM(F$101:K$101)</f>
        <v>2.9927861181516864E-2</v>
      </c>
    </row>
    <row r="104" spans="1:25">
      <c r="A104" s="1" t="s">
        <v>90</v>
      </c>
      <c r="B104" s="1"/>
      <c r="C104" s="29"/>
      <c r="D104" s="137">
        <v>1004</v>
      </c>
      <c r="E104" s="137">
        <v>1045</v>
      </c>
      <c r="F104" s="137">
        <v>1098</v>
      </c>
      <c r="G104" s="137">
        <v>1140</v>
      </c>
      <c r="H104" s="137">
        <v>1205</v>
      </c>
      <c r="I104" s="11">
        <v>1280</v>
      </c>
      <c r="J104" s="11">
        <v>1369</v>
      </c>
      <c r="K104" s="11">
        <v>1496</v>
      </c>
      <c r="L104" s="7">
        <f t="shared" ref="L104" si="138">RATE(5,,-F104,K104)</f>
        <v>6.3814365616994467E-2</v>
      </c>
      <c r="M104" s="1"/>
      <c r="N104" s="1" t="s">
        <v>91</v>
      </c>
      <c r="O104" s="7" t="e">
        <f t="shared" si="136"/>
        <v>#DIV/0!</v>
      </c>
      <c r="P104" s="7">
        <f t="shared" si="136"/>
        <v>0</v>
      </c>
      <c r="Q104" s="7">
        <f t="shared" si="137"/>
        <v>0.68113975576662145</v>
      </c>
      <c r="R104" s="7">
        <f t="shared" si="137"/>
        <v>0.68211488250652741</v>
      </c>
      <c r="S104" s="7">
        <f t="shared" si="137"/>
        <v>0.69013199245757384</v>
      </c>
      <c r="T104" s="7">
        <f t="shared" si="137"/>
        <v>0.72472981563890659</v>
      </c>
      <c r="U104" s="7">
        <f t="shared" si="137"/>
        <v>0.69492502883506346</v>
      </c>
      <c r="V104" s="7">
        <f t="shared" si="137"/>
        <v>0.7347876004592423</v>
      </c>
      <c r="W104" s="7">
        <f t="shared" si="137"/>
        <v>0.83323189287888011</v>
      </c>
      <c r="X104" s="7">
        <f t="shared" si="137"/>
        <v>0.75746835443037974</v>
      </c>
      <c r="Y104" s="7">
        <f>SUM(F104:K104)/SUM(F$101:K$101)</f>
        <v>0.73971534412166118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SOUTHERN COMPANY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I114" si="139">O8</f>
        <v>2001</v>
      </c>
      <c r="C114" s="5">
        <f t="shared" si="139"/>
        <v>2002</v>
      </c>
      <c r="D114" s="5">
        <f t="shared" si="139"/>
        <v>2003</v>
      </c>
      <c r="E114" s="5">
        <f t="shared" si="139"/>
        <v>2004</v>
      </c>
      <c r="F114" s="5">
        <f t="shared" si="139"/>
        <v>2005</v>
      </c>
      <c r="G114" s="5">
        <f t="shared" si="139"/>
        <v>2006</v>
      </c>
      <c r="H114" s="5">
        <f t="shared" si="139"/>
        <v>2007</v>
      </c>
      <c r="I114" s="5">
        <f t="shared" si="139"/>
        <v>2008</v>
      </c>
      <c r="J114" s="162">
        <f>J8</f>
        <v>2009</v>
      </c>
      <c r="K114" s="162">
        <f>K8</f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 t="e">
        <f t="shared" ref="B117:G117" si="140">B15/B48</f>
        <v>#DIV/0!</v>
      </c>
      <c r="C117" s="1">
        <f t="shared" si="140"/>
        <v>0.59174311926605505</v>
      </c>
      <c r="D117" s="1">
        <f t="shared" si="140"/>
        <v>0.87303851640513552</v>
      </c>
      <c r="E117" s="1">
        <f t="shared" si="140"/>
        <v>0.91916798314902581</v>
      </c>
      <c r="F117" s="1">
        <f t="shared" si="140"/>
        <v>0.8024809160305344</v>
      </c>
      <c r="G117" s="1">
        <f t="shared" si="140"/>
        <v>0.63261451282858494</v>
      </c>
      <c r="H117" s="1">
        <f>H15/H48</f>
        <v>0.84034807316640026</v>
      </c>
      <c r="I117" s="1">
        <f>I15/I48</f>
        <v>1.0252583237657864</v>
      </c>
      <c r="J117" s="1">
        <f>J15/J48</f>
        <v>1.0338467048710602</v>
      </c>
      <c r="K117" s="1">
        <f>K15/K48</f>
        <v>0.90899258343634115</v>
      </c>
      <c r="L117" s="12">
        <f>AVERAGE(F117:K117)</f>
        <v>0.87392351901645116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 t="e">
        <f t="shared" ref="B118:G118" si="141">(B11+B12)/B48</f>
        <v>#DIV/0!</v>
      </c>
      <c r="C118" s="1">
        <f t="shared" si="141"/>
        <v>0.35480654168328679</v>
      </c>
      <c r="D118" s="1">
        <f t="shared" si="141"/>
        <v>0.5072753209700428</v>
      </c>
      <c r="E118" s="1">
        <f t="shared" si="141"/>
        <v>0.57345971563981046</v>
      </c>
      <c r="F118" s="1">
        <f t="shared" si="141"/>
        <v>0.47729007633587789</v>
      </c>
      <c r="G118" s="1">
        <f t="shared" si="141"/>
        <v>0.34708011962852198</v>
      </c>
      <c r="H118" s="1">
        <f>(H11+H12)/H48</f>
        <v>0.46261765228201029</v>
      </c>
      <c r="I118" s="1">
        <f>(I11+I12)/I48</f>
        <v>0.53865288939915801</v>
      </c>
      <c r="J118" s="1">
        <f>(J11+J12)/J48</f>
        <v>0.49480659025787965</v>
      </c>
      <c r="K118" s="1">
        <f>(K11+K12)/K48</f>
        <v>0.39307787391841781</v>
      </c>
      <c r="L118" s="12">
        <f t="shared" ref="L118:L119" si="142">AVERAGE(F118:K118)</f>
        <v>0.45225420030364427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 t="e">
        <f t="shared" ref="C119:I119" si="143">365*(((B12+C12)/2)/((B78+C78)/2))</f>
        <v>#DIV/0!</v>
      </c>
      <c r="D119" s="1">
        <f t="shared" si="143"/>
        <v>98.48838264657833</v>
      </c>
      <c r="E119" s="1">
        <f t="shared" si="143"/>
        <v>52.582977975117593</v>
      </c>
      <c r="F119" s="1">
        <f t="shared" si="143"/>
        <v>59.319898746193097</v>
      </c>
      <c r="G119" s="1">
        <f t="shared" si="143"/>
        <v>56.718201361519171</v>
      </c>
      <c r="H119" s="1">
        <f t="shared" si="143"/>
        <v>53.738261132990004</v>
      </c>
      <c r="I119" s="1">
        <f t="shared" si="143"/>
        <v>52.041717980295573</v>
      </c>
      <c r="J119" s="1">
        <f>365*((I12+J12)/2)/((I78+J78*(2))/2)</f>
        <v>32.473309608540923</v>
      </c>
      <c r="K119" s="1">
        <f>365*((J12+K12)/2)/((J78+K78*(2))/2)</f>
        <v>29.247557003257327</v>
      </c>
      <c r="L119" s="12">
        <f t="shared" si="142"/>
        <v>47.256490972132688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 t="e">
        <f t="shared" ref="B122:I122" si="144">B62/B55</f>
        <v>#DIV/0!</v>
      </c>
      <c r="C122" s="1">
        <f t="shared" si="144"/>
        <v>0.38216839980694134</v>
      </c>
      <c r="D122" s="1">
        <f t="shared" si="144"/>
        <v>0.38427530170868685</v>
      </c>
      <c r="E122" s="1">
        <f t="shared" si="144"/>
        <v>0.39355184561188544</v>
      </c>
      <c r="F122" s="1">
        <f t="shared" si="144"/>
        <v>0.37384583100167879</v>
      </c>
      <c r="G122" s="1">
        <f t="shared" si="144"/>
        <v>0.36987281657613114</v>
      </c>
      <c r="H122" s="1">
        <f t="shared" si="144"/>
        <v>0.38315183764385596</v>
      </c>
      <c r="I122" s="1">
        <f t="shared" si="144"/>
        <v>0.39059695783930093</v>
      </c>
      <c r="J122" s="1">
        <f>J62/J55</f>
        <v>0.43188494152857065</v>
      </c>
      <c r="K122" s="1">
        <f>K62/K55</f>
        <v>0.44794426194765286</v>
      </c>
      <c r="L122" s="12">
        <f t="shared" ref="L122:L125" si="145">AVERAGE(F122:K122)</f>
        <v>0.39954944108953172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 t="e">
        <f t="shared" ref="B123:I123" si="146">B62/B53</f>
        <v>#DIV/0!</v>
      </c>
      <c r="C123" s="1">
        <f t="shared" si="146"/>
        <v>0.48995893570343702</v>
      </c>
      <c r="D123" s="1">
        <f t="shared" si="146"/>
        <v>0.44662531247106751</v>
      </c>
      <c r="E123" s="1">
        <f t="shared" si="146"/>
        <v>0.46052513666099115</v>
      </c>
      <c r="F123" s="1">
        <f t="shared" si="146"/>
        <v>0.45773381294964027</v>
      </c>
      <c r="G123" s="1">
        <f t="shared" si="146"/>
        <v>0.46621566215662158</v>
      </c>
      <c r="H123" s="1">
        <f t="shared" si="146"/>
        <v>0.4639793204210842</v>
      </c>
      <c r="I123" s="1">
        <f t="shared" si="146"/>
        <v>0.46156520529847372</v>
      </c>
      <c r="J123" s="1">
        <f>J62/J53</f>
        <v>0.51095010163267984</v>
      </c>
      <c r="K123" s="1">
        <f>K62/K53</f>
        <v>0.54063818902672978</v>
      </c>
      <c r="L123" s="12">
        <f t="shared" si="145"/>
        <v>0.48351371524753822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 t="e">
        <f t="shared" ref="B124:I124" si="147">B62/B26</f>
        <v>#DIV/0!</v>
      </c>
      <c r="C124" s="1">
        <f t="shared" si="147"/>
        <v>0.33098992969789093</v>
      </c>
      <c r="D124" s="1">
        <f t="shared" si="147"/>
        <v>0.327594988285627</v>
      </c>
      <c r="E124" s="1">
        <f t="shared" si="147"/>
        <v>0.33582747917007028</v>
      </c>
      <c r="F124" s="1">
        <f t="shared" si="147"/>
        <v>0.33557278749254388</v>
      </c>
      <c r="G124" s="1">
        <f t="shared" si="147"/>
        <v>0.33857376805121336</v>
      </c>
      <c r="H124" s="1">
        <f t="shared" si="147"/>
        <v>0.34710350046243099</v>
      </c>
      <c r="I124" s="1">
        <f t="shared" si="147"/>
        <v>0.35060476416838326</v>
      </c>
      <c r="J124" s="1">
        <f>J62/J26</f>
        <v>0.39727249553912825</v>
      </c>
      <c r="K124" s="1">
        <f>K62/K26</f>
        <v>0.40257606780629496</v>
      </c>
      <c r="L124" s="12">
        <f t="shared" si="145"/>
        <v>0.36195056391999914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148">(B98+B92)/B92</f>
        <v>#DIV/0!</v>
      </c>
      <c r="C125" s="1">
        <f t="shared" si="148"/>
        <v>3.5081521739130435</v>
      </c>
      <c r="D125" s="1">
        <f t="shared" si="148"/>
        <v>4.9867172675521818</v>
      </c>
      <c r="E125" s="1">
        <f t="shared" si="148"/>
        <v>4.3031249999999996</v>
      </c>
      <c r="F125" s="1">
        <f t="shared" si="148"/>
        <v>3.9263721552878179</v>
      </c>
      <c r="G125" s="1">
        <f t="shared" si="148"/>
        <v>3.7170900692840645</v>
      </c>
      <c r="H125" s="1">
        <f t="shared" si="148"/>
        <v>3.899548532731377</v>
      </c>
      <c r="I125" s="1">
        <f t="shared" si="148"/>
        <v>4.0681293302540418</v>
      </c>
      <c r="J125" s="1">
        <f>(J98+J92)/J92</f>
        <v>3.8055248618784532</v>
      </c>
      <c r="K125" s="1">
        <f>(K98+K92)/K92</f>
        <v>4.3530726256983243</v>
      </c>
      <c r="L125" s="12">
        <f t="shared" si="145"/>
        <v>3.9616229291890135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>
        <f t="shared" ref="C128:E128" si="149">(C101+(C92*(1-(C100/C98))))/((B38+C38)/2)</f>
        <v>0.1159461905849094</v>
      </c>
      <c r="D128" s="7">
        <f t="shared" si="149"/>
        <v>5.5122959974957697E-2</v>
      </c>
      <c r="E128" s="7">
        <f t="shared" si="149"/>
        <v>5.5311576831932489E-2</v>
      </c>
      <c r="F128" s="7">
        <f>(F101+(F92*(1-(F100/F98))))/((E38+F38)/2)</f>
        <v>5.5567382815104871E-2</v>
      </c>
      <c r="G128" s="7">
        <f t="shared" ref="G128:K128" si="150">(G101+(G92*(1-(G100/G98))))/((F38+G38)/2)</f>
        <v>5.2019778250935636E-2</v>
      </c>
      <c r="H128" s="7">
        <f t="shared" si="150"/>
        <v>5.2613718093206599E-2</v>
      </c>
      <c r="I128" s="7">
        <f t="shared" si="150"/>
        <v>4.9073100109422958E-2</v>
      </c>
      <c r="J128" s="7">
        <f t="shared" si="150"/>
        <v>4.4398118780353511E-2</v>
      </c>
      <c r="K128" s="7">
        <f t="shared" si="150"/>
        <v>4.7890547003144109E-2</v>
      </c>
      <c r="L128" s="7">
        <f>AVERAGE(F128:K128)</f>
        <v>5.0260440842027944E-2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>
        <f t="shared" ref="C129:E129" si="151">(C101+(C92*(1-(C100/C98))))/((B50+C50+B57+C57+B62+C62)/2)</f>
        <v>0.18355934055608553</v>
      </c>
      <c r="D129" s="7">
        <f t="shared" si="151"/>
        <v>8.7443937619732875E-2</v>
      </c>
      <c r="E129" s="7">
        <f t="shared" si="151"/>
        <v>8.783633779402035E-2</v>
      </c>
      <c r="F129" s="7">
        <f>(F101+(F92*(1-(F100/F98))))/((E42+F42+E50+F50+E57+F57+E62+F62)/2)</f>
        <v>8.6594186082999763E-2</v>
      </c>
      <c r="G129" s="7">
        <f t="shared" ref="G129:K129" si="152">(G101+(G92*(1-(G100/G98))))/((F42+G42+F50+G50+F57+G57+F62+G62)/2)</f>
        <v>8.4276970971864179E-2</v>
      </c>
      <c r="H129" s="7">
        <f t="shared" si="152"/>
        <v>8.5076215165599309E-2</v>
      </c>
      <c r="I129" s="7">
        <f t="shared" si="152"/>
        <v>7.6259064527801637E-2</v>
      </c>
      <c r="J129" s="7">
        <f t="shared" si="152"/>
        <v>6.6531238729995223E-2</v>
      </c>
      <c r="K129" s="7">
        <f t="shared" si="152"/>
        <v>7.127898464065531E-2</v>
      </c>
      <c r="L129" s="7">
        <f t="shared" ref="L129:L130" si="153">AVERAGE(F129:K129)</f>
        <v>7.833611001981923E-2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 t="e">
        <f>(B101-B103)/((B62)/1)</f>
        <v>#DIV/0!</v>
      </c>
      <c r="C130" s="7">
        <f t="shared" ref="C130:E130" si="154">(C101-C103)/((C62+B62)/2)</f>
        <v>0.30264064293915038</v>
      </c>
      <c r="D130" s="7">
        <f t="shared" si="154"/>
        <v>0.15829611068743871</v>
      </c>
      <c r="E130" s="7">
        <f t="shared" si="154"/>
        <v>0.15075780387433504</v>
      </c>
      <c r="F130" s="7">
        <f>(F101-F103)/((F62+E62)/2)</f>
        <v>0.14890065340773598</v>
      </c>
      <c r="G130" s="7">
        <f t="shared" ref="G130:K130" si="155">(G101-G103)/((G62+F62)/2)</f>
        <v>0.13952855847688123</v>
      </c>
      <c r="H130" s="7">
        <f t="shared" si="155"/>
        <v>0.14194308806196329</v>
      </c>
      <c r="I130" s="7">
        <f t="shared" si="155"/>
        <v>0.13070418144265616</v>
      </c>
      <c r="J130" s="7">
        <f t="shared" si="155"/>
        <v>0.10935172031461142</v>
      </c>
      <c r="K130" s="7">
        <f t="shared" si="155"/>
        <v>0.11756016495352989</v>
      </c>
      <c r="L130" s="7">
        <f t="shared" si="153"/>
        <v>0.13133139444289632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 t="e">
        <f>B78/B11</f>
        <v>#DIV/0!</v>
      </c>
      <c r="C133" s="1">
        <f t="shared" ref="C133:F133" si="156">C78/((B11+C11)/2)</f>
        <v>0</v>
      </c>
      <c r="D133" s="1">
        <f t="shared" si="156"/>
        <v>37.732876712328768</v>
      </c>
      <c r="E133" s="1">
        <f t="shared" si="156"/>
        <v>34.547864506627391</v>
      </c>
      <c r="F133" s="1">
        <f t="shared" si="156"/>
        <v>47.557894736842108</v>
      </c>
      <c r="G133" s="1">
        <f t="shared" ref="G133" si="157">G78/((F11+G11)/2)</f>
        <v>77.810298102981037</v>
      </c>
      <c r="H133" s="1">
        <f t="shared" ref="H133" si="158">H78/((G11+H11)/2)</f>
        <v>70.426605504587158</v>
      </c>
      <c r="I133" s="1">
        <f t="shared" ref="I133" si="159">I78/((H11+I11)/2)</f>
        <v>43.414448669201519</v>
      </c>
      <c r="J133" s="1">
        <f t="shared" ref="J133" si="160">J78/((I11+J11)/2)</f>
        <v>25.128491620111731</v>
      </c>
      <c r="K133" s="1">
        <f t="shared" ref="K133" si="161">K78/((J11+K11)/2)</f>
        <v>27.974358974358974</v>
      </c>
      <c r="L133" s="12">
        <f t="shared" ref="L133:L137" si="162">AVERAGE(F133:K133)</f>
        <v>48.718682934680423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 t="e">
        <f>B78/B12</f>
        <v>#DIV/0!</v>
      </c>
      <c r="C134" s="1">
        <f t="shared" ref="C134:F134" si="163">C78/((B12+C12)/2)</f>
        <v>0</v>
      </c>
      <c r="D134" s="1">
        <f t="shared" si="163"/>
        <v>7.4120417087117394</v>
      </c>
      <c r="E134" s="1">
        <f t="shared" si="163"/>
        <v>7.1583765639304238</v>
      </c>
      <c r="F134" s="1">
        <f t="shared" si="163"/>
        <v>6.5972256023363345</v>
      </c>
      <c r="G134" s="1">
        <f t="shared" ref="G134" si="164">G78/((F12+G12)/2)</f>
        <v>6.6202444085773573</v>
      </c>
      <c r="H134" s="1">
        <f t="shared" ref="H134" si="165">H78/((G12+H12)/2)</f>
        <v>7.0201188843164148</v>
      </c>
      <c r="I134" s="1">
        <f t="shared" ref="I134" si="166">I78/((H12+I12)/2)</f>
        <v>7.3966745843230406</v>
      </c>
      <c r="J134" s="1">
        <f t="shared" ref="J134" si="167">J78/((I12+J12)/2)</f>
        <v>7.28</v>
      </c>
      <c r="K134" s="1">
        <f t="shared" ref="K134" si="168">K78/((J12+K12)/2)</f>
        <v>8.6011332840601131</v>
      </c>
      <c r="L134" s="12">
        <f t="shared" si="162"/>
        <v>7.2525661272688771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 t="e">
        <f>B78/(B15-B48)</f>
        <v>#DIV/0!</v>
      </c>
      <c r="C135" s="1">
        <f t="shared" ref="C135:F135" si="169">C78/((B15+C15-B48-C48)/2)</f>
        <v>0</v>
      </c>
      <c r="D135" s="1">
        <f t="shared" si="169"/>
        <v>-8.8426966292134832</v>
      </c>
      <c r="E135" s="1">
        <f t="shared" si="169"/>
        <v>-31.194148936170212</v>
      </c>
      <c r="F135" s="1">
        <f t="shared" si="169"/>
        <v>-20.199701937406857</v>
      </c>
      <c r="G135" s="1">
        <f t="shared" ref="G135" si="170">G78/((F15+G15-F48-G48)/2)</f>
        <v>-8.5224102107450275</v>
      </c>
      <c r="H135" s="1">
        <f t="shared" ref="H135" si="171">H78/((G15+H15-G48-H48)/2)</f>
        <v>-9.4976801732137339</v>
      </c>
      <c r="I135" s="1">
        <f t="shared" ref="I135" si="172">I78/((H15+I15-H48-I48)/2)</f>
        <v>-44.659713168187743</v>
      </c>
      <c r="J135" s="1">
        <f t="shared" ref="J135" si="173">J78/((I15+J15-I48-J48)/2)</f>
        <v>98.087227414330215</v>
      </c>
      <c r="K135" s="1">
        <f t="shared" ref="K135" si="174">K78/((J15+K15-J48-K48)/2)</f>
        <v>-87.28</v>
      </c>
      <c r="L135" s="12">
        <f t="shared" si="162"/>
        <v>-12.012046345870525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 t="e">
        <f>B78/(B26)</f>
        <v>#DIV/0!</v>
      </c>
      <c r="C136" s="1">
        <f t="shared" ref="C136:F136" si="175">C78/((B26+C26)/2)</f>
        <v>0</v>
      </c>
      <c r="D136" s="1">
        <f t="shared" si="175"/>
        <v>0.39515116737797223</v>
      </c>
      <c r="E136" s="1">
        <f t="shared" si="175"/>
        <v>0.39060210470227785</v>
      </c>
      <c r="F136" s="1">
        <f t="shared" si="175"/>
        <v>0.43401966121233471</v>
      </c>
      <c r="G136" s="1">
        <f t="shared" ref="G136" si="176">G78/((F26+G26)/2)</f>
        <v>0.43876646596778629</v>
      </c>
      <c r="H136" s="1">
        <f t="shared" ref="H136" si="177">H78/((G26+H26)/2)</f>
        <v>0.44330551785868971</v>
      </c>
      <c r="I136" s="1">
        <f t="shared" ref="I136" si="178">I78/((H26+I26)/2)</f>
        <v>0.46574299427576926</v>
      </c>
      <c r="J136" s="1">
        <f t="shared" ref="J136" si="179">J78/((I26+J26)/2)</f>
        <v>0.4083999169866141</v>
      </c>
      <c r="K136" s="1">
        <f t="shared" ref="K136" si="180">K78/((J26+K26)/2)</f>
        <v>0.42978136694898561</v>
      </c>
      <c r="L136" s="12">
        <f t="shared" si="162"/>
        <v>0.43666932054169655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 t="e">
        <f>B78/B38</f>
        <v>#DIV/0!</v>
      </c>
      <c r="C137" s="1">
        <f t="shared" ref="C137:F137" si="181">C78/((B38+C38)/2)</f>
        <v>0</v>
      </c>
      <c r="D137" s="1">
        <f t="shared" si="181"/>
        <v>0.32900846559266617</v>
      </c>
      <c r="E137" s="1">
        <f t="shared" si="181"/>
        <v>0.32520482996686678</v>
      </c>
      <c r="F137" s="1">
        <f t="shared" si="181"/>
        <v>0.35282174094127444</v>
      </c>
      <c r="G137" s="1">
        <f t="shared" ref="G137" si="182">G78/((F38+G38)/2)</f>
        <v>0.34703571644406839</v>
      </c>
      <c r="H137" s="1">
        <f t="shared" ref="H137" si="183">H78/((G38+H38)/2)</f>
        <v>0.34638510045461213</v>
      </c>
      <c r="I137" s="1">
        <f t="shared" ref="I137" si="184">I78/((H38+I38)/2)</f>
        <v>0.36387779383020313</v>
      </c>
      <c r="J137" s="1">
        <f t="shared" ref="J137" si="185">J78/((I38+J38)/2)</f>
        <v>0.31362744414451205</v>
      </c>
      <c r="K137" s="1">
        <f t="shared" ref="K137" si="186">K78/((J38+K38)/2)</f>
        <v>0.3260426978464297</v>
      </c>
      <c r="L137" s="12">
        <f t="shared" si="162"/>
        <v>0.34163174894351661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 t="e">
        <f t="shared" ref="B145:K145" si="187">(B$42+B$50)/(B$42+B$50+B$57+B$62)</f>
        <v>#DIV/0!</v>
      </c>
      <c r="C145" s="7">
        <f t="shared" si="187"/>
        <v>0.58536248561565019</v>
      </c>
      <c r="D145" s="7">
        <f t="shared" si="187"/>
        <v>0.55975695051582441</v>
      </c>
      <c r="E145" s="7">
        <f t="shared" si="187"/>
        <v>0.55341765893453088</v>
      </c>
      <c r="F145" s="7">
        <f t="shared" si="187"/>
        <v>0.54917705337168421</v>
      </c>
      <c r="G145" s="7">
        <f>(G$42+G$50)/(G$42+G$50+G$57+G$62)</f>
        <v>0.5346827469657397</v>
      </c>
      <c r="H145" s="7">
        <f t="shared" si="187"/>
        <v>0.53223789342041272</v>
      </c>
      <c r="I145" s="7">
        <f t="shared" si="187"/>
        <v>0.54836274417287911</v>
      </c>
      <c r="J145" s="7">
        <f t="shared" si="187"/>
        <v>0.54664242699693222</v>
      </c>
      <c r="K145" s="7">
        <f t="shared" si="187"/>
        <v>0.52954625874411387</v>
      </c>
      <c r="L145" s="7">
        <f t="shared" ref="L145:L148" si="188">AVERAGE(F145:K145)</f>
        <v>0.54010818727862697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 t="e">
        <f t="shared" ref="B146:K146" si="189">B$57/(B$42+B$50+B$57+B$62)</f>
        <v>#DIV/0!</v>
      </c>
      <c r="C146" s="7">
        <f t="shared" si="189"/>
        <v>1.3716915995397008E-2</v>
      </c>
      <c r="D146" s="7">
        <f t="shared" si="189"/>
        <v>1.8490994929183425E-2</v>
      </c>
      <c r="E146" s="7">
        <f t="shared" si="189"/>
        <v>2.3114004367351983E-2</v>
      </c>
      <c r="F146" s="7">
        <f t="shared" si="189"/>
        <v>2.3809523809523808E-2</v>
      </c>
      <c r="G146" s="7">
        <f>G$57/(G$42+G$50+G$57+G$62)</f>
        <v>2.8575818098018128E-2</v>
      </c>
      <c r="H146" s="7">
        <f t="shared" si="189"/>
        <v>3.7518238032376847E-2</v>
      </c>
      <c r="I146" s="7">
        <f t="shared" si="189"/>
        <v>3.4034789720361107E-2</v>
      </c>
      <c r="J146" s="7">
        <f t="shared" si="189"/>
        <v>1.0652198613793887E-2</v>
      </c>
      <c r="K146" s="7">
        <f t="shared" si="189"/>
        <v>1.0207136830071586E-2</v>
      </c>
      <c r="L146" s="7">
        <f t="shared" si="188"/>
        <v>2.4132950850690893E-2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 t="e">
        <f t="shared" ref="B147:K147" si="190">B$62/(B$42+B$50+B$57+B$62)</f>
        <v>#DIV/0!</v>
      </c>
      <c r="C147" s="16">
        <f t="shared" si="190"/>
        <v>0.40092059838895283</v>
      </c>
      <c r="D147" s="16">
        <f t="shared" si="190"/>
        <v>0.42175205455499215</v>
      </c>
      <c r="E147" s="16">
        <f t="shared" si="190"/>
        <v>0.42346833669811712</v>
      </c>
      <c r="F147" s="16">
        <f t="shared" si="190"/>
        <v>0.42701342281879195</v>
      </c>
      <c r="G147" s="16">
        <f>G$62/(G$42+G$50+G$57+G$62)</f>
        <v>0.43674143493624212</v>
      </c>
      <c r="H147" s="16">
        <f t="shared" si="190"/>
        <v>0.43024386854721047</v>
      </c>
      <c r="I147" s="16">
        <f t="shared" si="190"/>
        <v>0.41760246610675977</v>
      </c>
      <c r="J147" s="16">
        <f t="shared" si="190"/>
        <v>0.44270537438927393</v>
      </c>
      <c r="K147" s="16">
        <f t="shared" si="190"/>
        <v>0.46024660442581455</v>
      </c>
      <c r="L147" s="7">
        <f t="shared" si="188"/>
        <v>0.43575886187068208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 t="e">
        <f>SUM(B145:B147)</f>
        <v>#DIV/0!</v>
      </c>
      <c r="C148" s="7">
        <f t="shared" ref="C148:J148" si="191">SUM(C145:C147)</f>
        <v>1</v>
      </c>
      <c r="D148" s="7">
        <f t="shared" si="191"/>
        <v>1</v>
      </c>
      <c r="E148" s="7">
        <f t="shared" si="191"/>
        <v>1</v>
      </c>
      <c r="F148" s="7">
        <f t="shared" si="191"/>
        <v>1</v>
      </c>
      <c r="G148" s="7">
        <f t="shared" si="191"/>
        <v>1</v>
      </c>
      <c r="H148" s="7">
        <f t="shared" si="191"/>
        <v>1</v>
      </c>
      <c r="I148" s="7">
        <f t="shared" si="191"/>
        <v>1</v>
      </c>
      <c r="J148" s="7">
        <f t="shared" si="191"/>
        <v>1</v>
      </c>
      <c r="K148" s="7">
        <f t="shared" ref="K148" si="192">SUM(K145:K147)</f>
        <v>1</v>
      </c>
      <c r="L148" s="7">
        <f t="shared" si="188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 t="e">
        <f t="shared" ref="B151:K151" si="193">B$43/(B$43+B$42+B$50+B$57+B$62)</f>
        <v>#DIV/0!</v>
      </c>
      <c r="C151" s="7">
        <f t="shared" si="193"/>
        <v>4.4298785852542669E-2</v>
      </c>
      <c r="D151" s="7">
        <f t="shared" si="193"/>
        <v>2.4227947449240745E-2</v>
      </c>
      <c r="E151" s="7">
        <f t="shared" si="193"/>
        <v>1.7249058590112158E-2</v>
      </c>
      <c r="F151" s="7">
        <f t="shared" si="193"/>
        <v>4.7850893875998481E-2</v>
      </c>
      <c r="G151" s="7">
        <f>G$43/(G$43+G$42+G$50+G$57+G$62)</f>
        <v>6.937841798620295E-2</v>
      </c>
      <c r="H151" s="7">
        <f t="shared" si="193"/>
        <v>4.2318184842637566E-2</v>
      </c>
      <c r="I151" s="7">
        <f t="shared" si="193"/>
        <v>2.9104568775958954E-2</v>
      </c>
      <c r="J151" s="7">
        <f t="shared" si="193"/>
        <v>1.782774879334877E-2</v>
      </c>
      <c r="K151" s="7">
        <f t="shared" si="193"/>
        <v>3.4099274371647913E-2</v>
      </c>
      <c r="L151" s="7">
        <f t="shared" ref="L151:L155" si="194">AVERAGE(F151:K151)</f>
        <v>4.0096514774299104E-2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 t="e">
        <f t="shared" ref="B152:K152" si="195">(B$42+B$50)/(B$43+B$42+B$50+B$57+B$62)</f>
        <v>#DIV/0!</v>
      </c>
      <c r="C152" s="7">
        <f t="shared" si="195"/>
        <v>0.55943163821925035</v>
      </c>
      <c r="D152" s="7">
        <f t="shared" si="195"/>
        <v>0.54619518853437976</v>
      </c>
      <c r="E152" s="7">
        <f t="shared" si="195"/>
        <v>0.54387172531076644</v>
      </c>
      <c r="F152" s="7">
        <f t="shared" si="195"/>
        <v>0.52289844047166223</v>
      </c>
      <c r="G152" s="7">
        <f>(G$42+G$50)/(G$43+G$42+G$50+G$57+G$62)</f>
        <v>0.49758730385673944</v>
      </c>
      <c r="H152" s="7">
        <f t="shared" si="195"/>
        <v>0.5097145518663917</v>
      </c>
      <c r="I152" s="7">
        <f t="shared" si="195"/>
        <v>0.53240288297092597</v>
      </c>
      <c r="J152" s="7">
        <f t="shared" si="195"/>
        <v>0.5368970231286444</v>
      </c>
      <c r="K152" s="7">
        <f t="shared" si="195"/>
        <v>0.51148911557471866</v>
      </c>
      <c r="L152" s="7">
        <f t="shared" si="194"/>
        <v>0.5184982196448471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 t="e">
        <f t="shared" ref="B153:K153" si="196">B$57/(B$43+B$42+B$50+B$57+B$62)</f>
        <v>#DIV/0!</v>
      </c>
      <c r="C153" s="7">
        <f t="shared" si="196"/>
        <v>1.3109273271159599E-2</v>
      </c>
      <c r="D153" s="7">
        <f t="shared" si="196"/>
        <v>1.8042996075754991E-2</v>
      </c>
      <c r="E153" s="7">
        <f t="shared" si="196"/>
        <v>2.2715309551767419E-2</v>
      </c>
      <c r="F153" s="7">
        <f t="shared" si="196"/>
        <v>2.2670216812476225E-2</v>
      </c>
      <c r="G153" s="7">
        <f>G$57/(G$43+G$42+G$50+G$57+G$62)</f>
        <v>2.6593273045716122E-2</v>
      </c>
      <c r="H153" s="7">
        <f t="shared" si="196"/>
        <v>3.5930534300352653E-2</v>
      </c>
      <c r="I153" s="7">
        <f t="shared" si="196"/>
        <v>3.3044221842169555E-2</v>
      </c>
      <c r="J153" s="7">
        <f t="shared" si="196"/>
        <v>1.0462293892810311E-2</v>
      </c>
      <c r="K153" s="7">
        <f t="shared" si="196"/>
        <v>9.8590808707540219E-3</v>
      </c>
      <c r="L153" s="7">
        <f t="shared" si="194"/>
        <v>2.3093270127379814E-2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 t="e">
        <f t="shared" ref="B154:K154" si="197">B$62/(B$43+B$42+B$50+B$57+B$62)</f>
        <v>#DIV/0!</v>
      </c>
      <c r="C154" s="16">
        <f t="shared" si="197"/>
        <v>0.38316030265704731</v>
      </c>
      <c r="D154" s="16">
        <f t="shared" si="197"/>
        <v>0.41153386794062446</v>
      </c>
      <c r="E154" s="16">
        <f t="shared" si="197"/>
        <v>0.41616390654735391</v>
      </c>
      <c r="F154" s="16">
        <f t="shared" si="197"/>
        <v>0.40658044883986305</v>
      </c>
      <c r="G154" s="16">
        <f>G$62/(G$43+G$42+G$50+G$57+G$62)</f>
        <v>0.40644100511134146</v>
      </c>
      <c r="H154" s="16">
        <f t="shared" si="197"/>
        <v>0.41203672899061816</v>
      </c>
      <c r="I154" s="16">
        <f t="shared" si="197"/>
        <v>0.40544832641094553</v>
      </c>
      <c r="J154" s="16">
        <f t="shared" si="197"/>
        <v>0.43481293418519656</v>
      </c>
      <c r="K154" s="16">
        <f t="shared" si="197"/>
        <v>0.44455252918287935</v>
      </c>
      <c r="L154" s="7">
        <f t="shared" si="194"/>
        <v>0.41831199545347414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 t="e">
        <f>SUM(B151:B154)</f>
        <v>#DIV/0!</v>
      </c>
      <c r="C155" s="7">
        <f t="shared" ref="C155:J155" si="198">SUM(C151:C154)</f>
        <v>1</v>
      </c>
      <c r="D155" s="7">
        <f t="shared" si="198"/>
        <v>1</v>
      </c>
      <c r="E155" s="7">
        <f t="shared" si="198"/>
        <v>0.99999999999999989</v>
      </c>
      <c r="F155" s="7">
        <f t="shared" si="198"/>
        <v>1</v>
      </c>
      <c r="G155" s="7">
        <f t="shared" si="198"/>
        <v>1</v>
      </c>
      <c r="H155" s="7">
        <f t="shared" si="198"/>
        <v>1</v>
      </c>
      <c r="I155" s="7">
        <f t="shared" si="198"/>
        <v>1</v>
      </c>
      <c r="J155" s="7">
        <f t="shared" si="198"/>
        <v>1</v>
      </c>
      <c r="K155" s="7">
        <f t="shared" ref="K155" si="199">SUM(K151:K154)</f>
        <v>1</v>
      </c>
      <c r="L155" s="7">
        <f t="shared" si="194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61"/>
  <sheetViews>
    <sheetView topLeftCell="A67" zoomScaleNormal="100" workbookViewId="0">
      <pane xSplit="3" topLeftCell="K1" activePane="topRight" state="frozen"/>
      <selection pane="topRight" activeCell="L39" sqref="L39"/>
    </sheetView>
  </sheetViews>
  <sheetFormatPr defaultRowHeight="15"/>
  <cols>
    <col min="1" max="1" width="25.7109375" customWidth="1"/>
    <col min="2" max="3" width="9.140625" hidden="1" customWidth="1"/>
    <col min="4" max="4" width="9.5703125" hidden="1" customWidth="1"/>
    <col min="5" max="5" width="9.140625" hidden="1" customWidth="1"/>
    <col min="6" max="11" width="10.7109375" customWidth="1"/>
    <col min="12" max="12" width="10.5703125" bestFit="1" customWidth="1"/>
    <col min="13" max="13" width="8.42578125" customWidth="1"/>
    <col min="14" max="14" width="32.28515625" bestFit="1" customWidth="1"/>
    <col min="15" max="18" width="9.140625" hidden="1" customWidth="1"/>
    <col min="19" max="24" width="10.7109375" customWidth="1"/>
    <col min="25" max="25" width="11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8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8" t="s">
        <v>0</v>
      </c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8" t="s">
        <v>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8" t="s">
        <v>2</v>
      </c>
    </row>
    <row r="3" spans="1:26">
      <c r="A3" s="20" t="s">
        <v>127</v>
      </c>
      <c r="B3" s="2"/>
      <c r="C3" s="2"/>
      <c r="D3" s="2"/>
      <c r="E3" s="2"/>
      <c r="F3" s="2"/>
      <c r="G3" s="2"/>
      <c r="H3" s="2"/>
      <c r="I3" s="2"/>
      <c r="J3" s="2"/>
      <c r="K3" s="2"/>
      <c r="L3" s="10"/>
      <c r="M3" s="1"/>
      <c r="N3" s="2" t="str">
        <f>A3</f>
        <v>Wisconsin Energy</v>
      </c>
      <c r="O3" s="2"/>
      <c r="P3" s="2"/>
      <c r="Q3" s="2"/>
      <c r="R3" s="2"/>
      <c r="S3" s="2"/>
      <c r="T3" s="2"/>
      <c r="U3" s="2"/>
      <c r="V3" s="2"/>
      <c r="W3" s="2"/>
      <c r="X3" s="2"/>
      <c r="Y3" s="10"/>
    </row>
    <row r="4" spans="1:26">
      <c r="A4" s="2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10"/>
      <c r="M4" s="1"/>
      <c r="N4" s="2" t="s">
        <v>5</v>
      </c>
      <c r="O4" s="2"/>
      <c r="P4" s="2"/>
      <c r="Q4" s="2"/>
      <c r="R4" s="2"/>
      <c r="S4" s="2"/>
      <c r="T4" s="2"/>
      <c r="U4" s="2"/>
      <c r="V4" s="2"/>
      <c r="W4" s="2"/>
      <c r="X4" s="2"/>
      <c r="Y4" s="10"/>
    </row>
    <row r="5" spans="1:26">
      <c r="A5" s="2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10"/>
      <c r="M5" s="1"/>
      <c r="N5" s="2" t="s">
        <v>4</v>
      </c>
      <c r="O5" s="2"/>
      <c r="P5" s="2"/>
      <c r="Q5" s="2"/>
      <c r="R5" s="2"/>
      <c r="S5" s="2"/>
      <c r="T5" s="2"/>
      <c r="U5" s="2"/>
      <c r="V5" s="2"/>
      <c r="W5" s="2"/>
      <c r="X5" s="2"/>
      <c r="Y5" s="10"/>
    </row>
    <row r="6" spans="1:26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65" t="s">
        <v>182</v>
      </c>
      <c r="M6" s="1"/>
      <c r="N6" s="2" t="str">
        <f>A5</f>
        <v>Fiscal Years Ended December 31</v>
      </c>
      <c r="O6" s="2"/>
      <c r="P6" s="2"/>
      <c r="Q6" s="2"/>
      <c r="R6" s="2"/>
      <c r="S6" s="2"/>
      <c r="T6" s="2"/>
      <c r="U6" s="2"/>
      <c r="V6" s="2"/>
      <c r="W6" s="2"/>
      <c r="X6" s="2"/>
      <c r="Y6" s="10"/>
    </row>
    <row r="7" spans="1:26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10" t="s">
        <v>7</v>
      </c>
      <c r="M7" s="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10" t="str">
        <f>L6</f>
        <v>2005-2010</v>
      </c>
    </row>
    <row r="8" spans="1:26">
      <c r="A8" s="2" t="s">
        <v>8</v>
      </c>
      <c r="B8" s="4">
        <v>2001</v>
      </c>
      <c r="C8" s="4">
        <f t="shared" ref="C8:H8" si="0">B8+1</f>
        <v>2002</v>
      </c>
      <c r="D8" s="4">
        <f t="shared" si="0"/>
        <v>2003</v>
      </c>
      <c r="E8" s="4">
        <f t="shared" si="0"/>
        <v>2004</v>
      </c>
      <c r="F8" s="4">
        <f t="shared" si="0"/>
        <v>2005</v>
      </c>
      <c r="G8" s="4">
        <f t="shared" si="0"/>
        <v>2006</v>
      </c>
      <c r="H8" s="4">
        <f t="shared" si="0"/>
        <v>2007</v>
      </c>
      <c r="I8" s="4">
        <f>H8+1</f>
        <v>2008</v>
      </c>
      <c r="J8" s="161">
        <v>2009</v>
      </c>
      <c r="K8" s="181">
        <v>2010</v>
      </c>
      <c r="L8" s="10" t="s">
        <v>9</v>
      </c>
      <c r="M8" s="1"/>
      <c r="N8" s="2" t="s">
        <v>8</v>
      </c>
      <c r="O8" s="5">
        <f>B8</f>
        <v>2001</v>
      </c>
      <c r="P8" s="5">
        <f t="shared" ref="P8:T8" si="1">O8+1</f>
        <v>2002</v>
      </c>
      <c r="Q8" s="5">
        <f t="shared" si="1"/>
        <v>2003</v>
      </c>
      <c r="R8" s="5">
        <f t="shared" si="1"/>
        <v>2004</v>
      </c>
      <c r="S8" s="5">
        <f t="shared" si="1"/>
        <v>2005</v>
      </c>
      <c r="T8" s="5">
        <f t="shared" si="1"/>
        <v>2006</v>
      </c>
      <c r="U8" s="5">
        <f>T8+1</f>
        <v>2007</v>
      </c>
      <c r="V8" s="5">
        <f>U8+1</f>
        <v>2008</v>
      </c>
      <c r="W8" s="5">
        <f>J8</f>
        <v>2009</v>
      </c>
      <c r="X8" s="5">
        <f>K8</f>
        <v>2010</v>
      </c>
      <c r="Y8" s="10" t="s">
        <v>10</v>
      </c>
    </row>
    <row r="9" spans="1:26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11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>
      <c r="A11" s="1" t="s">
        <v>12</v>
      </c>
      <c r="B11" s="1"/>
      <c r="C11" s="6"/>
      <c r="D11" s="11">
        <v>28.1</v>
      </c>
      <c r="E11" s="11">
        <v>35.6</v>
      </c>
      <c r="F11" s="11">
        <v>73.2</v>
      </c>
      <c r="G11" s="11">
        <v>37</v>
      </c>
      <c r="H11" s="11">
        <f>27.4+408.1</f>
        <v>435.5</v>
      </c>
      <c r="I11" s="11">
        <f>32.5+214.1</f>
        <v>246.6</v>
      </c>
      <c r="J11" s="11">
        <f>20.2+194.5</f>
        <v>214.7</v>
      </c>
      <c r="K11" s="11">
        <f>24.5+8.3</f>
        <v>32.799999999999997</v>
      </c>
      <c r="L11" s="7">
        <f>RATE(5,,-F11,K11)</f>
        <v>-0.14832764086179251</v>
      </c>
      <c r="M11" s="1"/>
      <c r="N11" s="1" t="str">
        <f>A11</f>
        <v>Cash &amp; Equivalents</v>
      </c>
      <c r="O11" s="7" t="e">
        <f t="shared" ref="O11:X15" si="2">B11/B$38</f>
        <v>#DIV/0!</v>
      </c>
      <c r="P11" s="7" t="e">
        <f t="shared" si="2"/>
        <v>#DIV/0!</v>
      </c>
      <c r="Q11" s="7">
        <f t="shared" si="2"/>
        <v>2.8059313994707675E-3</v>
      </c>
      <c r="R11" s="7">
        <f t="shared" si="2"/>
        <v>3.7217471302820587E-3</v>
      </c>
      <c r="S11" s="7">
        <f t="shared" si="2"/>
        <v>6.9967501433760267E-3</v>
      </c>
      <c r="T11" s="7">
        <f t="shared" si="2"/>
        <v>3.3242888717183883E-3</v>
      </c>
      <c r="U11" s="7">
        <f t="shared" si="2"/>
        <v>3.7157751934677435E-2</v>
      </c>
      <c r="V11" s="7">
        <f t="shared" si="2"/>
        <v>1.9543819049279588E-2</v>
      </c>
      <c r="W11" s="7">
        <f t="shared" si="2"/>
        <v>1.6908307672922292E-2</v>
      </c>
      <c r="X11" s="7">
        <f t="shared" si="2"/>
        <v>2.5115239130767699E-3</v>
      </c>
      <c r="Y11" s="7">
        <f>SUM(F11:K11)/SUM(F$38:K$38)</f>
        <v>1.4504519584867759E-2</v>
      </c>
      <c r="Z11" s="189"/>
    </row>
    <row r="12" spans="1:26">
      <c r="A12" s="1" t="s">
        <v>13</v>
      </c>
      <c r="B12" s="1"/>
      <c r="C12" s="1"/>
      <c r="D12" s="11">
        <f>333.7+212.2</f>
        <v>545.9</v>
      </c>
      <c r="E12" s="11">
        <f>345.7+245.1</f>
        <v>590.79999999999995</v>
      </c>
      <c r="F12" s="11">
        <f>441.8+262.9</f>
        <v>704.7</v>
      </c>
      <c r="G12" s="11">
        <f>379.3+257.8</f>
        <v>637.1</v>
      </c>
      <c r="H12" s="11">
        <f>361.8+312.2</f>
        <v>674</v>
      </c>
      <c r="I12" s="11">
        <f>369.5+341.2</f>
        <v>710.7</v>
      </c>
      <c r="J12" s="11">
        <v>298.7</v>
      </c>
      <c r="K12" s="11">
        <v>344.6</v>
      </c>
      <c r="L12" s="7">
        <f t="shared" ref="L12:L15" si="3">RATE(5,,-F12,K12)</f>
        <v>-0.13331316369147192</v>
      </c>
      <c r="M12" s="1"/>
      <c r="N12" s="1" t="str">
        <f>A12</f>
        <v>Accounts Receivable</v>
      </c>
      <c r="O12" s="7" t="e">
        <f t="shared" si="2"/>
        <v>#DIV/0!</v>
      </c>
      <c r="P12" s="7" t="e">
        <f t="shared" si="2"/>
        <v>#DIV/0!</v>
      </c>
      <c r="Q12" s="7">
        <f t="shared" si="2"/>
        <v>5.4510959109291525E-2</v>
      </c>
      <c r="R12" s="7">
        <f t="shared" si="2"/>
        <v>6.1764275409287639E-2</v>
      </c>
      <c r="S12" s="7">
        <f t="shared" si="2"/>
        <v>6.7358057732747084E-2</v>
      </c>
      <c r="T12" s="7">
        <f t="shared" si="2"/>
        <v>5.7240660545183383E-2</v>
      </c>
      <c r="U12" s="7">
        <f t="shared" si="2"/>
        <v>5.7507060399477825E-2</v>
      </c>
      <c r="V12" s="7">
        <f t="shared" si="2"/>
        <v>5.6325191396281442E-2</v>
      </c>
      <c r="W12" s="7">
        <f t="shared" si="2"/>
        <v>2.3523574764331107E-2</v>
      </c>
      <c r="X12" s="7">
        <f t="shared" si="2"/>
        <v>2.6386315257507776E-2</v>
      </c>
      <c r="Y12" s="7">
        <f t="shared" ref="Y12:Y15" si="4">SUM(F12:K12)/SUM(F$38:K$38)</f>
        <v>4.7006472491909382E-2</v>
      </c>
      <c r="Z12" s="189"/>
    </row>
    <row r="13" spans="1:26">
      <c r="A13" s="1" t="s">
        <v>14</v>
      </c>
      <c r="B13" s="6"/>
      <c r="C13" s="6"/>
      <c r="D13" s="11">
        <v>385.6</v>
      </c>
      <c r="E13" s="11">
        <v>403.1</v>
      </c>
      <c r="F13" s="11">
        <v>451.6</v>
      </c>
      <c r="G13" s="11">
        <v>417.2</v>
      </c>
      <c r="H13" s="11">
        <v>361.3</v>
      </c>
      <c r="I13" s="11">
        <v>344.7</v>
      </c>
      <c r="J13" s="11">
        <v>378.1</v>
      </c>
      <c r="K13" s="11">
        <v>379.1</v>
      </c>
      <c r="L13" s="7">
        <f t="shared" si="3"/>
        <v>-3.4393967638263481E-2</v>
      </c>
      <c r="M13" s="1"/>
      <c r="N13" s="1" t="str">
        <f>A13</f>
        <v>Material, Supplies, Fuel</v>
      </c>
      <c r="O13" s="7" t="e">
        <f t="shared" si="2"/>
        <v>#DIV/0!</v>
      </c>
      <c r="P13" s="7" t="e">
        <f t="shared" si="2"/>
        <v>#DIV/0!</v>
      </c>
      <c r="Q13" s="7">
        <f t="shared" si="2"/>
        <v>3.8504168955015232E-2</v>
      </c>
      <c r="R13" s="7">
        <f t="shared" si="2"/>
        <v>4.2141468208334205E-2</v>
      </c>
      <c r="S13" s="7">
        <f t="shared" si="2"/>
        <v>4.3165742687822591E-2</v>
      </c>
      <c r="T13" s="7">
        <f t="shared" si="2"/>
        <v>3.7483603169754368E-2</v>
      </c>
      <c r="U13" s="7">
        <f t="shared" si="2"/>
        <v>3.0826855967850651E-2</v>
      </c>
      <c r="V13" s="7">
        <f t="shared" si="2"/>
        <v>2.7318549984941903E-2</v>
      </c>
      <c r="W13" s="7">
        <f t="shared" si="2"/>
        <v>2.9776577229305632E-2</v>
      </c>
      <c r="X13" s="7">
        <f t="shared" si="2"/>
        <v>2.902800961729889E-2</v>
      </c>
      <c r="Y13" s="7">
        <f t="shared" si="4"/>
        <v>3.2529851579064836E-2</v>
      </c>
      <c r="Z13" s="189"/>
    </row>
    <row r="14" spans="1:26">
      <c r="A14" s="1" t="s">
        <v>15</v>
      </c>
      <c r="B14" s="6"/>
      <c r="C14" s="6"/>
      <c r="D14" s="11">
        <f>56.5+111.7+938</f>
        <v>1106.2</v>
      </c>
      <c r="E14" s="11">
        <f>136.8+54.2</f>
        <v>191</v>
      </c>
      <c r="F14" s="11">
        <v>147.5</v>
      </c>
      <c r="G14" s="11">
        <f>16.9+136.7</f>
        <v>153.6</v>
      </c>
      <c r="H14" s="11">
        <f>164.7+214.2</f>
        <v>378.9</v>
      </c>
      <c r="I14" s="11">
        <f>82.5+323</f>
        <v>405.5</v>
      </c>
      <c r="J14" s="11">
        <f>1529.3-891.5</f>
        <v>637.79999999999995</v>
      </c>
      <c r="K14" s="11">
        <f>1331.1-756.5</f>
        <v>574.59999999999991</v>
      </c>
      <c r="L14" s="7">
        <f t="shared" si="3"/>
        <v>0.31254656657967356</v>
      </c>
      <c r="M14" s="1"/>
      <c r="N14" s="1" t="str">
        <f>A14</f>
        <v>Other Current Assets</v>
      </c>
      <c r="O14" s="7" t="e">
        <f t="shared" si="2"/>
        <v>#DIV/0!</v>
      </c>
      <c r="P14" s="7" t="e">
        <f t="shared" si="2"/>
        <v>#DIV/0!</v>
      </c>
      <c r="Q14" s="7">
        <f t="shared" si="2"/>
        <v>0.11045983324179939</v>
      </c>
      <c r="R14" s="7">
        <f t="shared" si="2"/>
        <v>1.996780061471554E-2</v>
      </c>
      <c r="S14" s="7">
        <f t="shared" si="2"/>
        <v>1.4098642706939397E-2</v>
      </c>
      <c r="T14" s="7">
        <f t="shared" si="2"/>
        <v>1.3800291099890389E-2</v>
      </c>
      <c r="U14" s="7">
        <f t="shared" si="2"/>
        <v>3.2328524013890428E-2</v>
      </c>
      <c r="V14" s="7">
        <f t="shared" si="2"/>
        <v>3.2137139596443119E-2</v>
      </c>
      <c r="W14" s="7">
        <f t="shared" si="2"/>
        <v>5.0228777986911215E-2</v>
      </c>
      <c r="X14" s="7">
        <f t="shared" si="2"/>
        <v>4.399761098944853E-2</v>
      </c>
      <c r="Y14" s="7">
        <f t="shared" si="4"/>
        <v>3.2054179221069075E-2</v>
      </c>
      <c r="Z14" s="189"/>
    </row>
    <row r="15" spans="1:26">
      <c r="A15" s="1" t="s">
        <v>16</v>
      </c>
      <c r="B15" s="1">
        <f>SUM(B10:B14)</f>
        <v>0</v>
      </c>
      <c r="C15" s="1">
        <f>SUM(C11:C14)</f>
        <v>0</v>
      </c>
      <c r="D15" s="11">
        <f t="shared" ref="D15:I15" si="5">SUM(D10:D14)</f>
        <v>2065.8000000000002</v>
      </c>
      <c r="E15" s="11">
        <f t="shared" si="5"/>
        <v>1220.5</v>
      </c>
      <c r="F15" s="11">
        <f t="shared" si="5"/>
        <v>1377</v>
      </c>
      <c r="G15" s="11">
        <f t="shared" si="5"/>
        <v>1244.8999999999999</v>
      </c>
      <c r="H15" s="11">
        <f t="shared" si="5"/>
        <v>1849.6999999999998</v>
      </c>
      <c r="I15" s="11">
        <f t="shared" si="5"/>
        <v>1707.5</v>
      </c>
      <c r="J15" s="11">
        <f t="shared" ref="J15:K15" si="6">SUM(J10:J14)</f>
        <v>1529.3</v>
      </c>
      <c r="K15" s="11">
        <f t="shared" si="6"/>
        <v>1331.1</v>
      </c>
      <c r="L15" s="7">
        <f t="shared" si="3"/>
        <v>-6.7573758944980593E-3</v>
      </c>
      <c r="M15" s="1"/>
      <c r="N15" s="1" t="str">
        <f>A15</f>
        <v>Total Current Assets</v>
      </c>
      <c r="O15" s="7" t="e">
        <f t="shared" si="2"/>
        <v>#DIV/0!</v>
      </c>
      <c r="P15" s="7" t="e">
        <f t="shared" si="2"/>
        <v>#DIV/0!</v>
      </c>
      <c r="Q15" s="7">
        <f t="shared" si="2"/>
        <v>0.20628089270557692</v>
      </c>
      <c r="R15" s="7">
        <f t="shared" si="2"/>
        <v>0.12759529136261943</v>
      </c>
      <c r="S15" s="7">
        <f t="shared" si="2"/>
        <v>0.13161919327088509</v>
      </c>
      <c r="T15" s="7">
        <f t="shared" si="2"/>
        <v>0.11184884368654652</v>
      </c>
      <c r="U15" s="7">
        <f t="shared" si="2"/>
        <v>0.15782019231589631</v>
      </c>
      <c r="V15" s="7">
        <f t="shared" si="2"/>
        <v>0.13532470002694605</v>
      </c>
      <c r="W15" s="7">
        <f t="shared" si="2"/>
        <v>0.12043723765347024</v>
      </c>
      <c r="X15" s="7">
        <f t="shared" si="2"/>
        <v>0.10192345977733197</v>
      </c>
      <c r="Y15" s="7">
        <f t="shared" si="4"/>
        <v>0.12609502287691107</v>
      </c>
      <c r="Z15" s="189"/>
    </row>
    <row r="16" spans="1:26">
      <c r="A16" s="1"/>
      <c r="B16" s="1"/>
      <c r="C16" s="1"/>
      <c r="D16" s="11"/>
      <c r="E16" s="11"/>
      <c r="F16" s="11"/>
      <c r="G16" s="11"/>
      <c r="H16" s="11"/>
      <c r="I16" s="11"/>
      <c r="J16" s="11"/>
      <c r="K16" s="11"/>
      <c r="L16" s="7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7"/>
      <c r="Z16" s="189"/>
    </row>
    <row r="17" spans="1:26">
      <c r="A17" s="1" t="s">
        <v>17</v>
      </c>
      <c r="B17" s="1"/>
      <c r="C17" s="1"/>
      <c r="D17" s="11"/>
      <c r="E17" s="11"/>
      <c r="F17" s="11"/>
      <c r="G17" s="11"/>
      <c r="H17" s="11"/>
      <c r="I17" s="11"/>
      <c r="J17" s="11"/>
      <c r="K17" s="11"/>
      <c r="L17" s="7"/>
      <c r="M17" s="1"/>
      <c r="N17" s="1" t="s">
        <v>17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89"/>
    </row>
    <row r="18" spans="1:26">
      <c r="A18" s="1" t="s">
        <v>18</v>
      </c>
      <c r="B18" s="1"/>
      <c r="C18" s="1"/>
      <c r="D18" s="11">
        <v>8342.4</v>
      </c>
      <c r="E18" s="11">
        <v>8170.7</v>
      </c>
      <c r="F18" s="11">
        <v>8849.6</v>
      </c>
      <c r="G18" s="11">
        <v>9265.4</v>
      </c>
      <c r="H18" s="11">
        <v>8959.1</v>
      </c>
      <c r="I18" s="11">
        <v>9909.4</v>
      </c>
      <c r="J18" s="136">
        <v>10192.1</v>
      </c>
      <c r="K18" s="136">
        <v>11590.8</v>
      </c>
      <c r="L18" s="7">
        <f t="shared" ref="L18:L19" si="7">RATE(5,,-F18,K18)</f>
        <v>5.5450704699532949E-2</v>
      </c>
      <c r="M18" s="1"/>
      <c r="N18" s="1" t="str">
        <f>A18</f>
        <v xml:space="preserve">  Domestic Electric Plant in Service</v>
      </c>
      <c r="O18" s="7" t="e">
        <f t="shared" ref="O18:X22" si="8">B18/B$38</f>
        <v>#DIV/0!</v>
      </c>
      <c r="P18" s="7" t="e">
        <f t="shared" si="8"/>
        <v>#DIV/0!</v>
      </c>
      <c r="Q18" s="7">
        <f t="shared" si="8"/>
        <v>0.83303210344999745</v>
      </c>
      <c r="R18" s="7">
        <f t="shared" si="8"/>
        <v>0.85419323812909032</v>
      </c>
      <c r="S18" s="7">
        <f t="shared" si="8"/>
        <v>0.84588032880902297</v>
      </c>
      <c r="T18" s="7">
        <f t="shared" si="8"/>
        <v>0.83245584086539326</v>
      </c>
      <c r="U18" s="7">
        <f t="shared" si="8"/>
        <v>0.76440876086789589</v>
      </c>
      <c r="V18" s="7">
        <f t="shared" si="8"/>
        <v>0.78535085355608736</v>
      </c>
      <c r="W18" s="7">
        <f t="shared" si="8"/>
        <v>0.80266028240890219</v>
      </c>
      <c r="X18" s="7">
        <f t="shared" si="8"/>
        <v>0.88751741986860444</v>
      </c>
      <c r="Y18" s="7">
        <f t="shared" ref="Y18:Y22" si="9">SUM(F18:K18)/SUM(F$38:K$38)</f>
        <v>0.81975225979243382</v>
      </c>
      <c r="Z18" s="189"/>
    </row>
    <row r="19" spans="1:26">
      <c r="A19" s="1" t="s">
        <v>19</v>
      </c>
      <c r="B19" s="1"/>
      <c r="C19" s="1"/>
      <c r="D19" s="11">
        <v>296.2</v>
      </c>
      <c r="E19" s="11">
        <v>602.20000000000005</v>
      </c>
      <c r="F19" s="11">
        <v>596.6</v>
      </c>
      <c r="G19" s="11">
        <v>992.4</v>
      </c>
      <c r="H19" s="11">
        <v>1764.1</v>
      </c>
      <c r="I19" s="11">
        <v>1829.9</v>
      </c>
      <c r="J19" s="136">
        <v>2185.1</v>
      </c>
      <c r="K19" s="136">
        <v>1569.9</v>
      </c>
      <c r="L19" s="7">
        <f t="shared" si="7"/>
        <v>0.21349432060103091</v>
      </c>
      <c r="M19" s="1"/>
      <c r="N19" s="1" t="str">
        <f>A19</f>
        <v xml:space="preserve">  Electric Construction Work in Progress</v>
      </c>
      <c r="O19" s="7" t="e">
        <f t="shared" si="8"/>
        <v>#DIV/0!</v>
      </c>
      <c r="P19" s="7" t="e">
        <f t="shared" si="8"/>
        <v>#DIV/0!</v>
      </c>
      <c r="Q19" s="7">
        <f t="shared" si="8"/>
        <v>2.9577113185880473E-2</v>
      </c>
      <c r="R19" s="7">
        <f t="shared" si="8"/>
        <v>6.2956070838647626E-2</v>
      </c>
      <c r="S19" s="7">
        <f t="shared" si="8"/>
        <v>5.7025425348881657E-2</v>
      </c>
      <c r="T19" s="7">
        <f t="shared" si="8"/>
        <v>8.9162818278198067E-2</v>
      </c>
      <c r="U19" s="7">
        <f t="shared" si="8"/>
        <v>0.1505166250010665</v>
      </c>
      <c r="V19" s="7">
        <f t="shared" si="8"/>
        <v>0.14502528174483664</v>
      </c>
      <c r="W19" s="7">
        <f t="shared" si="8"/>
        <v>0.17208357287425477</v>
      </c>
      <c r="X19" s="7">
        <f t="shared" si="8"/>
        <v>0.12020857899814701</v>
      </c>
      <c r="Y19" s="7">
        <f t="shared" si="9"/>
        <v>0.12467916527173306</v>
      </c>
      <c r="Z19" s="189"/>
    </row>
    <row r="20" spans="1:26">
      <c r="A20" s="9" t="s">
        <v>20</v>
      </c>
      <c r="B20" s="1"/>
      <c r="C20" s="1"/>
      <c r="D20" s="11">
        <v>78.400000000000006</v>
      </c>
      <c r="E20" s="11">
        <v>85</v>
      </c>
      <c r="F20" s="11">
        <v>112</v>
      </c>
      <c r="G20" s="11">
        <v>130.9</v>
      </c>
      <c r="H20" s="11"/>
      <c r="I20" s="11"/>
      <c r="J20" s="136"/>
      <c r="K20" s="136"/>
      <c r="L20" s="7"/>
      <c r="M20" s="1"/>
      <c r="N20" s="1" t="str">
        <f>A20</f>
        <v>Other Regulated PP &amp; E</v>
      </c>
      <c r="O20" s="7" t="e">
        <f t="shared" si="8"/>
        <v>#DIV/0!</v>
      </c>
      <c r="P20" s="7" t="e">
        <f t="shared" si="8"/>
        <v>#DIV/0!</v>
      </c>
      <c r="Q20" s="7">
        <f t="shared" si="8"/>
        <v>7.8286484597333873E-3</v>
      </c>
      <c r="R20" s="7">
        <f>E20/E$38</f>
        <v>8.8861939908419941E-3</v>
      </c>
      <c r="S20" s="7">
        <f t="shared" si="8"/>
        <v>1.0705410055438729E-2</v>
      </c>
      <c r="T20" s="7">
        <f t="shared" si="8"/>
        <v>1.1760794954268568E-2</v>
      </c>
      <c r="U20" s="7">
        <f t="shared" si="8"/>
        <v>0</v>
      </c>
      <c r="V20" s="7">
        <f t="shared" si="8"/>
        <v>0</v>
      </c>
      <c r="W20" s="7">
        <f t="shared" si="8"/>
        <v>0</v>
      </c>
      <c r="X20" s="7">
        <f t="shared" si="8"/>
        <v>0</v>
      </c>
      <c r="Y20" s="7">
        <f t="shared" si="9"/>
        <v>3.3882937172190603E-3</v>
      </c>
      <c r="Z20" s="189"/>
    </row>
    <row r="21" spans="1:26">
      <c r="A21" s="1" t="s">
        <v>21</v>
      </c>
      <c r="B21" s="1"/>
      <c r="C21" s="1"/>
      <c r="D21" s="11">
        <v>104.6</v>
      </c>
      <c r="E21" s="11">
        <v>98.9</v>
      </c>
      <c r="F21" s="11">
        <v>93.2</v>
      </c>
      <c r="G21" s="11">
        <v>87.5</v>
      </c>
      <c r="H21" s="11">
        <v>81.900000000000006</v>
      </c>
      <c r="I21" s="11">
        <v>76.2</v>
      </c>
      <c r="J21" s="136">
        <v>70.5</v>
      </c>
      <c r="K21" s="136">
        <v>64.8</v>
      </c>
      <c r="L21" s="7">
        <f t="shared" ref="L21:L22" si="10">RATE(5,,-F21,K21)</f>
        <v>-7.0109483221851274E-2</v>
      </c>
      <c r="M21" s="1"/>
      <c r="N21" s="1" t="str">
        <f>A21</f>
        <v>Other PP&amp;E</v>
      </c>
      <c r="O21" s="7" t="e">
        <f t="shared" si="8"/>
        <v>#DIV/0!</v>
      </c>
      <c r="P21" s="7" t="e">
        <f t="shared" si="8"/>
        <v>#DIV/0!</v>
      </c>
      <c r="Q21" s="7">
        <f t="shared" si="8"/>
        <v>1.0444854960307554E-2</v>
      </c>
      <c r="R21" s="7">
        <f>E21/E$38</f>
        <v>1.0339348066991449E-2</v>
      </c>
      <c r="S21" s="7">
        <f t="shared" si="8"/>
        <v>8.9084305104186572E-3</v>
      </c>
      <c r="T21" s="7">
        <f t="shared" si="8"/>
        <v>7.8614939533880792E-3</v>
      </c>
      <c r="U21" s="7">
        <f t="shared" si="8"/>
        <v>6.9878757369691898E-3</v>
      </c>
      <c r="V21" s="7">
        <f t="shared" si="8"/>
        <v>6.0390876380985586E-3</v>
      </c>
      <c r="W21" s="7">
        <f t="shared" si="8"/>
        <v>5.5520991660038266E-3</v>
      </c>
      <c r="X21" s="7">
        <f t="shared" si="8"/>
        <v>4.9617911453467894E-3</v>
      </c>
      <c r="Y21" s="7">
        <f t="shared" si="9"/>
        <v>6.613380203102333E-3</v>
      </c>
      <c r="Z21" s="189"/>
    </row>
    <row r="22" spans="1:26">
      <c r="A22" s="1" t="s">
        <v>22</v>
      </c>
      <c r="B22" s="1">
        <f t="shared" ref="B22:K22" si="11">SUM(B18:B21)</f>
        <v>0</v>
      </c>
      <c r="C22" s="1">
        <f>SUM(C18:C21)</f>
        <v>0</v>
      </c>
      <c r="D22" s="11">
        <f t="shared" ref="D22:I22" si="12">SUM(D18:D21)</f>
        <v>8821.6</v>
      </c>
      <c r="E22" s="11">
        <f t="shared" si="12"/>
        <v>8956.7999999999993</v>
      </c>
      <c r="F22" s="11">
        <f t="shared" si="12"/>
        <v>9651.4000000000015</v>
      </c>
      <c r="G22" s="11">
        <f t="shared" si="12"/>
        <v>10476.199999999999</v>
      </c>
      <c r="H22" s="11">
        <f t="shared" si="12"/>
        <v>10805.1</v>
      </c>
      <c r="I22" s="11">
        <f t="shared" si="12"/>
        <v>11815.5</v>
      </c>
      <c r="J22" s="11">
        <f t="shared" si="11"/>
        <v>12447.7</v>
      </c>
      <c r="K22" s="11">
        <f t="shared" si="11"/>
        <v>13225.499999999998</v>
      </c>
      <c r="L22" s="7">
        <f t="shared" si="10"/>
        <v>6.5036169261875859E-2</v>
      </c>
      <c r="M22" s="1"/>
      <c r="N22" s="1" t="s">
        <v>23</v>
      </c>
      <c r="O22" s="7" t="e">
        <f t="shared" si="8"/>
        <v>#DIV/0!</v>
      </c>
      <c r="P22" s="7" t="e">
        <f t="shared" si="8"/>
        <v>#DIV/0!</v>
      </c>
      <c r="Q22" s="7">
        <f t="shared" si="8"/>
        <v>0.88088272005591894</v>
      </c>
      <c r="R22" s="7">
        <f>E22/E$38</f>
        <v>0.93637485102557128</v>
      </c>
      <c r="S22" s="7">
        <f t="shared" si="8"/>
        <v>0.92251959472376222</v>
      </c>
      <c r="T22" s="7">
        <f t="shared" si="8"/>
        <v>0.94124094805124792</v>
      </c>
      <c r="U22" s="7">
        <f t="shared" si="8"/>
        <v>0.92191326160593157</v>
      </c>
      <c r="V22" s="7">
        <f t="shared" si="8"/>
        <v>0.93641522293902257</v>
      </c>
      <c r="W22" s="7">
        <f t="shared" si="8"/>
        <v>0.98029595444916084</v>
      </c>
      <c r="X22" s="7">
        <f t="shared" si="8"/>
        <v>1.0126877900120981</v>
      </c>
      <c r="Y22" s="7">
        <f t="shared" si="9"/>
        <v>0.95443309898448825</v>
      </c>
      <c r="Z22" s="189"/>
    </row>
    <row r="23" spans="1:26">
      <c r="A23" s="1"/>
      <c r="B23" s="1"/>
      <c r="C23" s="1"/>
      <c r="D23" s="11"/>
      <c r="E23" s="11"/>
      <c r="F23" s="11"/>
      <c r="G23" s="11"/>
      <c r="H23" s="11"/>
      <c r="I23" s="11"/>
      <c r="J23" s="11"/>
      <c r="K23" s="11"/>
      <c r="L23" s="7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7"/>
      <c r="Z23" s="189"/>
    </row>
    <row r="24" spans="1:26">
      <c r="A24" s="1" t="s">
        <v>24</v>
      </c>
      <c r="B24" s="1"/>
      <c r="C24" s="1"/>
      <c r="D24" s="11">
        <v>3021.3</v>
      </c>
      <c r="E24" s="11">
        <v>3090.4</v>
      </c>
      <c r="F24" s="11">
        <v>3288.5</v>
      </c>
      <c r="G24" s="11">
        <v>3423.7</v>
      </c>
      <c r="H24" s="11">
        <v>3123.9</v>
      </c>
      <c r="I24" s="11">
        <v>3312.9</v>
      </c>
      <c r="J24" s="11">
        <v>3431.9</v>
      </c>
      <c r="K24" s="11">
        <v>3624</v>
      </c>
      <c r="L24" s="7">
        <f>RATE(5,,-F24,K24)</f>
        <v>1.9619349504413828E-2</v>
      </c>
      <c r="M24" s="2"/>
      <c r="N24" s="1" t="str">
        <f>A24</f>
        <v>Accumulated Depreciation &amp; Amort.</v>
      </c>
      <c r="O24" s="7" t="e">
        <f t="shared" ref="O24:X24" si="13">B24/B$38</f>
        <v>#DIV/0!</v>
      </c>
      <c r="P24" s="7" t="e">
        <f t="shared" si="13"/>
        <v>#DIV/0!</v>
      </c>
      <c r="Q24" s="7">
        <f t="shared" si="13"/>
        <v>0.30169254580857757</v>
      </c>
      <c r="R24" s="7">
        <f t="shared" si="13"/>
        <v>0.32308110481527175</v>
      </c>
      <c r="S24" s="7">
        <f t="shared" si="13"/>
        <v>0.31432804435098444</v>
      </c>
      <c r="T24" s="7">
        <f t="shared" si="13"/>
        <v>0.30760453540816879</v>
      </c>
      <c r="U24" s="7">
        <f t="shared" si="13"/>
        <v>0.26653754596725338</v>
      </c>
      <c r="V24" s="7">
        <f t="shared" si="13"/>
        <v>0.26255765664378894</v>
      </c>
      <c r="W24" s="7">
        <f t="shared" si="13"/>
        <v>0.27027303727387991</v>
      </c>
      <c r="X24" s="7">
        <f t="shared" si="13"/>
        <v>0.27749276405457973</v>
      </c>
      <c r="Y24" s="7">
        <f>SUM(F24:K24)/SUM(F$38:K$38)</f>
        <v>0.28184493918089498</v>
      </c>
      <c r="Z24" s="189"/>
    </row>
    <row r="25" spans="1:26">
      <c r="A25" s="1"/>
      <c r="B25" s="1"/>
      <c r="C25" s="1"/>
      <c r="D25" s="11"/>
      <c r="E25" s="11"/>
      <c r="F25" s="11"/>
      <c r="G25" s="11"/>
      <c r="H25" s="11"/>
      <c r="I25" s="11"/>
      <c r="J25" s="11"/>
      <c r="K25" s="11"/>
      <c r="L25" s="7"/>
      <c r="M25" s="1"/>
      <c r="N25" s="1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189"/>
    </row>
    <row r="26" spans="1:26">
      <c r="A26" s="1" t="s">
        <v>25</v>
      </c>
      <c r="B26" s="1">
        <f t="shared" ref="B26:K26" si="14">B22-B24</f>
        <v>0</v>
      </c>
      <c r="C26" s="1">
        <f t="shared" si="14"/>
        <v>0</v>
      </c>
      <c r="D26" s="11">
        <f t="shared" si="14"/>
        <v>5800.3</v>
      </c>
      <c r="E26" s="11">
        <f t="shared" si="14"/>
        <v>5866.4</v>
      </c>
      <c r="F26" s="11">
        <f t="shared" si="14"/>
        <v>6362.9000000000015</v>
      </c>
      <c r="G26" s="11">
        <f t="shared" si="14"/>
        <v>7052.4999999999991</v>
      </c>
      <c r="H26" s="11">
        <f t="shared" si="14"/>
        <v>7681.2000000000007</v>
      </c>
      <c r="I26" s="11">
        <f t="shared" si="14"/>
        <v>8502.6</v>
      </c>
      <c r="J26" s="137">
        <f t="shared" si="14"/>
        <v>9015.8000000000011</v>
      </c>
      <c r="K26" s="137">
        <f t="shared" si="14"/>
        <v>9601.4999999999982</v>
      </c>
      <c r="L26" s="7">
        <f>RATE(5,,-F26,K26)</f>
        <v>8.5767399464463157E-2</v>
      </c>
      <c r="M26" s="1"/>
      <c r="N26" s="1" t="s">
        <v>23</v>
      </c>
      <c r="O26" s="7" t="e">
        <f t="shared" ref="O26:X26" si="15">B26/B$38</f>
        <v>#DIV/0!</v>
      </c>
      <c r="P26" s="7" t="e">
        <f t="shared" si="15"/>
        <v>#DIV/0!</v>
      </c>
      <c r="Q26" s="7">
        <f t="shared" si="15"/>
        <v>0.57919017424734143</v>
      </c>
      <c r="R26" s="7">
        <f t="shared" si="15"/>
        <v>0.61329374621029964</v>
      </c>
      <c r="S26" s="7">
        <f t="shared" si="15"/>
        <v>0.60819155037277772</v>
      </c>
      <c r="T26" s="7">
        <f t="shared" si="15"/>
        <v>0.63363641264307913</v>
      </c>
      <c r="U26" s="7">
        <f t="shared" si="15"/>
        <v>0.65537571563867825</v>
      </c>
      <c r="V26" s="7">
        <f t="shared" si="15"/>
        <v>0.67385756629523363</v>
      </c>
      <c r="W26" s="7">
        <f t="shared" si="15"/>
        <v>0.71002291717528099</v>
      </c>
      <c r="X26" s="7">
        <f t="shared" si="15"/>
        <v>0.7351950259575184</v>
      </c>
      <c r="Y26" s="7">
        <f>SUM(F26:K26)/SUM(F$38:K$38)</f>
        <v>0.67258815980359343</v>
      </c>
      <c r="Z26" s="189"/>
    </row>
    <row r="27" spans="1:26">
      <c r="A27" s="1"/>
      <c r="B27" s="1"/>
      <c r="C27" s="1"/>
      <c r="D27" s="11"/>
      <c r="E27" s="11"/>
      <c r="F27" s="11"/>
      <c r="G27" s="11"/>
      <c r="H27" s="11"/>
      <c r="I27" s="11"/>
      <c r="J27" s="11"/>
      <c r="K27" s="11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7"/>
      <c r="Z27" s="189"/>
    </row>
    <row r="28" spans="1:26">
      <c r="A28" s="1" t="s">
        <v>26</v>
      </c>
      <c r="B28" s="1"/>
      <c r="C28" s="1"/>
      <c r="D28" s="11"/>
      <c r="E28" s="11"/>
      <c r="F28" s="11"/>
      <c r="G28" s="11"/>
      <c r="H28" s="11"/>
      <c r="I28" s="11"/>
      <c r="J28" s="11"/>
      <c r="K28" s="11"/>
      <c r="L28" s="7"/>
      <c r="M28" s="1"/>
      <c r="N28" s="1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189"/>
    </row>
    <row r="29" spans="1:26">
      <c r="A29" s="1" t="s">
        <v>27</v>
      </c>
      <c r="B29" s="1"/>
      <c r="C29" s="1"/>
      <c r="D29" s="11">
        <v>612.29999999999995</v>
      </c>
      <c r="E29" s="11">
        <v>849.4</v>
      </c>
      <c r="F29" s="11">
        <v>1025.5999999999999</v>
      </c>
      <c r="G29" s="11">
        <v>1074</v>
      </c>
      <c r="H29" s="11">
        <v>961.6</v>
      </c>
      <c r="I29" s="11">
        <v>1261.0999999999999</v>
      </c>
      <c r="J29" s="11">
        <v>1180.5</v>
      </c>
      <c r="K29" s="11">
        <v>1090.0999999999999</v>
      </c>
      <c r="L29" s="7">
        <f t="shared" ref="L29:L30" si="16">RATE(5,,-F29,K29)</f>
        <v>1.227302860877085E-2</v>
      </c>
      <c r="M29" s="1"/>
      <c r="N29" s="1" t="s">
        <v>27</v>
      </c>
      <c r="O29" s="7" t="e">
        <f t="shared" ref="O29:X36" si="17">B29/B$38</f>
        <v>#DIV/0!</v>
      </c>
      <c r="P29" s="7" t="e">
        <f t="shared" si="17"/>
        <v>#DIV/0!</v>
      </c>
      <c r="Q29" s="7">
        <f t="shared" si="17"/>
        <v>6.1141345049677963E-2</v>
      </c>
      <c r="R29" s="7">
        <f t="shared" si="17"/>
        <v>8.8799213833190463E-2</v>
      </c>
      <c r="S29" s="7">
        <f t="shared" si="17"/>
        <v>9.8030969221946068E-2</v>
      </c>
      <c r="T29" s="7">
        <f t="shared" si="17"/>
        <v>9.6494222925014833E-2</v>
      </c>
      <c r="U29" s="7">
        <f t="shared" si="17"/>
        <v>8.2045681424536915E-2</v>
      </c>
      <c r="V29" s="7">
        <f t="shared" si="17"/>
        <v>9.9946107879345034E-2</v>
      </c>
      <c r="W29" s="7">
        <f t="shared" si="17"/>
        <v>9.2968128588191742E-2</v>
      </c>
      <c r="X29" s="7">
        <f t="shared" si="17"/>
        <v>8.3469884684298376E-2</v>
      </c>
      <c r="Y29" s="7">
        <f t="shared" ref="Y29:Y36" si="18">SUM(F29:K29)/SUM(F$38:K$38)</f>
        <v>9.1966577390916182E-2</v>
      </c>
      <c r="Z29" s="189"/>
    </row>
    <row r="30" spans="1:26">
      <c r="A30" s="1" t="s">
        <v>28</v>
      </c>
      <c r="B30" s="1"/>
      <c r="C30" s="1"/>
      <c r="D30" s="11">
        <v>441.9</v>
      </c>
      <c r="E30" s="11">
        <v>441.9</v>
      </c>
      <c r="F30" s="11">
        <v>441.9</v>
      </c>
      <c r="G30" s="11">
        <v>441.9</v>
      </c>
      <c r="H30" s="11">
        <v>441.9</v>
      </c>
      <c r="I30" s="11">
        <v>441.9</v>
      </c>
      <c r="J30" s="11">
        <v>441.9</v>
      </c>
      <c r="K30" s="11">
        <v>441.9</v>
      </c>
      <c r="L30" s="7">
        <f t="shared" si="16"/>
        <v>2.5278490275558506E-16</v>
      </c>
      <c r="M30" s="1"/>
      <c r="N30" s="1" t="str">
        <f>A30</f>
        <v>Intangible Assets-net</v>
      </c>
      <c r="O30" s="7" t="e">
        <f t="shared" si="17"/>
        <v>#DIV/0!</v>
      </c>
      <c r="P30" s="7" t="e">
        <f t="shared" si="17"/>
        <v>#DIV/0!</v>
      </c>
      <c r="Q30" s="7">
        <f t="shared" si="17"/>
        <v>4.4126017274951315E-2</v>
      </c>
      <c r="R30" s="7">
        <f t="shared" si="17"/>
        <v>4.6197754406506787E-2</v>
      </c>
      <c r="S30" s="7">
        <f t="shared" si="17"/>
        <v>4.2238577709806914E-2</v>
      </c>
      <c r="T30" s="7">
        <f t="shared" si="17"/>
        <v>3.9702790605739342E-2</v>
      </c>
      <c r="U30" s="7">
        <f t="shared" si="17"/>
        <v>3.7703813042328262E-2</v>
      </c>
      <c r="V30" s="7">
        <f t="shared" si="17"/>
        <v>3.5021953113855024E-2</v>
      </c>
      <c r="W30" s="7">
        <f t="shared" si="17"/>
        <v>3.4801030091589941E-2</v>
      </c>
      <c r="X30" s="7">
        <f t="shared" si="17"/>
        <v>3.3836659060628799E-2</v>
      </c>
      <c r="Y30" s="7">
        <f t="shared" si="18"/>
        <v>3.6985269501171744E-2</v>
      </c>
      <c r="Z30" s="189"/>
    </row>
    <row r="31" spans="1:26">
      <c r="A31" s="1" t="s">
        <v>29</v>
      </c>
      <c r="B31" s="1"/>
      <c r="C31" s="1"/>
      <c r="D31" s="11"/>
      <c r="E31" s="11"/>
      <c r="F31" s="11"/>
      <c r="G31" s="11"/>
      <c r="H31" s="11"/>
      <c r="I31" s="11"/>
      <c r="J31" s="11"/>
      <c r="K31" s="11"/>
      <c r="L31" s="7"/>
      <c r="M31" s="1"/>
      <c r="N31" s="1" t="str">
        <f t="shared" ref="N31:N36" si="19">A31</f>
        <v>Finance Assets</v>
      </c>
      <c r="O31" s="7" t="e">
        <f t="shared" si="17"/>
        <v>#DIV/0!</v>
      </c>
      <c r="P31" s="7" t="e">
        <f t="shared" si="17"/>
        <v>#DIV/0!</v>
      </c>
      <c r="Q31" s="7">
        <f t="shared" si="17"/>
        <v>0</v>
      </c>
      <c r="R31" s="7">
        <f t="shared" si="17"/>
        <v>0</v>
      </c>
      <c r="S31" s="7">
        <f t="shared" si="17"/>
        <v>0</v>
      </c>
      <c r="T31" s="7">
        <f t="shared" si="17"/>
        <v>0</v>
      </c>
      <c r="U31" s="7">
        <f t="shared" si="17"/>
        <v>0</v>
      </c>
      <c r="V31" s="7">
        <f t="shared" si="17"/>
        <v>0</v>
      </c>
      <c r="W31" s="7">
        <f t="shared" si="17"/>
        <v>0</v>
      </c>
      <c r="X31" s="7">
        <f t="shared" si="17"/>
        <v>0</v>
      </c>
      <c r="Y31" s="7">
        <f t="shared" si="18"/>
        <v>0</v>
      </c>
      <c r="Z31" s="189"/>
    </row>
    <row r="32" spans="1:26">
      <c r="A32" s="1" t="s">
        <v>30</v>
      </c>
      <c r="B32" s="1"/>
      <c r="C32" s="1"/>
      <c r="D32" s="11">
        <v>951.3</v>
      </c>
      <c r="E32" s="11">
        <v>1025.0999999999999</v>
      </c>
      <c r="F32" s="11">
        <v>1080</v>
      </c>
      <c r="G32" s="11">
        <v>1164.8</v>
      </c>
      <c r="H32" s="11">
        <v>604.70000000000005</v>
      </c>
      <c r="I32" s="11">
        <v>490.3</v>
      </c>
      <c r="J32" s="11">
        <v>358.7</v>
      </c>
      <c r="K32" s="11">
        <v>376.3</v>
      </c>
      <c r="L32" s="7">
        <f t="shared" ref="L32:L35" si="20">RATE(5,,-F32,K32)</f>
        <v>-0.19011735498020502</v>
      </c>
      <c r="M32" s="1"/>
      <c r="N32" s="1" t="str">
        <f t="shared" si="19"/>
        <v xml:space="preserve">Investments </v>
      </c>
      <c r="O32" s="7" t="e">
        <f t="shared" si="17"/>
        <v>#DIV/0!</v>
      </c>
      <c r="P32" s="7" t="e">
        <f t="shared" si="17"/>
        <v>#DIV/0!</v>
      </c>
      <c r="Q32" s="7">
        <f t="shared" si="17"/>
        <v>9.499226122122921E-2</v>
      </c>
      <c r="R32" s="7">
        <f t="shared" si="17"/>
        <v>0.10716749952955443</v>
      </c>
      <c r="S32" s="7">
        <f t="shared" si="17"/>
        <v>0.10323073982030202</v>
      </c>
      <c r="T32" s="7">
        <f t="shared" si="17"/>
        <v>0.10465220750750212</v>
      </c>
      <c r="U32" s="7">
        <f t="shared" si="17"/>
        <v>5.1594242468196203E-2</v>
      </c>
      <c r="V32" s="7">
        <f t="shared" si="17"/>
        <v>3.8857804054589544E-2</v>
      </c>
      <c r="W32" s="7">
        <f t="shared" si="17"/>
        <v>2.824876554390883E-2</v>
      </c>
      <c r="X32" s="7">
        <f t="shared" si="17"/>
        <v>2.8813611234475262E-2</v>
      </c>
      <c r="Y32" s="7">
        <f t="shared" si="18"/>
        <v>5.6840754380091507E-2</v>
      </c>
      <c r="Z32" s="189"/>
    </row>
    <row r="33" spans="1:26">
      <c r="A33" s="1" t="s">
        <v>31</v>
      </c>
      <c r="B33" s="1"/>
      <c r="C33" s="1"/>
      <c r="D33" s="11">
        <v>142.9</v>
      </c>
      <c r="E33" s="11">
        <v>162.1</v>
      </c>
      <c r="F33" s="11">
        <v>174.6</v>
      </c>
      <c r="G33" s="11">
        <f>152.1</f>
        <v>152.1</v>
      </c>
      <c r="H33" s="11">
        <f>181.2</f>
        <v>181.2</v>
      </c>
      <c r="I33" s="11">
        <v>214.4</v>
      </c>
      <c r="J33" s="11">
        <v>171.7</v>
      </c>
      <c r="K33" s="11">
        <v>218.9</v>
      </c>
      <c r="L33" s="7">
        <f t="shared" si="20"/>
        <v>4.6261644202849068E-2</v>
      </c>
      <c r="M33" s="1"/>
      <c r="N33" s="1" t="str">
        <f t="shared" si="19"/>
        <v>Deferred Charges and Other</v>
      </c>
      <c r="O33" s="7" t="e">
        <f t="shared" si="17"/>
        <v>#DIV/0!</v>
      </c>
      <c r="P33" s="7" t="e">
        <f t="shared" si="17"/>
        <v>#DIV/0!</v>
      </c>
      <c r="Q33" s="7">
        <f t="shared" si="17"/>
        <v>1.4269309501223227E-2</v>
      </c>
      <c r="R33" s="7">
        <f t="shared" si="17"/>
        <v>1.6946494657829259E-2</v>
      </c>
      <c r="S33" s="7">
        <f t="shared" si="17"/>
        <v>1.668896960428216E-2</v>
      </c>
      <c r="T33" s="7">
        <f t="shared" si="17"/>
        <v>1.3665522632118022E-2</v>
      </c>
      <c r="U33" s="7">
        <f t="shared" si="17"/>
        <v>1.5460355110364067E-2</v>
      </c>
      <c r="V33" s="7">
        <f t="shared" si="17"/>
        <v>1.699186863003059E-2</v>
      </c>
      <c r="W33" s="7">
        <f t="shared" si="17"/>
        <v>1.3521920947558256E-2</v>
      </c>
      <c r="X33" s="7">
        <f t="shared" si="17"/>
        <v>1.6761359285747103E-2</v>
      </c>
      <c r="Y33" s="7">
        <f t="shared" si="18"/>
        <v>1.552421604731615E-2</v>
      </c>
      <c r="Z33" s="189"/>
    </row>
    <row r="34" spans="1:26">
      <c r="A34" s="1" t="s">
        <v>32</v>
      </c>
      <c r="B34" s="1">
        <f t="shared" ref="B34:I34" si="21">SUM(B29:B33)</f>
        <v>0</v>
      </c>
      <c r="C34" s="1">
        <f t="shared" si="21"/>
        <v>0</v>
      </c>
      <c r="D34" s="11">
        <f t="shared" si="21"/>
        <v>2148.3999999999996</v>
      </c>
      <c r="E34" s="11">
        <f t="shared" si="21"/>
        <v>2478.4999999999995</v>
      </c>
      <c r="F34" s="11">
        <f t="shared" si="21"/>
        <v>2722.1</v>
      </c>
      <c r="G34" s="11">
        <f t="shared" si="21"/>
        <v>2832.7999999999997</v>
      </c>
      <c r="H34" s="11">
        <f t="shared" si="21"/>
        <v>2189.4</v>
      </c>
      <c r="I34" s="11">
        <f t="shared" si="21"/>
        <v>2407.7000000000003</v>
      </c>
      <c r="J34" s="11">
        <f>SUM(J29:J33)</f>
        <v>2152.8000000000002</v>
      </c>
      <c r="K34" s="11">
        <f>SUM(K29:K33)</f>
        <v>2127.1999999999998</v>
      </c>
      <c r="L34" s="7">
        <f t="shared" si="20"/>
        <v>-4.8122963677312822E-2</v>
      </c>
      <c r="M34" s="1"/>
      <c r="N34" s="1" t="str">
        <f t="shared" si="19"/>
        <v>Total Other Assets</v>
      </c>
      <c r="O34" s="7" t="e">
        <f t="shared" si="17"/>
        <v>#DIV/0!</v>
      </c>
      <c r="P34" s="7" t="e">
        <f t="shared" si="17"/>
        <v>#DIV/0!</v>
      </c>
      <c r="Q34" s="7">
        <f t="shared" si="17"/>
        <v>0.2145289330470817</v>
      </c>
      <c r="R34" s="7">
        <f t="shared" si="17"/>
        <v>0.25911096242708093</v>
      </c>
      <c r="S34" s="7">
        <f t="shared" si="17"/>
        <v>0.26018925635633716</v>
      </c>
      <c r="T34" s="7">
        <f t="shared" si="17"/>
        <v>0.2545147436703743</v>
      </c>
      <c r="U34" s="7">
        <f t="shared" si="17"/>
        <v>0.18680409204542545</v>
      </c>
      <c r="V34" s="7">
        <f t="shared" si="17"/>
        <v>0.19081773367782023</v>
      </c>
      <c r="W34" s="7">
        <f t="shared" si="17"/>
        <v>0.16953984517124879</v>
      </c>
      <c r="X34" s="7">
        <f t="shared" si="17"/>
        <v>0.16288151426514955</v>
      </c>
      <c r="Y34" s="7">
        <f t="shared" si="18"/>
        <v>0.20131681731949561</v>
      </c>
      <c r="Z34" s="189"/>
    </row>
    <row r="35" spans="1:26">
      <c r="A35" s="1" t="s">
        <v>33</v>
      </c>
      <c r="B35" s="1">
        <f t="shared" ref="B35:I35" si="22">B26+B34</f>
        <v>0</v>
      </c>
      <c r="C35" s="1">
        <f t="shared" si="22"/>
        <v>0</v>
      </c>
      <c r="D35" s="11">
        <f t="shared" si="22"/>
        <v>7948.7</v>
      </c>
      <c r="E35" s="11">
        <f t="shared" si="22"/>
        <v>8344.9</v>
      </c>
      <c r="F35" s="11">
        <f t="shared" si="22"/>
        <v>9085.0000000000018</v>
      </c>
      <c r="G35" s="11">
        <f t="shared" si="22"/>
        <v>9885.2999999999993</v>
      </c>
      <c r="H35" s="11">
        <f t="shared" si="22"/>
        <v>9870.6</v>
      </c>
      <c r="I35" s="11">
        <f t="shared" si="22"/>
        <v>10910.300000000001</v>
      </c>
      <c r="J35" s="11">
        <f>J26+J34</f>
        <v>11168.600000000002</v>
      </c>
      <c r="K35" s="11">
        <f>K26+K34</f>
        <v>11728.699999999997</v>
      </c>
      <c r="L35" s="7">
        <f t="shared" si="20"/>
        <v>5.2410056112289022E-2</v>
      </c>
      <c r="M35" s="1"/>
      <c r="N35" s="1" t="str">
        <f t="shared" si="19"/>
        <v>Total Non-Current Assets</v>
      </c>
      <c r="O35" s="7" t="e">
        <f t="shared" si="17"/>
        <v>#DIV/0!</v>
      </c>
      <c r="P35" s="7" t="e">
        <f t="shared" si="17"/>
        <v>#DIV/0!</v>
      </c>
      <c r="Q35" s="7">
        <f t="shared" si="17"/>
        <v>0.79371910729442308</v>
      </c>
      <c r="R35" s="7">
        <f t="shared" si="17"/>
        <v>0.87240470863738051</v>
      </c>
      <c r="S35" s="7">
        <f t="shared" si="17"/>
        <v>0.86838080672911488</v>
      </c>
      <c r="T35" s="7">
        <f t="shared" si="17"/>
        <v>0.88815115631345354</v>
      </c>
      <c r="U35" s="7">
        <f t="shared" si="17"/>
        <v>0.84217980768410361</v>
      </c>
      <c r="V35" s="7">
        <f t="shared" si="17"/>
        <v>0.86467529997305392</v>
      </c>
      <c r="W35" s="7">
        <f t="shared" si="17"/>
        <v>0.87956276234652986</v>
      </c>
      <c r="X35" s="7">
        <f t="shared" si="17"/>
        <v>0.89807654022266781</v>
      </c>
      <c r="Y35" s="7">
        <f t="shared" si="18"/>
        <v>0.8739049771230889</v>
      </c>
      <c r="Z35" s="189"/>
    </row>
    <row r="36" spans="1:26">
      <c r="A36" s="1" t="s">
        <v>34</v>
      </c>
      <c r="B36" s="1"/>
      <c r="C36" s="1"/>
      <c r="D36" s="11"/>
      <c r="E36" s="11"/>
      <c r="F36" s="11"/>
      <c r="G36" s="11"/>
      <c r="H36" s="11"/>
      <c r="I36" s="11"/>
      <c r="J36" s="11"/>
      <c r="K36" s="11"/>
      <c r="L36" s="7"/>
      <c r="M36" s="1"/>
      <c r="N36" s="1" t="str">
        <f t="shared" si="19"/>
        <v xml:space="preserve"> Electric Assets</v>
      </c>
      <c r="O36" s="7" t="e">
        <f>B36/B$38</f>
        <v>#DIV/0!</v>
      </c>
      <c r="P36" s="7" t="e">
        <f t="shared" si="17"/>
        <v>#DIV/0!</v>
      </c>
      <c r="Q36" s="7">
        <f t="shared" si="17"/>
        <v>0</v>
      </c>
      <c r="R36" s="7">
        <f t="shared" si="17"/>
        <v>0</v>
      </c>
      <c r="S36" s="7">
        <f t="shared" si="17"/>
        <v>0</v>
      </c>
      <c r="T36" s="7">
        <f t="shared" si="17"/>
        <v>0</v>
      </c>
      <c r="U36" s="7">
        <f t="shared" si="17"/>
        <v>0</v>
      </c>
      <c r="V36" s="7">
        <f t="shared" si="17"/>
        <v>0</v>
      </c>
      <c r="W36" s="7">
        <f t="shared" si="17"/>
        <v>0</v>
      </c>
      <c r="X36" s="7">
        <f t="shared" si="17"/>
        <v>0</v>
      </c>
      <c r="Y36" s="7">
        <f t="shared" si="18"/>
        <v>0</v>
      </c>
      <c r="Z36" s="189"/>
    </row>
    <row r="37" spans="1:26">
      <c r="A37" s="1" t="s">
        <v>35</v>
      </c>
      <c r="B37" s="1"/>
      <c r="C37" s="1"/>
      <c r="D37" s="11"/>
      <c r="E37" s="11"/>
      <c r="F37" s="11"/>
      <c r="G37" s="11"/>
      <c r="H37" s="11"/>
      <c r="I37" s="11"/>
      <c r="J37" s="11"/>
      <c r="K37" s="11"/>
      <c r="L37" s="7"/>
      <c r="M37" s="1"/>
      <c r="N37" s="1" t="str">
        <f t="shared" ref="N37" si="23">A37</f>
        <v>Other Regulated Assets</v>
      </c>
      <c r="O37" s="7" t="e">
        <f>B37/B$38</f>
        <v>#DIV/0!</v>
      </c>
      <c r="P37" s="7" t="e">
        <f t="shared" ref="P37" si="24">C37/C$38</f>
        <v>#DIV/0!</v>
      </c>
      <c r="Q37" s="7">
        <f t="shared" ref="Q37" si="25">D37/D$38</f>
        <v>0</v>
      </c>
      <c r="R37" s="7">
        <f t="shared" ref="R37" si="26">E37/E$38</f>
        <v>0</v>
      </c>
      <c r="S37" s="7">
        <f t="shared" ref="S37" si="27">F37/F$38</f>
        <v>0</v>
      </c>
      <c r="T37" s="7">
        <f t="shared" ref="T37" si="28">G37/G$38</f>
        <v>0</v>
      </c>
      <c r="U37" s="7">
        <f t="shared" ref="U37" si="29">H37/H$38</f>
        <v>0</v>
      </c>
      <c r="V37" s="7">
        <f t="shared" ref="V37" si="30">I37/I$38</f>
        <v>0</v>
      </c>
      <c r="W37" s="7">
        <f t="shared" ref="W37" si="31">J37/J$38</f>
        <v>0</v>
      </c>
      <c r="X37" s="7">
        <f t="shared" ref="X37" si="32">K37/K$38</f>
        <v>0</v>
      </c>
      <c r="Y37" s="7">
        <f t="shared" ref="Y37" si="33">SUM(F37:K37)/SUM(F$38:K$38)</f>
        <v>0</v>
      </c>
      <c r="Z37" s="189"/>
    </row>
    <row r="38" spans="1:26">
      <c r="A38" s="1" t="s">
        <v>36</v>
      </c>
      <c r="B38" s="1">
        <f t="shared" ref="B38:J38" si="34">B15+B26+B34</f>
        <v>0</v>
      </c>
      <c r="C38" s="1">
        <f t="shared" si="34"/>
        <v>0</v>
      </c>
      <c r="D38" s="11">
        <f>D15+D26+D34</f>
        <v>10014.5</v>
      </c>
      <c r="E38" s="11">
        <f t="shared" si="34"/>
        <v>9565.4</v>
      </c>
      <c r="F38" s="11">
        <f t="shared" si="34"/>
        <v>10462.000000000002</v>
      </c>
      <c r="G38" s="11">
        <f t="shared" si="34"/>
        <v>11130.199999999999</v>
      </c>
      <c r="H38" s="11">
        <f t="shared" si="34"/>
        <v>11720.300000000001</v>
      </c>
      <c r="I38" s="11">
        <f t="shared" si="34"/>
        <v>12617.800000000001</v>
      </c>
      <c r="J38" s="11">
        <f t="shared" si="34"/>
        <v>12697.900000000001</v>
      </c>
      <c r="K38" s="11">
        <f t="shared" ref="K38" si="35">K15+K26+K34</f>
        <v>13059.8</v>
      </c>
      <c r="L38" s="7">
        <f>RATE(5,,-F38,K38)</f>
        <v>4.5356350937569824E-2</v>
      </c>
      <c r="M38" s="1"/>
      <c r="N38" s="1" t="s">
        <v>36</v>
      </c>
      <c r="O38" s="7" t="e">
        <f t="shared" ref="O38:X38" si="36">B38/B$38</f>
        <v>#DIV/0!</v>
      </c>
      <c r="P38" s="7" t="e">
        <f t="shared" si="36"/>
        <v>#DIV/0!</v>
      </c>
      <c r="Q38" s="7">
        <f t="shared" si="36"/>
        <v>1</v>
      </c>
      <c r="R38" s="7">
        <f t="shared" si="36"/>
        <v>1</v>
      </c>
      <c r="S38" s="7">
        <f t="shared" si="36"/>
        <v>1</v>
      </c>
      <c r="T38" s="7">
        <f t="shared" si="36"/>
        <v>1</v>
      </c>
      <c r="U38" s="7">
        <f t="shared" si="36"/>
        <v>1</v>
      </c>
      <c r="V38" s="7">
        <f t="shared" si="36"/>
        <v>1</v>
      </c>
      <c r="W38" s="7">
        <f t="shared" si="36"/>
        <v>1</v>
      </c>
      <c r="X38" s="7">
        <f t="shared" si="36"/>
        <v>1</v>
      </c>
      <c r="Y38" s="7">
        <f>SUM(F38:K38)/SUM(F$38:K$38)</f>
        <v>1</v>
      </c>
      <c r="Z38" s="189"/>
    </row>
    <row r="39" spans="1:26">
      <c r="A39" s="1"/>
      <c r="B39" s="1"/>
      <c r="C39" s="1"/>
      <c r="D39" s="11"/>
      <c r="E39" s="11"/>
      <c r="F39" s="11"/>
      <c r="G39" s="11"/>
      <c r="H39" s="11"/>
      <c r="I39" s="11"/>
      <c r="J39" s="11"/>
      <c r="K39" s="11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7"/>
      <c r="Z39" s="189"/>
    </row>
    <row r="40" spans="1:26">
      <c r="A40" s="1"/>
      <c r="B40" s="1"/>
      <c r="C40" s="1"/>
      <c r="D40" s="11"/>
      <c r="E40" s="11"/>
      <c r="F40" s="11"/>
      <c r="G40" s="11"/>
      <c r="H40" s="11"/>
      <c r="I40" s="11"/>
      <c r="J40" s="11"/>
      <c r="K40" s="11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7"/>
      <c r="Z40" s="189"/>
    </row>
    <row r="41" spans="1:26">
      <c r="A41" s="1" t="s">
        <v>37</v>
      </c>
      <c r="B41" s="1"/>
      <c r="C41" s="1"/>
      <c r="D41" s="11"/>
      <c r="E41" s="11"/>
      <c r="F41" s="11"/>
      <c r="G41" s="11"/>
      <c r="H41" s="11"/>
      <c r="I41" s="11"/>
      <c r="J41" s="11"/>
      <c r="K41" s="11"/>
      <c r="L41" s="7"/>
      <c r="M41" s="1"/>
      <c r="N41" s="1" t="s">
        <v>37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189"/>
    </row>
    <row r="42" spans="1:26">
      <c r="A42" s="1" t="s">
        <v>38</v>
      </c>
      <c r="B42" s="1"/>
      <c r="C42" s="1"/>
      <c r="D42" s="11">
        <v>166.2</v>
      </c>
      <c r="E42" s="11">
        <v>101</v>
      </c>
      <c r="F42" s="11">
        <v>496</v>
      </c>
      <c r="G42" s="11">
        <v>296.7</v>
      </c>
      <c r="H42" s="11">
        <v>352.8</v>
      </c>
      <c r="I42" s="11">
        <v>61.8</v>
      </c>
      <c r="J42" s="11">
        <v>295.7</v>
      </c>
      <c r="K42" s="11">
        <v>473.4</v>
      </c>
      <c r="L42" s="7">
        <f t="shared" ref="L42:L44" si="37">RATE(5,,-F42,K42)</f>
        <v>-9.2836839538902368E-3</v>
      </c>
      <c r="M42" s="1"/>
      <c r="N42" s="1" t="str">
        <f t="shared" ref="N42:N47" si="38">A42</f>
        <v>Current Maturities LTD</v>
      </c>
      <c r="O42" s="7" t="e">
        <f t="shared" ref="O42:X48" si="39">B42/B$38</f>
        <v>#DIV/0!</v>
      </c>
      <c r="P42" s="7" t="e">
        <f t="shared" si="39"/>
        <v>#DIV/0!</v>
      </c>
      <c r="Q42" s="7">
        <f t="shared" si="39"/>
        <v>1.6595935892955212E-2</v>
      </c>
      <c r="R42" s="7">
        <f t="shared" si="39"/>
        <v>1.0558889330294604E-2</v>
      </c>
      <c r="S42" s="7">
        <f t="shared" si="39"/>
        <v>4.7409673102657229E-2</v>
      </c>
      <c r="T42" s="7">
        <f t="shared" si="39"/>
        <v>2.6657202925374209E-2</v>
      </c>
      <c r="U42" s="7">
        <f t="shared" si="39"/>
        <v>3.0101618559251895E-2</v>
      </c>
      <c r="V42" s="7">
        <f t="shared" si="39"/>
        <v>4.8978427301114291E-3</v>
      </c>
      <c r="W42" s="7">
        <f t="shared" si="39"/>
        <v>2.3287315225352219E-2</v>
      </c>
      <c r="X42" s="7">
        <f t="shared" si="39"/>
        <v>3.6248640867394599E-2</v>
      </c>
      <c r="Y42" s="7">
        <f t="shared" ref="Y42:Y48" si="40">SUM(F42:K42)/SUM(F$38:K$38)</f>
        <v>2.7569467693337797E-2</v>
      </c>
      <c r="Z42" s="189"/>
    </row>
    <row r="43" spans="1:26">
      <c r="A43" s="1" t="s">
        <v>39</v>
      </c>
      <c r="B43" s="1"/>
      <c r="C43" s="1"/>
      <c r="D43" s="11">
        <v>590.79999999999995</v>
      </c>
      <c r="E43" s="11">
        <v>338</v>
      </c>
      <c r="F43" s="11">
        <v>456.3</v>
      </c>
      <c r="G43" s="11">
        <v>911.9</v>
      </c>
      <c r="H43" s="11">
        <v>900.7</v>
      </c>
      <c r="I43" s="11">
        <v>602.29999999999995</v>
      </c>
      <c r="J43" s="11">
        <v>825.1</v>
      </c>
      <c r="K43" s="11">
        <v>657.9</v>
      </c>
      <c r="L43" s="7">
        <f t="shared" si="37"/>
        <v>7.5924714376268521E-2</v>
      </c>
      <c r="M43" s="1"/>
      <c r="N43" s="1" t="str">
        <f t="shared" si="38"/>
        <v>Notes Payable and Commercial Paper</v>
      </c>
      <c r="O43" s="7" t="e">
        <f t="shared" si="39"/>
        <v>#DIV/0!</v>
      </c>
      <c r="P43" s="7" t="e">
        <f t="shared" si="39"/>
        <v>#DIV/0!</v>
      </c>
      <c r="Q43" s="7">
        <f t="shared" si="39"/>
        <v>5.8994458035848019E-2</v>
      </c>
      <c r="R43" s="7">
        <f t="shared" si="39"/>
        <v>3.5335689045936397E-2</v>
      </c>
      <c r="S43" s="7">
        <f t="shared" si="39"/>
        <v>4.3614987574077606E-2</v>
      </c>
      <c r="T43" s="7">
        <f t="shared" si="39"/>
        <v>8.1930243841081024E-2</v>
      </c>
      <c r="U43" s="7">
        <f t="shared" si="39"/>
        <v>7.6849568697046997E-2</v>
      </c>
      <c r="V43" s="7">
        <f t="shared" si="39"/>
        <v>4.7734153338933882E-2</v>
      </c>
      <c r="W43" s="7">
        <f t="shared" si="39"/>
        <v>6.4979248537159681E-2</v>
      </c>
      <c r="X43" s="7">
        <f t="shared" si="39"/>
        <v>5.0375962878451433E-2</v>
      </c>
      <c r="Y43" s="7">
        <f t="shared" si="40"/>
        <v>6.0738198861734177E-2</v>
      </c>
      <c r="Z43" s="189"/>
    </row>
    <row r="44" spans="1:26">
      <c r="A44" s="1" t="s">
        <v>40</v>
      </c>
      <c r="B44" s="1"/>
      <c r="C44" s="1"/>
      <c r="D44" s="11">
        <v>248.7</v>
      </c>
      <c r="E44" s="11">
        <v>309.7</v>
      </c>
      <c r="F44" s="11">
        <v>418.1</v>
      </c>
      <c r="G44" s="11">
        <v>404.5</v>
      </c>
      <c r="H44" s="11">
        <v>478.3</v>
      </c>
      <c r="I44" s="11">
        <v>441</v>
      </c>
      <c r="J44" s="11">
        <v>290.60000000000002</v>
      </c>
      <c r="K44" s="11">
        <v>315.39999999999998</v>
      </c>
      <c r="L44" s="7">
        <f t="shared" si="37"/>
        <v>-5.481612412023347E-2</v>
      </c>
      <c r="M44" s="1"/>
      <c r="N44" s="1" t="str">
        <f t="shared" si="38"/>
        <v>Accounts Payable</v>
      </c>
      <c r="O44" s="7" t="e">
        <f t="shared" si="39"/>
        <v>#DIV/0!</v>
      </c>
      <c r="P44" s="7" t="e">
        <f t="shared" si="39"/>
        <v>#DIV/0!</v>
      </c>
      <c r="Q44" s="7">
        <f t="shared" si="39"/>
        <v>2.4833990713465474E-2</v>
      </c>
      <c r="R44" s="7">
        <f t="shared" si="39"/>
        <v>3.2377109164279591E-2</v>
      </c>
      <c r="S44" s="7">
        <f t="shared" si="39"/>
        <v>3.9963678073026185E-2</v>
      </c>
      <c r="T44" s="7">
        <f t="shared" si="39"/>
        <v>3.6342563475948324E-2</v>
      </c>
      <c r="U44" s="7">
        <f t="shared" si="39"/>
        <v>4.0809535592092348E-2</v>
      </c>
      <c r="V44" s="7">
        <f t="shared" si="39"/>
        <v>3.4950625307105833E-2</v>
      </c>
      <c r="W44" s="7">
        <f t="shared" si="39"/>
        <v>2.2885674009088117E-2</v>
      </c>
      <c r="X44" s="7">
        <f t="shared" si="39"/>
        <v>2.4150446408061379E-2</v>
      </c>
      <c r="Y44" s="7">
        <f t="shared" si="40"/>
        <v>3.2751646021649372E-2</v>
      </c>
      <c r="Z44" s="189"/>
    </row>
    <row r="45" spans="1:26">
      <c r="A45" s="1" t="s">
        <v>41</v>
      </c>
      <c r="B45" s="1"/>
      <c r="C45" s="1"/>
      <c r="D45" s="11"/>
      <c r="E45" s="11"/>
      <c r="F45" s="11"/>
      <c r="G45" s="11"/>
      <c r="H45" s="11"/>
      <c r="I45" s="11"/>
      <c r="J45" s="11"/>
      <c r="K45" s="11"/>
      <c r="L45" s="7"/>
      <c r="M45" s="1"/>
      <c r="N45" s="1" t="str">
        <f t="shared" si="38"/>
        <v>Payable to Affiliates</v>
      </c>
      <c r="O45" s="7" t="e">
        <f t="shared" si="39"/>
        <v>#DIV/0!</v>
      </c>
      <c r="P45" s="7" t="e">
        <f t="shared" si="39"/>
        <v>#DIV/0!</v>
      </c>
      <c r="Q45" s="7">
        <f t="shared" si="39"/>
        <v>0</v>
      </c>
      <c r="R45" s="7">
        <f t="shared" si="39"/>
        <v>0</v>
      </c>
      <c r="S45" s="7">
        <f t="shared" si="39"/>
        <v>0</v>
      </c>
      <c r="T45" s="7">
        <f t="shared" si="39"/>
        <v>0</v>
      </c>
      <c r="U45" s="7">
        <f t="shared" si="39"/>
        <v>0</v>
      </c>
      <c r="V45" s="7">
        <f t="shared" si="39"/>
        <v>0</v>
      </c>
      <c r="W45" s="7">
        <f t="shared" si="39"/>
        <v>0</v>
      </c>
      <c r="X45" s="7">
        <f t="shared" si="39"/>
        <v>0</v>
      </c>
      <c r="Y45" s="7">
        <f t="shared" si="40"/>
        <v>0</v>
      </c>
      <c r="Z45" s="189"/>
    </row>
    <row r="46" spans="1:26">
      <c r="A46" s="1" t="s">
        <v>42</v>
      </c>
      <c r="B46" s="1"/>
      <c r="C46" s="1"/>
      <c r="D46" s="11">
        <f>67.3+23+35.8+251.7</f>
        <v>377.79999999999995</v>
      </c>
      <c r="E46" s="11">
        <f>74.3+12.1+28.1</f>
        <v>114.5</v>
      </c>
      <c r="F46" s="11">
        <f>75.2+31+28.2</f>
        <v>134.4</v>
      </c>
      <c r="G46" s="11">
        <v>4.5</v>
      </c>
      <c r="H46" s="11">
        <v>563.1</v>
      </c>
      <c r="I46" s="11">
        <v>310.8</v>
      </c>
      <c r="J46" s="11">
        <v>222.8</v>
      </c>
      <c r="K46" s="11">
        <v>15.3</v>
      </c>
      <c r="L46" s="7">
        <f t="shared" ref="L46:L48" si="41">RATE(5,,-F46,K46)</f>
        <v>-0.35247217926020374</v>
      </c>
      <c r="M46" s="1"/>
      <c r="N46" s="1" t="str">
        <f t="shared" si="38"/>
        <v>Other Payables and Accrued Expenses</v>
      </c>
      <c r="O46" s="7" t="e">
        <f t="shared" si="39"/>
        <v>#DIV/0!</v>
      </c>
      <c r="P46" s="7" t="e">
        <f t="shared" si="39"/>
        <v>#DIV/0!</v>
      </c>
      <c r="Q46" s="7">
        <f t="shared" si="39"/>
        <v>3.7725298317439711E-2</v>
      </c>
      <c r="R46" s="7">
        <f t="shared" si="39"/>
        <v>1.1970226022957744E-2</v>
      </c>
      <c r="S46" s="7">
        <f t="shared" si="39"/>
        <v>1.2846492066526475E-2</v>
      </c>
      <c r="T46" s="7">
        <f t="shared" si="39"/>
        <v>4.0430540331710127E-4</v>
      </c>
      <c r="U46" s="7">
        <f t="shared" si="39"/>
        <v>4.8044845268465822E-2</v>
      </c>
      <c r="V46" s="7">
        <f t="shared" si="39"/>
        <v>2.4631869264055539E-2</v>
      </c>
      <c r="W46" s="7">
        <f t="shared" si="39"/>
        <v>1.7546208428165285E-2</v>
      </c>
      <c r="X46" s="7">
        <f t="shared" si="39"/>
        <v>1.1715340204291032E-3</v>
      </c>
      <c r="Y46" s="7">
        <f t="shared" si="40"/>
        <v>1.7449224416917753E-2</v>
      </c>
      <c r="Z46" s="189"/>
    </row>
    <row r="47" spans="1:26">
      <c r="A47" s="1" t="s">
        <v>43</v>
      </c>
      <c r="B47" s="1"/>
      <c r="C47" s="1"/>
      <c r="D47" s="11">
        <v>80.2</v>
      </c>
      <c r="E47" s="11">
        <v>129.19999999999999</v>
      </c>
      <c r="F47" s="11">
        <v>142</v>
      </c>
      <c r="G47" s="11">
        <v>274.89999999999998</v>
      </c>
      <c r="H47" s="11">
        <v>207.9</v>
      </c>
      <c r="I47" s="11">
        <v>318.89999999999998</v>
      </c>
      <c r="J47" s="11">
        <v>259.89999999999998</v>
      </c>
      <c r="K47" s="11">
        <v>259.10000000000002</v>
      </c>
      <c r="L47" s="7">
        <f t="shared" si="41"/>
        <v>0.12780966935025534</v>
      </c>
      <c r="M47" s="1"/>
      <c r="N47" s="1" t="str">
        <f t="shared" si="38"/>
        <v xml:space="preserve">Other </v>
      </c>
      <c r="O47" s="7" t="e">
        <f t="shared" si="39"/>
        <v>#DIV/0!</v>
      </c>
      <c r="P47" s="7" t="e">
        <f t="shared" si="39"/>
        <v>#DIV/0!</v>
      </c>
      <c r="Q47" s="7">
        <f t="shared" si="39"/>
        <v>8.0083878376354285E-3</v>
      </c>
      <c r="R47" s="7">
        <f t="shared" si="39"/>
        <v>1.3507014866079829E-2</v>
      </c>
      <c r="S47" s="7">
        <f t="shared" si="39"/>
        <v>1.3572930606002674E-2</v>
      </c>
      <c r="T47" s="7">
        <f t="shared" si="39"/>
        <v>2.4698567860415806E-2</v>
      </c>
      <c r="U47" s="7">
        <f t="shared" si="39"/>
        <v>1.7738453793844866E-2</v>
      </c>
      <c r="V47" s="7">
        <f t="shared" si="39"/>
        <v>2.5273819524798298E-2</v>
      </c>
      <c r="W47" s="7">
        <f t="shared" si="39"/>
        <v>2.046795139353751E-2</v>
      </c>
      <c r="X47" s="7">
        <f t="shared" si="39"/>
        <v>1.9839507496286317E-2</v>
      </c>
      <c r="Y47" s="7">
        <f t="shared" si="40"/>
        <v>2.0403693784175871E-2</v>
      </c>
      <c r="Z47" s="189"/>
    </row>
    <row r="48" spans="1:26">
      <c r="A48" s="1" t="s">
        <v>44</v>
      </c>
      <c r="B48" s="1">
        <f t="shared" ref="B48:J48" si="42">SUM(B41:B47)</f>
        <v>0</v>
      </c>
      <c r="C48" s="1">
        <f t="shared" si="42"/>
        <v>0</v>
      </c>
      <c r="D48" s="11">
        <f t="shared" ref="D48:H48" si="43">SUM(D41:D47)</f>
        <v>1463.7</v>
      </c>
      <c r="E48" s="11">
        <f t="shared" si="43"/>
        <v>992.40000000000009</v>
      </c>
      <c r="F48" s="11">
        <f t="shared" si="43"/>
        <v>1646.8000000000002</v>
      </c>
      <c r="G48" s="11">
        <f t="shared" si="43"/>
        <v>1892.5</v>
      </c>
      <c r="H48" s="11">
        <f t="shared" si="43"/>
        <v>2502.8000000000002</v>
      </c>
      <c r="I48" s="11">
        <f t="shared" si="42"/>
        <v>1734.7999999999997</v>
      </c>
      <c r="J48" s="11">
        <f t="shared" si="42"/>
        <v>1894.1</v>
      </c>
      <c r="K48" s="11">
        <f t="shared" ref="K48" si="44">SUM(K41:K47)</f>
        <v>1721.1</v>
      </c>
      <c r="L48" s="7">
        <f t="shared" si="41"/>
        <v>8.8649853648894023E-3</v>
      </c>
      <c r="M48" s="1"/>
      <c r="N48" s="1" t="s">
        <v>44</v>
      </c>
      <c r="O48" s="7" t="e">
        <f t="shared" si="39"/>
        <v>#DIV/0!</v>
      </c>
      <c r="P48" s="7" t="e">
        <f t="shared" si="39"/>
        <v>#DIV/0!</v>
      </c>
      <c r="Q48" s="7">
        <f t="shared" si="39"/>
        <v>0.14615807079734386</v>
      </c>
      <c r="R48" s="7">
        <f t="shared" si="39"/>
        <v>0.10374892842954818</v>
      </c>
      <c r="S48" s="7">
        <f t="shared" si="39"/>
        <v>0.15740776142229018</v>
      </c>
      <c r="T48" s="7">
        <f t="shared" si="39"/>
        <v>0.17003288350613646</v>
      </c>
      <c r="U48" s="7">
        <f t="shared" si="39"/>
        <v>0.21354402191070193</v>
      </c>
      <c r="V48" s="7">
        <f t="shared" si="39"/>
        <v>0.13748831016500496</v>
      </c>
      <c r="W48" s="7">
        <f t="shared" si="39"/>
        <v>0.1491663975933028</v>
      </c>
      <c r="X48" s="7">
        <f t="shared" si="39"/>
        <v>0.13178609167062283</v>
      </c>
      <c r="Y48" s="7">
        <f t="shared" si="40"/>
        <v>0.15891223077781499</v>
      </c>
      <c r="Z48" s="189"/>
    </row>
    <row r="49" spans="1:26">
      <c r="A49" s="1"/>
      <c r="B49" s="1"/>
      <c r="C49" s="1"/>
      <c r="D49" s="11"/>
      <c r="E49" s="11"/>
      <c r="F49" s="11"/>
      <c r="G49" s="11"/>
      <c r="H49" s="11"/>
      <c r="I49" s="11"/>
      <c r="J49" s="11"/>
      <c r="K49" s="11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7"/>
      <c r="Z49" s="189"/>
    </row>
    <row r="50" spans="1:26">
      <c r="A50" s="1" t="s">
        <v>45</v>
      </c>
      <c r="B50" s="1"/>
      <c r="C50" s="1"/>
      <c r="D50" s="11">
        <v>3570.5</v>
      </c>
      <c r="E50" s="11">
        <v>3239.5</v>
      </c>
      <c r="F50" s="11">
        <v>3031</v>
      </c>
      <c r="G50" s="11">
        <v>3073.4</v>
      </c>
      <c r="H50" s="11">
        <v>3172.5</v>
      </c>
      <c r="I50" s="11">
        <v>4074.7</v>
      </c>
      <c r="J50" s="11">
        <v>3875.8</v>
      </c>
      <c r="K50" s="11">
        <v>3932</v>
      </c>
      <c r="L50" s="7">
        <f t="shared" ref="L50:L53" si="45">RATE(5,,-F50,K50)</f>
        <v>5.3429593344552585E-2</v>
      </c>
      <c r="M50" s="1"/>
      <c r="N50" s="1" t="str">
        <f>A50</f>
        <v>Long-Term Debt</v>
      </c>
      <c r="O50" s="7" t="e">
        <f t="shared" ref="O50:X53" si="46">B50/B$38</f>
        <v>#DIV/0!</v>
      </c>
      <c r="P50" s="7" t="e">
        <f t="shared" si="46"/>
        <v>#DIV/0!</v>
      </c>
      <c r="Q50" s="7">
        <f t="shared" si="46"/>
        <v>0.35653302711068952</v>
      </c>
      <c r="R50" s="7">
        <f t="shared" si="46"/>
        <v>0.33866853450979573</v>
      </c>
      <c r="S50" s="7">
        <f t="shared" si="46"/>
        <v>0.28971515962531058</v>
      </c>
      <c r="T50" s="7">
        <f t="shared" si="46"/>
        <v>0.276131605901062</v>
      </c>
      <c r="U50" s="7">
        <f t="shared" si="46"/>
        <v>0.27068419750347683</v>
      </c>
      <c r="V50" s="7">
        <f t="shared" si="46"/>
        <v>0.32293268240105244</v>
      </c>
      <c r="W50" s="7">
        <f t="shared" si="46"/>
        <v>0.3052315737247891</v>
      </c>
      <c r="X50" s="7">
        <f t="shared" si="46"/>
        <v>0.30107658616517868</v>
      </c>
      <c r="Y50" s="7">
        <f t="shared" ref="Y50:Y53" si="47">SUM(F50:K50)/SUM(F$38:K$38)</f>
        <v>0.29515958040397272</v>
      </c>
      <c r="Z50" s="189"/>
    </row>
    <row r="51" spans="1:26">
      <c r="A51" s="1" t="s">
        <v>46</v>
      </c>
      <c r="B51" s="1"/>
      <c r="C51" s="1"/>
      <c r="D51" s="11">
        <v>570.79999999999995</v>
      </c>
      <c r="E51" s="11">
        <v>530.4</v>
      </c>
      <c r="F51" s="11">
        <v>593.70000000000005</v>
      </c>
      <c r="G51" s="11">
        <v>572.9</v>
      </c>
      <c r="H51" s="11">
        <v>551.70000000000005</v>
      </c>
      <c r="I51" s="11">
        <v>814</v>
      </c>
      <c r="J51" s="11">
        <v>1017.9</v>
      </c>
      <c r="K51" s="11">
        <v>1154.8</v>
      </c>
      <c r="L51" s="7">
        <f t="shared" si="45"/>
        <v>0.14232043312501808</v>
      </c>
      <c r="M51" s="1"/>
      <c r="N51" s="1" t="str">
        <f>A51</f>
        <v>Deferred Income Taxes</v>
      </c>
      <c r="O51" s="7" t="e">
        <f t="shared" si="46"/>
        <v>#DIV/0!</v>
      </c>
      <c r="P51" s="7" t="e">
        <f t="shared" si="46"/>
        <v>#DIV/0!</v>
      </c>
      <c r="Q51" s="7">
        <f t="shared" si="46"/>
        <v>5.6997353836936437E-2</v>
      </c>
      <c r="R51" s="7">
        <f t="shared" si="46"/>
        <v>5.5449850502854038E-2</v>
      </c>
      <c r="S51" s="7">
        <f t="shared" si="46"/>
        <v>5.6748231695660477E-2</v>
      </c>
      <c r="T51" s="7">
        <f t="shared" si="46"/>
        <v>5.1472570124526065E-2</v>
      </c>
      <c r="U51" s="7">
        <f t="shared" si="46"/>
        <v>4.7072173920462784E-2</v>
      </c>
      <c r="V51" s="7">
        <f t="shared" si="46"/>
        <v>6.4512038548716885E-2</v>
      </c>
      <c r="W51" s="7">
        <f t="shared" si="46"/>
        <v>8.0162861575536107E-2</v>
      </c>
      <c r="X51" s="7">
        <f t="shared" si="46"/>
        <v>8.8424018744544322E-2</v>
      </c>
      <c r="Y51" s="7">
        <f t="shared" si="47"/>
        <v>6.5631625934605517E-2</v>
      </c>
      <c r="Z51" s="189"/>
    </row>
    <row r="52" spans="1:26">
      <c r="A52" s="1" t="s">
        <v>47</v>
      </c>
      <c r="B52" s="1"/>
      <c r="C52" s="1"/>
      <c r="D52" s="11">
        <f>2591.2-D51</f>
        <v>2020.3999999999999</v>
      </c>
      <c r="E52" s="11">
        <f>2810.7-E51</f>
        <v>2280.2999999999997</v>
      </c>
      <c r="F52" s="11">
        <f>3073.7-F51</f>
        <v>2480</v>
      </c>
      <c r="G52" s="11">
        <f>3244.9-G51</f>
        <v>2672</v>
      </c>
      <c r="H52" s="11">
        <f>2915.4-H51</f>
        <v>2363.6999999999998</v>
      </c>
      <c r="I52" s="11">
        <f>3441-I51</f>
        <v>2627</v>
      </c>
      <c r="J52" s="11">
        <v>2312.8000000000002</v>
      </c>
      <c r="K52" s="11">
        <v>2419.4</v>
      </c>
      <c r="L52" s="7">
        <f t="shared" si="45"/>
        <v>-4.9355767420796856E-3</v>
      </c>
      <c r="M52" s="1"/>
      <c r="N52" s="1" t="str">
        <f>A52</f>
        <v>Other Deferred Credits</v>
      </c>
      <c r="O52" s="7" t="e">
        <f t="shared" si="46"/>
        <v>#DIV/0!</v>
      </c>
      <c r="P52" s="7" t="e">
        <f t="shared" si="46"/>
        <v>#DIV/0!</v>
      </c>
      <c r="Q52" s="7">
        <f t="shared" si="46"/>
        <v>0.20174746617404762</v>
      </c>
      <c r="R52" s="7">
        <f t="shared" si="46"/>
        <v>0.2383904489096117</v>
      </c>
      <c r="S52" s="7">
        <f t="shared" si="46"/>
        <v>0.23704836551328615</v>
      </c>
      <c r="T52" s="7">
        <f t="shared" si="46"/>
        <v>0.24006756392517656</v>
      </c>
      <c r="U52" s="7">
        <f t="shared" si="46"/>
        <v>0.20167572502410344</v>
      </c>
      <c r="V52" s="7">
        <f t="shared" si="46"/>
        <v>0.20819794258904087</v>
      </c>
      <c r="W52" s="7">
        <f t="shared" si="46"/>
        <v>0.18214035391678937</v>
      </c>
      <c r="X52" s="7">
        <f t="shared" si="46"/>
        <v>0.18525551692981518</v>
      </c>
      <c r="Y52" s="7">
        <f t="shared" si="47"/>
        <v>0.20749497823903582</v>
      </c>
      <c r="Z52" s="189"/>
    </row>
    <row r="53" spans="1:26">
      <c r="A53" s="1" t="s">
        <v>48</v>
      </c>
      <c r="B53" s="1">
        <f t="shared" ref="B53:J53" si="48">SUM(B50:B52)</f>
        <v>0</v>
      </c>
      <c r="C53" s="1">
        <f t="shared" si="48"/>
        <v>0</v>
      </c>
      <c r="D53" s="11">
        <f t="shared" ref="D53:H53" si="49">SUM(D50:D52)</f>
        <v>6161.7</v>
      </c>
      <c r="E53" s="11">
        <f t="shared" si="49"/>
        <v>6050.2</v>
      </c>
      <c r="F53" s="11">
        <f t="shared" si="49"/>
        <v>6104.7</v>
      </c>
      <c r="G53" s="11">
        <f t="shared" si="49"/>
        <v>6318.3</v>
      </c>
      <c r="H53" s="11">
        <f t="shared" si="49"/>
        <v>6087.9</v>
      </c>
      <c r="I53" s="11">
        <f t="shared" si="48"/>
        <v>7515.7</v>
      </c>
      <c r="J53" s="11">
        <f t="shared" si="48"/>
        <v>7206.5</v>
      </c>
      <c r="K53" s="11">
        <f t="shared" ref="K53" si="50">SUM(K50:K52)</f>
        <v>7506.2000000000007</v>
      </c>
      <c r="L53" s="7">
        <f t="shared" si="45"/>
        <v>4.2200221350330594E-2</v>
      </c>
      <c r="M53" s="1"/>
      <c r="N53" s="1" t="str">
        <f>A53</f>
        <v>Total LTD &amp; Deferrals</v>
      </c>
      <c r="O53" s="7" t="e">
        <f t="shared" si="46"/>
        <v>#DIV/0!</v>
      </c>
      <c r="P53" s="7" t="e">
        <f t="shared" si="46"/>
        <v>#DIV/0!</v>
      </c>
      <c r="Q53" s="7">
        <f t="shared" si="46"/>
        <v>0.61527784712167355</v>
      </c>
      <c r="R53" s="7">
        <f t="shared" si="46"/>
        <v>0.63250883392226154</v>
      </c>
      <c r="S53" s="7">
        <f t="shared" si="46"/>
        <v>0.58351175683425716</v>
      </c>
      <c r="T53" s="7">
        <f t="shared" si="46"/>
        <v>0.5676717399507647</v>
      </c>
      <c r="U53" s="7">
        <f t="shared" si="46"/>
        <v>0.51943209644804311</v>
      </c>
      <c r="V53" s="7">
        <f t="shared" si="46"/>
        <v>0.59564266353881024</v>
      </c>
      <c r="W53" s="7">
        <f t="shared" si="46"/>
        <v>0.56753478921711453</v>
      </c>
      <c r="X53" s="7">
        <f t="shared" si="46"/>
        <v>0.57475612183953817</v>
      </c>
      <c r="Y53" s="7">
        <f t="shared" si="47"/>
        <v>0.56828618457761415</v>
      </c>
      <c r="Z53" s="189"/>
    </row>
    <row r="54" spans="1:26">
      <c r="A54" s="1"/>
      <c r="B54" s="1"/>
      <c r="C54" s="1"/>
      <c r="D54" s="11"/>
      <c r="E54" s="11"/>
      <c r="F54" s="11"/>
      <c r="G54" s="11"/>
      <c r="H54" s="11"/>
      <c r="I54" s="11"/>
      <c r="J54" s="11"/>
      <c r="K54" s="11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7"/>
      <c r="Z54" s="189"/>
    </row>
    <row r="55" spans="1:26">
      <c r="A55" s="1" t="s">
        <v>49</v>
      </c>
      <c r="B55" s="1">
        <f t="shared" ref="B55:J55" si="51">B53+B48</f>
        <v>0</v>
      </c>
      <c r="C55" s="1">
        <f t="shared" si="51"/>
        <v>0</v>
      </c>
      <c r="D55" s="11">
        <f t="shared" si="51"/>
        <v>7625.4</v>
      </c>
      <c r="E55" s="11">
        <f t="shared" si="51"/>
        <v>7042.6</v>
      </c>
      <c r="F55" s="11">
        <f t="shared" si="51"/>
        <v>7751.5</v>
      </c>
      <c r="G55" s="11">
        <f t="shared" si="51"/>
        <v>8210.7999999999993</v>
      </c>
      <c r="H55" s="11">
        <f t="shared" si="51"/>
        <v>8590.7000000000007</v>
      </c>
      <c r="I55" s="11">
        <f t="shared" si="51"/>
        <v>9250.5</v>
      </c>
      <c r="J55" s="11">
        <f t="shared" si="51"/>
        <v>9100.6</v>
      </c>
      <c r="K55" s="11">
        <f t="shared" ref="K55" si="52">K53+K48</f>
        <v>9227.3000000000011</v>
      </c>
      <c r="L55" s="7">
        <f>RATE(5,,-F55,K55)</f>
        <v>3.5470612731199058E-2</v>
      </c>
      <c r="M55" s="1"/>
      <c r="N55" s="1" t="s">
        <v>49</v>
      </c>
      <c r="O55" s="7" t="e">
        <f t="shared" ref="O55:X55" si="53">B55/B$38</f>
        <v>#DIV/0!</v>
      </c>
      <c r="P55" s="7" t="e">
        <f t="shared" si="53"/>
        <v>#DIV/0!</v>
      </c>
      <c r="Q55" s="7">
        <f t="shared" si="53"/>
        <v>0.76143591791901744</v>
      </c>
      <c r="R55" s="7">
        <f t="shared" si="53"/>
        <v>0.73625776235180973</v>
      </c>
      <c r="S55" s="7">
        <f t="shared" si="53"/>
        <v>0.74091951825654734</v>
      </c>
      <c r="T55" s="7">
        <f t="shared" si="53"/>
        <v>0.73770462345690102</v>
      </c>
      <c r="U55" s="7">
        <f t="shared" si="53"/>
        <v>0.7329761183587451</v>
      </c>
      <c r="V55" s="7">
        <f t="shared" si="53"/>
        <v>0.73313097370381519</v>
      </c>
      <c r="W55" s="7">
        <f t="shared" si="53"/>
        <v>0.71670118681041739</v>
      </c>
      <c r="X55" s="7">
        <f t="shared" si="53"/>
        <v>0.70654221351016111</v>
      </c>
      <c r="Y55" s="7">
        <f>SUM(F55:K55)/SUM(F$38:K$38)</f>
        <v>0.72719841535542906</v>
      </c>
      <c r="Z55" s="189"/>
    </row>
    <row r="56" spans="1:26">
      <c r="A56" s="1"/>
      <c r="B56" s="1"/>
      <c r="C56" s="1"/>
      <c r="D56" s="11"/>
      <c r="E56" s="11"/>
      <c r="F56" s="11"/>
      <c r="G56" s="11"/>
      <c r="H56" s="11"/>
      <c r="I56" s="11"/>
      <c r="J56" s="11"/>
      <c r="K56" s="11"/>
      <c r="L56" s="7"/>
      <c r="M56" s="1"/>
      <c r="N56" s="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189"/>
    </row>
    <row r="57" spans="1:26">
      <c r="A57" s="1" t="s">
        <v>50</v>
      </c>
      <c r="B57" s="1"/>
      <c r="C57" s="1"/>
      <c r="D57" s="11">
        <v>30.4</v>
      </c>
      <c r="E57" s="11">
        <v>30.4</v>
      </c>
      <c r="F57" s="11">
        <v>30.4</v>
      </c>
      <c r="G57" s="11">
        <v>30.4</v>
      </c>
      <c r="H57" s="11">
        <v>30.4</v>
      </c>
      <c r="I57" s="11">
        <v>30.4</v>
      </c>
      <c r="J57" s="11">
        <v>30.4</v>
      </c>
      <c r="K57" s="11">
        <v>30.4</v>
      </c>
      <c r="L57" s="7">
        <f>RATE(5,,-F57,K57)</f>
        <v>1.4967498036412223E-16</v>
      </c>
      <c r="M57" s="1"/>
      <c r="N57" s="1" t="s">
        <v>50</v>
      </c>
      <c r="O57" s="7" t="e">
        <f t="shared" ref="O57:X57" si="54">B57/B$38</f>
        <v>#DIV/0!</v>
      </c>
      <c r="P57" s="7" t="e">
        <f t="shared" si="54"/>
        <v>#DIV/0!</v>
      </c>
      <c r="Q57" s="7">
        <f t="shared" si="54"/>
        <v>3.0355983823455988E-3</v>
      </c>
      <c r="R57" s="7">
        <f t="shared" si="54"/>
        <v>3.1781211449599597E-3</v>
      </c>
      <c r="S57" s="7">
        <f t="shared" si="54"/>
        <v>2.9057541579047977E-3</v>
      </c>
      <c r="T57" s="7">
        <f t="shared" si="54"/>
        <v>2.7313076135199728E-3</v>
      </c>
      <c r="U57" s="7">
        <f t="shared" si="54"/>
        <v>2.5937902613414328E-3</v>
      </c>
      <c r="V57" s="7">
        <f t="shared" si="54"/>
        <v>2.4092948057506058E-3</v>
      </c>
      <c r="W57" s="7">
        <f t="shared" si="54"/>
        <v>2.394096661652714E-3</v>
      </c>
      <c r="X57" s="7">
        <f t="shared" si="54"/>
        <v>2.3277538706565183E-3</v>
      </c>
      <c r="Y57" s="7">
        <f>SUM(F57:K57)/SUM(F$38:K$38)</f>
        <v>2.5443588885169068E-3</v>
      </c>
      <c r="Z57" s="189"/>
    </row>
    <row r="58" spans="1:26">
      <c r="A58" s="1"/>
      <c r="B58" s="1"/>
      <c r="C58" s="1"/>
      <c r="D58" s="11"/>
      <c r="E58" s="11"/>
      <c r="F58" s="11"/>
      <c r="G58" s="11"/>
      <c r="H58" s="11"/>
      <c r="I58" s="11"/>
      <c r="J58" s="11"/>
      <c r="K58" s="11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7"/>
      <c r="Z58" s="189"/>
    </row>
    <row r="59" spans="1:26">
      <c r="A59" s="1" t="s">
        <v>51</v>
      </c>
      <c r="B59" s="1"/>
      <c r="C59" s="1"/>
      <c r="D59" s="11"/>
      <c r="E59" s="11"/>
      <c r="F59" s="11"/>
      <c r="G59" s="11"/>
      <c r="H59" s="11"/>
      <c r="I59" s="11"/>
      <c r="J59" s="11"/>
      <c r="K59" s="11"/>
      <c r="L59" s="7"/>
      <c r="M59" s="1"/>
      <c r="N59" s="1" t="str">
        <f>A59</f>
        <v>Common Equity: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189"/>
    </row>
    <row r="60" spans="1:26">
      <c r="A60" s="1" t="s">
        <v>52</v>
      </c>
      <c r="B60" s="1"/>
      <c r="C60" s="1"/>
      <c r="D60" s="11">
        <v>2358.6999999999998</v>
      </c>
      <c r="E60" s="11">
        <v>2492</v>
      </c>
      <c r="F60" s="11">
        <v>2680.1</v>
      </c>
      <c r="G60" s="11">
        <v>2889</v>
      </c>
      <c r="H60" s="11">
        <v>3099.2</v>
      </c>
      <c r="I60" s="11">
        <v>3336.9</v>
      </c>
      <c r="J60" s="11">
        <v>3566.9</v>
      </c>
      <c r="K60" s="11">
        <v>3802.1</v>
      </c>
      <c r="L60" s="7">
        <f>RATE(5,,-F60,K60)</f>
        <v>7.2443712238481256E-2</v>
      </c>
      <c r="M60" s="1"/>
      <c r="N60" s="1" t="str">
        <f>A60</f>
        <v>Common Stock</v>
      </c>
      <c r="O60" s="7" t="e">
        <f t="shared" ref="O60:X63" si="55">B60/B$38</f>
        <v>#DIV/0!</v>
      </c>
      <c r="P60" s="7" t="e">
        <f t="shared" si="55"/>
        <v>#DIV/0!</v>
      </c>
      <c r="Q60" s="7">
        <f t="shared" si="55"/>
        <v>0.23552848369863696</v>
      </c>
      <c r="R60" s="7">
        <f t="shared" si="55"/>
        <v>0.26052229911974406</v>
      </c>
      <c r="S60" s="7">
        <f t="shared" si="55"/>
        <v>0.25617472758554766</v>
      </c>
      <c r="T60" s="7">
        <f t="shared" si="55"/>
        <v>0.25956406892957901</v>
      </c>
      <c r="U60" s="7">
        <f t="shared" si="55"/>
        <v>0.26443009137991347</v>
      </c>
      <c r="V60" s="7">
        <f t="shared" si="55"/>
        <v>0.26445973149043411</v>
      </c>
      <c r="W60" s="7">
        <f t="shared" si="55"/>
        <v>0.28090471652792981</v>
      </c>
      <c r="X60" s="7">
        <f t="shared" si="55"/>
        <v>0.29113003261918252</v>
      </c>
      <c r="Y60" s="7">
        <f t="shared" ref="Y60:Y63" si="56">SUM(F60:K60)/SUM(F$38:K$38)</f>
        <v>0.27025722575605399</v>
      </c>
      <c r="Z60" s="189"/>
    </row>
    <row r="61" spans="1:26">
      <c r="A61" s="1" t="s">
        <v>53</v>
      </c>
      <c r="B61" s="1"/>
      <c r="C61" s="1"/>
      <c r="D61" s="11"/>
      <c r="E61" s="11"/>
      <c r="F61" s="11"/>
      <c r="G61" s="11"/>
      <c r="H61" s="11"/>
      <c r="I61" s="11"/>
      <c r="J61" s="11"/>
      <c r="K61" s="11"/>
      <c r="L61" s="7"/>
      <c r="M61" s="1"/>
      <c r="N61" s="1" t="str">
        <f>A61</f>
        <v>Retained Earnings</v>
      </c>
      <c r="O61" s="7" t="e">
        <f t="shared" si="55"/>
        <v>#DIV/0!</v>
      </c>
      <c r="P61" s="7" t="e">
        <f t="shared" si="55"/>
        <v>#DIV/0!</v>
      </c>
      <c r="Q61" s="7">
        <f t="shared" si="55"/>
        <v>0</v>
      </c>
      <c r="R61" s="7">
        <f t="shared" si="55"/>
        <v>0</v>
      </c>
      <c r="S61" s="7">
        <f t="shared" si="55"/>
        <v>0</v>
      </c>
      <c r="T61" s="7">
        <f t="shared" si="55"/>
        <v>0</v>
      </c>
      <c r="U61" s="7">
        <f t="shared" si="55"/>
        <v>0</v>
      </c>
      <c r="V61" s="7">
        <f t="shared" si="55"/>
        <v>0</v>
      </c>
      <c r="W61" s="7">
        <f t="shared" si="55"/>
        <v>0</v>
      </c>
      <c r="X61" s="7">
        <f t="shared" si="55"/>
        <v>0</v>
      </c>
      <c r="Y61" s="7">
        <f t="shared" si="56"/>
        <v>0</v>
      </c>
      <c r="Z61" s="189"/>
    </row>
    <row r="62" spans="1:26">
      <c r="A62" s="1" t="s">
        <v>54</v>
      </c>
      <c r="B62" s="1">
        <f t="shared" ref="B62:J62" si="57">SUM(B59:B61)</f>
        <v>0</v>
      </c>
      <c r="C62" s="1">
        <f t="shared" si="57"/>
        <v>0</v>
      </c>
      <c r="D62" s="11">
        <f t="shared" ref="D62:H62" si="58">SUM(D59:D61)</f>
        <v>2358.6999999999998</v>
      </c>
      <c r="E62" s="11">
        <f t="shared" si="58"/>
        <v>2492</v>
      </c>
      <c r="F62" s="11">
        <f t="shared" si="58"/>
        <v>2680.1</v>
      </c>
      <c r="G62" s="11">
        <f t="shared" si="58"/>
        <v>2889</v>
      </c>
      <c r="H62" s="11">
        <f t="shared" si="58"/>
        <v>3099.2</v>
      </c>
      <c r="I62" s="11">
        <f t="shared" si="57"/>
        <v>3336.9</v>
      </c>
      <c r="J62" s="11">
        <f t="shared" si="57"/>
        <v>3566.9</v>
      </c>
      <c r="K62" s="11">
        <f t="shared" ref="K62" si="59">SUM(K59:K61)</f>
        <v>3802.1</v>
      </c>
      <c r="L62" s="7">
        <f t="shared" ref="L62:L63" si="60">RATE(5,,-F62,K62)</f>
        <v>7.2443712238481256E-2</v>
      </c>
      <c r="M62" s="1"/>
      <c r="N62" s="1" t="str">
        <f>A62</f>
        <v>Total Common Equity</v>
      </c>
      <c r="O62" s="7" t="e">
        <f t="shared" si="55"/>
        <v>#DIV/0!</v>
      </c>
      <c r="P62" s="7" t="e">
        <f t="shared" si="55"/>
        <v>#DIV/0!</v>
      </c>
      <c r="Q62" s="7">
        <f t="shared" si="55"/>
        <v>0.23552848369863696</v>
      </c>
      <c r="R62" s="7">
        <f t="shared" si="55"/>
        <v>0.26052229911974406</v>
      </c>
      <c r="S62" s="7">
        <f t="shared" si="55"/>
        <v>0.25617472758554766</v>
      </c>
      <c r="T62" s="7">
        <f t="shared" si="55"/>
        <v>0.25956406892957901</v>
      </c>
      <c r="U62" s="7">
        <f t="shared" si="55"/>
        <v>0.26443009137991347</v>
      </c>
      <c r="V62" s="7">
        <f t="shared" si="55"/>
        <v>0.26445973149043411</v>
      </c>
      <c r="W62" s="7">
        <f t="shared" si="55"/>
        <v>0.28090471652792981</v>
      </c>
      <c r="X62" s="7">
        <f t="shared" si="55"/>
        <v>0.29113003261918252</v>
      </c>
      <c r="Y62" s="7">
        <f t="shared" si="56"/>
        <v>0.27025722575605399</v>
      </c>
      <c r="Z62" s="189"/>
    </row>
    <row r="63" spans="1:26">
      <c r="A63" s="1" t="s">
        <v>55</v>
      </c>
      <c r="B63" s="1">
        <f t="shared" ref="B63:J63" si="61">B62+B55+B57</f>
        <v>0</v>
      </c>
      <c r="C63" s="1">
        <f t="shared" si="61"/>
        <v>0</v>
      </c>
      <c r="D63" s="11">
        <f t="shared" si="61"/>
        <v>10014.499999999998</v>
      </c>
      <c r="E63" s="11">
        <f t="shared" si="61"/>
        <v>9565</v>
      </c>
      <c r="F63" s="11">
        <f t="shared" si="61"/>
        <v>10462</v>
      </c>
      <c r="G63" s="11">
        <f t="shared" si="61"/>
        <v>11130.199999999999</v>
      </c>
      <c r="H63" s="11">
        <f t="shared" si="61"/>
        <v>11720.300000000001</v>
      </c>
      <c r="I63" s="11">
        <f t="shared" si="61"/>
        <v>12617.8</v>
      </c>
      <c r="J63" s="11">
        <f t="shared" si="61"/>
        <v>12697.9</v>
      </c>
      <c r="K63" s="11">
        <f t="shared" ref="K63" si="62">K62+K55+K57</f>
        <v>13059.800000000001</v>
      </c>
      <c r="L63" s="7">
        <f t="shared" si="60"/>
        <v>4.5356350937569935E-2</v>
      </c>
      <c r="M63" s="1"/>
      <c r="N63" s="1" t="s">
        <v>55</v>
      </c>
      <c r="O63" s="7" t="e">
        <f t="shared" si="55"/>
        <v>#DIV/0!</v>
      </c>
      <c r="P63" s="7" t="e">
        <f t="shared" si="55"/>
        <v>#DIV/0!</v>
      </c>
      <c r="Q63" s="7">
        <f t="shared" si="55"/>
        <v>0.99999999999999978</v>
      </c>
      <c r="R63" s="7">
        <f t="shared" si="55"/>
        <v>0.9999581826165137</v>
      </c>
      <c r="S63" s="7">
        <f t="shared" si="55"/>
        <v>0.99999999999999978</v>
      </c>
      <c r="T63" s="7">
        <f t="shared" si="55"/>
        <v>1</v>
      </c>
      <c r="U63" s="7">
        <f t="shared" si="55"/>
        <v>1</v>
      </c>
      <c r="V63" s="7">
        <f t="shared" si="55"/>
        <v>0.99999999999999989</v>
      </c>
      <c r="W63" s="7">
        <f t="shared" si="55"/>
        <v>0.99999999999999989</v>
      </c>
      <c r="X63" s="7">
        <f t="shared" si="55"/>
        <v>1.0000000000000002</v>
      </c>
      <c r="Y63" s="7">
        <f t="shared" si="56"/>
        <v>1</v>
      </c>
      <c r="Z63" s="189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8" t="s"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8" t="s">
        <v>0</v>
      </c>
    </row>
    <row r="67" spans="1: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8" t="s">
        <v>56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8" t="s">
        <v>57</v>
      </c>
    </row>
    <row r="68" spans="1:25">
      <c r="A68" s="2" t="str">
        <f>A3</f>
        <v>Wisconsin Energy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10"/>
      <c r="M68" s="1"/>
      <c r="N68" s="2" t="str">
        <f>A3</f>
        <v>Wisconsin Energy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10"/>
    </row>
    <row r="69" spans="1:25">
      <c r="A69" s="2" t="s">
        <v>58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10"/>
      <c r="M69" s="1"/>
      <c r="N69" s="2" t="s">
        <v>5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10"/>
    </row>
    <row r="70" spans="1:25">
      <c r="A70" s="2" t="str">
        <f>A5</f>
        <v>Fiscal Years Ended December 31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10"/>
      <c r="M70" s="1"/>
      <c r="N70" s="2" t="s">
        <v>58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10"/>
    </row>
    <row r="71" spans="1: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0" t="str">
        <f>L6</f>
        <v>2005-2010</v>
      </c>
      <c r="M71" s="1"/>
      <c r="N71" s="2" t="str">
        <f>A5</f>
        <v>Fiscal Years Ended December 31</v>
      </c>
      <c r="O71" s="2"/>
      <c r="P71" s="2"/>
      <c r="Q71" s="2"/>
      <c r="R71" s="2"/>
      <c r="S71" s="2"/>
      <c r="T71" s="2"/>
      <c r="U71" s="2"/>
      <c r="V71" s="2"/>
      <c r="W71" s="10"/>
      <c r="X71" s="10"/>
      <c r="Y71" s="10"/>
    </row>
    <row r="72" spans="1:25">
      <c r="A72" s="2"/>
      <c r="B72" s="2"/>
      <c r="C72" s="2"/>
      <c r="D72" s="2" t="s">
        <v>59</v>
      </c>
      <c r="E72" s="2"/>
      <c r="F72" s="2"/>
      <c r="G72" s="2"/>
      <c r="H72" s="2"/>
      <c r="I72" s="2"/>
      <c r="J72" s="3"/>
      <c r="K72" s="3"/>
      <c r="L72" s="10" t="s">
        <v>7</v>
      </c>
      <c r="M72" s="1"/>
      <c r="N72" s="2"/>
      <c r="O72" s="2"/>
      <c r="P72" s="2"/>
      <c r="Q72" s="2"/>
      <c r="R72" s="2"/>
      <c r="S72" s="2"/>
      <c r="T72" s="2"/>
      <c r="U72" s="2"/>
      <c r="V72" s="2"/>
      <c r="W72" s="3"/>
      <c r="X72" s="3"/>
      <c r="Y72" s="10" t="str">
        <f>L6</f>
        <v>2005-2010</v>
      </c>
    </row>
    <row r="73" spans="1:25">
      <c r="A73" s="2" t="s">
        <v>8</v>
      </c>
      <c r="B73" s="5">
        <f>B8</f>
        <v>2001</v>
      </c>
      <c r="C73" s="5">
        <f t="shared" ref="C73:H73" si="63">B73+1</f>
        <v>2002</v>
      </c>
      <c r="D73" s="5">
        <f t="shared" si="63"/>
        <v>2003</v>
      </c>
      <c r="E73" s="5">
        <f t="shared" si="63"/>
        <v>2004</v>
      </c>
      <c r="F73" s="5">
        <f t="shared" si="63"/>
        <v>2005</v>
      </c>
      <c r="G73" s="5">
        <f t="shared" si="63"/>
        <v>2006</v>
      </c>
      <c r="H73" s="5">
        <f t="shared" si="63"/>
        <v>2007</v>
      </c>
      <c r="I73" s="5">
        <f>H73+1</f>
        <v>2008</v>
      </c>
      <c r="J73" s="162">
        <f>J8</f>
        <v>2009</v>
      </c>
      <c r="K73" s="162">
        <f>K8</f>
        <v>2010</v>
      </c>
      <c r="L73" s="10" t="s">
        <v>9</v>
      </c>
      <c r="M73" s="1"/>
      <c r="N73" s="2" t="s">
        <v>8</v>
      </c>
      <c r="O73" s="5">
        <f t="shared" ref="O73:V73" si="64">B73</f>
        <v>2001</v>
      </c>
      <c r="P73" s="5">
        <f t="shared" si="64"/>
        <v>2002</v>
      </c>
      <c r="Q73" s="5">
        <f t="shared" si="64"/>
        <v>2003</v>
      </c>
      <c r="R73" s="5">
        <f t="shared" si="64"/>
        <v>2004</v>
      </c>
      <c r="S73" s="5">
        <f t="shared" si="64"/>
        <v>2005</v>
      </c>
      <c r="T73" s="5">
        <f t="shared" si="64"/>
        <v>2006</v>
      </c>
      <c r="U73" s="5">
        <f t="shared" si="64"/>
        <v>2007</v>
      </c>
      <c r="V73" s="5">
        <f t="shared" si="64"/>
        <v>2008</v>
      </c>
      <c r="W73" s="162">
        <f>J8</f>
        <v>2009</v>
      </c>
      <c r="X73" s="162">
        <f>K8</f>
        <v>2010</v>
      </c>
      <c r="Y73" s="10" t="s">
        <v>10</v>
      </c>
    </row>
    <row r="74" spans="1:25">
      <c r="A74" s="1" t="s">
        <v>61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 t="str">
        <f t="shared" ref="N74:N75" si="65">A74</f>
        <v>Operating Sales and Revenues:</v>
      </c>
      <c r="O74" s="1"/>
      <c r="P74" s="1"/>
      <c r="Q74" s="1"/>
      <c r="R74" s="1"/>
      <c r="S74" s="1"/>
      <c r="T74" s="1"/>
      <c r="U74" s="1"/>
      <c r="V74" s="1"/>
      <c r="W74" s="3"/>
      <c r="X74" s="3"/>
      <c r="Y74" s="1"/>
    </row>
    <row r="75" spans="1:25">
      <c r="A75" s="1" t="s">
        <v>62</v>
      </c>
      <c r="B75" s="1"/>
      <c r="C75" s="1"/>
      <c r="D75" s="11">
        <v>3282.1</v>
      </c>
      <c r="E75" s="11">
        <v>3406.1</v>
      </c>
      <c r="F75" s="11">
        <v>3815.5</v>
      </c>
      <c r="G75" s="11">
        <v>3996.4</v>
      </c>
      <c r="H75" s="11">
        <v>4237.8</v>
      </c>
      <c r="I75" s="136">
        <v>4402.3999999999996</v>
      </c>
      <c r="J75" s="136">
        <v>4100.8999999999996</v>
      </c>
      <c r="K75" s="136">
        <v>4202.5</v>
      </c>
      <c r="L75" s="7">
        <f t="shared" ref="L75" si="66">RATE(5,,-F75,K75)</f>
        <v>1.9509443344204729E-2</v>
      </c>
      <c r="M75" s="1"/>
      <c r="N75" s="1" t="str">
        <f t="shared" si="65"/>
        <v>Electric</v>
      </c>
      <c r="O75" s="1"/>
      <c r="P75" s="1"/>
      <c r="Q75" s="1"/>
      <c r="R75" s="1"/>
      <c r="S75" s="7">
        <f>F75/F$78</f>
        <v>1</v>
      </c>
      <c r="T75" s="7">
        <f t="shared" ref="T75" si="67">G75/G$78</f>
        <v>1</v>
      </c>
      <c r="U75" s="7">
        <f t="shared" ref="U75" si="68">H75/H$78</f>
        <v>1</v>
      </c>
      <c r="V75" s="7">
        <f t="shared" ref="V75" si="69">I75/I$78</f>
        <v>1</v>
      </c>
      <c r="W75" s="7">
        <f t="shared" ref="W75" si="70">J75/J$78</f>
        <v>1</v>
      </c>
      <c r="X75" s="7">
        <f t="shared" ref="X75" si="71">K75/K$78</f>
        <v>1</v>
      </c>
      <c r="Y75" s="7">
        <f>SUM(F75:K75)/SUM(F$78:K$78)</f>
        <v>1</v>
      </c>
    </row>
    <row r="76" spans="1:25">
      <c r="A76" s="1" t="s">
        <v>64</v>
      </c>
      <c r="B76" s="1"/>
      <c r="C76" s="1"/>
      <c r="D76" s="11"/>
      <c r="E76" s="11"/>
      <c r="F76" s="11"/>
      <c r="G76" s="11"/>
      <c r="H76" s="11"/>
      <c r="I76" s="136"/>
      <c r="J76" s="136"/>
      <c r="K76" s="136"/>
      <c r="L76" s="7"/>
      <c r="M76" s="1"/>
      <c r="N76" s="1" t="str">
        <f>A76</f>
        <v>Other Regulated Operations</v>
      </c>
      <c r="O76" s="7" t="e">
        <f t="shared" ref="O76:R77" si="72">B77/B$78</f>
        <v>#DIV/0!</v>
      </c>
      <c r="P76" s="7" t="e">
        <f t="shared" si="72"/>
        <v>#DIV/0!</v>
      </c>
      <c r="Q76" s="7">
        <f t="shared" si="72"/>
        <v>0</v>
      </c>
      <c r="R76" s="7">
        <f t="shared" si="72"/>
        <v>0</v>
      </c>
      <c r="S76" s="7">
        <f>F76/F$78</f>
        <v>0</v>
      </c>
      <c r="T76" s="7">
        <f t="shared" ref="T76:X76" si="73">G76/G$78</f>
        <v>0</v>
      </c>
      <c r="U76" s="7">
        <f t="shared" si="73"/>
        <v>0</v>
      </c>
      <c r="V76" s="7">
        <f t="shared" si="73"/>
        <v>0</v>
      </c>
      <c r="W76" s="7">
        <f t="shared" si="73"/>
        <v>0</v>
      </c>
      <c r="X76" s="7">
        <f t="shared" si="73"/>
        <v>0</v>
      </c>
      <c r="Y76" s="7">
        <f t="shared" ref="Y76:Y78" si="74">SUM(F76:K76)/SUM(F$78:K$78)</f>
        <v>0</v>
      </c>
    </row>
    <row r="77" spans="1:25">
      <c r="A77" s="1" t="s">
        <v>65</v>
      </c>
      <c r="B77" s="1"/>
      <c r="C77" s="1"/>
      <c r="D77" s="11"/>
      <c r="E77" s="11"/>
      <c r="F77" s="11"/>
      <c r="G77" s="11"/>
      <c r="H77" s="11"/>
      <c r="I77" s="136"/>
      <c r="J77" s="136"/>
      <c r="K77" s="136"/>
      <c r="L77" s="7"/>
      <c r="M77" s="1"/>
      <c r="N77" s="1" t="str">
        <f>A77</f>
        <v>Non-Regulated Operations</v>
      </c>
      <c r="O77" s="7" t="e">
        <f t="shared" si="72"/>
        <v>#DIV/0!</v>
      </c>
      <c r="P77" s="7" t="e">
        <f t="shared" si="72"/>
        <v>#DIV/0!</v>
      </c>
      <c r="Q77" s="7">
        <f t="shared" si="72"/>
        <v>1</v>
      </c>
      <c r="R77" s="7">
        <f t="shared" si="72"/>
        <v>1</v>
      </c>
      <c r="S77" s="7">
        <f t="shared" ref="S77:S78" si="75">F77/F$78</f>
        <v>0</v>
      </c>
      <c r="T77" s="7">
        <f t="shared" ref="T77:T78" si="76">G77/G$78</f>
        <v>0</v>
      </c>
      <c r="U77" s="7">
        <f t="shared" ref="U77:U78" si="77">H77/H$78</f>
        <v>0</v>
      </c>
      <c r="V77" s="7">
        <f t="shared" ref="V77:V78" si="78">I77/I$78</f>
        <v>0</v>
      </c>
      <c r="W77" s="7">
        <f t="shared" ref="W77:W78" si="79">J77/J$78</f>
        <v>0</v>
      </c>
      <c r="X77" s="7">
        <f t="shared" ref="X77:X78" si="80">K77/K$78</f>
        <v>0</v>
      </c>
      <c r="Y77" s="7">
        <f t="shared" si="74"/>
        <v>0</v>
      </c>
    </row>
    <row r="78" spans="1:25">
      <c r="A78" s="1" t="s">
        <v>67</v>
      </c>
      <c r="B78" s="1">
        <f t="shared" ref="B78:K78" si="81">SUM(B74:B77)</f>
        <v>0</v>
      </c>
      <c r="C78" s="1">
        <f t="shared" si="81"/>
        <v>0</v>
      </c>
      <c r="D78" s="11">
        <f t="shared" ref="D78:H78" si="82">SUM(D74:D77)</f>
        <v>3282.1</v>
      </c>
      <c r="E78" s="11">
        <f t="shared" si="82"/>
        <v>3406.1</v>
      </c>
      <c r="F78" s="11">
        <f t="shared" si="82"/>
        <v>3815.5</v>
      </c>
      <c r="G78" s="11">
        <f t="shared" si="82"/>
        <v>3996.4</v>
      </c>
      <c r="H78" s="11">
        <f t="shared" si="82"/>
        <v>4237.8</v>
      </c>
      <c r="I78" s="11">
        <f t="shared" si="81"/>
        <v>4402.3999999999996</v>
      </c>
      <c r="J78" s="11">
        <f t="shared" si="81"/>
        <v>4100.8999999999996</v>
      </c>
      <c r="K78" s="11">
        <f t="shared" si="81"/>
        <v>4202.5</v>
      </c>
      <c r="L78" s="7">
        <f t="shared" ref="L78" si="83">RATE(5,,-F78,K78)</f>
        <v>1.9509443344204729E-2</v>
      </c>
      <c r="M78" s="1"/>
      <c r="N78" s="1" t="str">
        <f>A78</f>
        <v>Total Revenues</v>
      </c>
      <c r="O78" s="7"/>
      <c r="P78" s="7"/>
      <c r="Q78" s="7"/>
      <c r="R78" s="7"/>
      <c r="S78" s="7">
        <f t="shared" si="75"/>
        <v>1</v>
      </c>
      <c r="T78" s="7">
        <f t="shared" si="76"/>
        <v>1</v>
      </c>
      <c r="U78" s="7">
        <f t="shared" si="77"/>
        <v>1</v>
      </c>
      <c r="V78" s="7">
        <f t="shared" si="78"/>
        <v>1</v>
      </c>
      <c r="W78" s="7">
        <f t="shared" si="79"/>
        <v>1</v>
      </c>
      <c r="X78" s="7">
        <f t="shared" si="80"/>
        <v>1</v>
      </c>
      <c r="Y78" s="7">
        <f t="shared" si="74"/>
        <v>1</v>
      </c>
    </row>
    <row r="79" spans="1:25">
      <c r="A79" s="1"/>
      <c r="B79" s="1"/>
      <c r="C79" s="1"/>
      <c r="D79" s="11"/>
      <c r="E79" s="11"/>
      <c r="F79" s="11"/>
      <c r="G79" s="11"/>
      <c r="H79" s="11"/>
      <c r="I79" s="11"/>
      <c r="J79" s="11"/>
      <c r="K79" s="11"/>
      <c r="L79" s="7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7"/>
    </row>
    <row r="80" spans="1:25">
      <c r="A80" s="1" t="s">
        <v>68</v>
      </c>
      <c r="B80" s="1"/>
      <c r="C80" s="1"/>
      <c r="D80" s="11"/>
      <c r="E80" s="11"/>
      <c r="F80" s="11"/>
      <c r="G80" s="11"/>
      <c r="H80" s="11"/>
      <c r="I80" s="11"/>
      <c r="J80" s="11"/>
      <c r="K80" s="11"/>
      <c r="L80" s="7"/>
      <c r="M80" s="1"/>
      <c r="N80" s="1" t="s">
        <v>68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>
      <c r="A81" s="1" t="s">
        <v>69</v>
      </c>
      <c r="B81" s="1"/>
      <c r="C81" s="1"/>
      <c r="D81" s="11">
        <v>569.5</v>
      </c>
      <c r="E81" s="11">
        <v>591.70000000000005</v>
      </c>
      <c r="F81" s="11">
        <v>776.7</v>
      </c>
      <c r="G81" s="11">
        <v>802</v>
      </c>
      <c r="H81" s="11">
        <v>996.4</v>
      </c>
      <c r="I81" s="11">
        <v>1238.0999999999999</v>
      </c>
      <c r="J81" s="11">
        <v>1059.7</v>
      </c>
      <c r="K81" s="11">
        <v>1099.9000000000001</v>
      </c>
      <c r="L81" s="7">
        <f t="shared" ref="L81:L85" si="84">RATE(5,,-F81,K81)</f>
        <v>7.2062190002009599E-2</v>
      </c>
      <c r="M81" s="1"/>
      <c r="N81" s="1" t="str">
        <f>A81</f>
        <v xml:space="preserve">   Purchased power</v>
      </c>
      <c r="O81" s="7" t="e">
        <f t="shared" ref="O81:X87" si="85">B81/B$78</f>
        <v>#DIV/0!</v>
      </c>
      <c r="P81" s="7" t="e">
        <f t="shared" si="85"/>
        <v>#DIV/0!</v>
      </c>
      <c r="Q81" s="7">
        <f t="shared" si="85"/>
        <v>0.1735169556076902</v>
      </c>
      <c r="R81" s="7">
        <f t="shared" si="85"/>
        <v>0.17371774169871704</v>
      </c>
      <c r="S81" s="7">
        <f t="shared" si="85"/>
        <v>0.20356440833442538</v>
      </c>
      <c r="T81" s="7">
        <f t="shared" si="85"/>
        <v>0.20068061255129616</v>
      </c>
      <c r="U81" s="7">
        <f t="shared" si="85"/>
        <v>0.23512199726273064</v>
      </c>
      <c r="V81" s="7">
        <f t="shared" si="85"/>
        <v>0.28123296383790658</v>
      </c>
      <c r="W81" s="7">
        <f t="shared" si="85"/>
        <v>0.25840669121412374</v>
      </c>
      <c r="X81" s="7">
        <f t="shared" si="85"/>
        <v>0.26172516359309939</v>
      </c>
      <c r="Y81" s="7">
        <f t="shared" ref="Y81:Y101" si="86">SUM(F81:K81)/SUM(F$78:K$78)</f>
        <v>0.24127163660600673</v>
      </c>
    </row>
    <row r="82" spans="1:25">
      <c r="A82" s="1" t="s">
        <v>70</v>
      </c>
      <c r="B82" s="1"/>
      <c r="C82" s="1"/>
      <c r="D82" s="11">
        <v>863.3</v>
      </c>
      <c r="E82" s="11">
        <v>890.9</v>
      </c>
      <c r="F82" s="11">
        <v>1047.3</v>
      </c>
      <c r="G82" s="11">
        <v>1018.3</v>
      </c>
      <c r="H82" s="11">
        <v>1052.7</v>
      </c>
      <c r="I82" s="11">
        <v>1220.9000000000001</v>
      </c>
      <c r="J82" s="11">
        <v>912</v>
      </c>
      <c r="K82" s="11">
        <v>751.5</v>
      </c>
      <c r="L82" s="7">
        <f t="shared" si="84"/>
        <v>-6.422470307541786E-2</v>
      </c>
      <c r="M82" s="1"/>
      <c r="N82" s="1" t="str">
        <f t="shared" ref="N82:N87" si="87">A82</f>
        <v xml:space="preserve">   Fuel</v>
      </c>
      <c r="O82" s="7" t="e">
        <f t="shared" si="85"/>
        <v>#DIV/0!</v>
      </c>
      <c r="P82" s="7" t="e">
        <f t="shared" si="85"/>
        <v>#DIV/0!</v>
      </c>
      <c r="Q82" s="7">
        <f t="shared" si="85"/>
        <v>0.26303281435666187</v>
      </c>
      <c r="R82" s="7">
        <f t="shared" si="85"/>
        <v>0.26156014209800066</v>
      </c>
      <c r="S82" s="7">
        <f t="shared" si="85"/>
        <v>0.27448565063556546</v>
      </c>
      <c r="T82" s="7">
        <f t="shared" si="85"/>
        <v>0.25480432389150232</v>
      </c>
      <c r="U82" s="7">
        <f t="shared" si="85"/>
        <v>0.24840719241115672</v>
      </c>
      <c r="V82" s="7">
        <f t="shared" si="85"/>
        <v>0.27732600399781943</v>
      </c>
      <c r="W82" s="7">
        <f t="shared" si="85"/>
        <v>0.22239020702772563</v>
      </c>
      <c r="X82" s="7">
        <f t="shared" si="85"/>
        <v>0.17882212968471148</v>
      </c>
      <c r="Y82" s="7">
        <f t="shared" si="86"/>
        <v>0.24247944901133084</v>
      </c>
    </row>
    <row r="83" spans="1:25">
      <c r="A83" s="1" t="s">
        <v>71</v>
      </c>
      <c r="B83" s="1"/>
      <c r="C83" s="1"/>
      <c r="D83" s="11">
        <v>916.9</v>
      </c>
      <c r="E83" s="11">
        <v>986.7</v>
      </c>
      <c r="F83" s="11">
        <v>1007.9</v>
      </c>
      <c r="G83" s="11">
        <v>1183.7</v>
      </c>
      <c r="H83" s="11">
        <v>1135.3</v>
      </c>
      <c r="I83" s="11">
        <v>1346.2</v>
      </c>
      <c r="J83" s="11">
        <v>1246.0999999999999</v>
      </c>
      <c r="K83" s="11">
        <v>1327.5</v>
      </c>
      <c r="L83" s="7">
        <f t="shared" si="84"/>
        <v>5.6631167415661626E-2</v>
      </c>
      <c r="M83" s="1"/>
      <c r="N83" s="1" t="str">
        <f t="shared" si="87"/>
        <v xml:space="preserve">   Other operations and maintenance</v>
      </c>
      <c r="O83" s="7" t="e">
        <f t="shared" si="85"/>
        <v>#DIV/0!</v>
      </c>
      <c r="P83" s="7" t="e">
        <f t="shared" si="85"/>
        <v>#DIV/0!</v>
      </c>
      <c r="Q83" s="7">
        <f t="shared" si="85"/>
        <v>0.27936382194326803</v>
      </c>
      <c r="R83" s="7">
        <f t="shared" si="85"/>
        <v>0.28968615131675524</v>
      </c>
      <c r="S83" s="7">
        <f t="shared" si="85"/>
        <v>0.26415935001965668</v>
      </c>
      <c r="T83" s="7">
        <f t="shared" si="85"/>
        <v>0.29619157241517369</v>
      </c>
      <c r="U83" s="7">
        <f t="shared" si="85"/>
        <v>0.26789843786870543</v>
      </c>
      <c r="V83" s="7">
        <f t="shared" si="85"/>
        <v>0.30578775213519904</v>
      </c>
      <c r="W83" s="7">
        <f t="shared" si="85"/>
        <v>0.3038601282645273</v>
      </c>
      <c r="X83" s="7">
        <f t="shared" si="85"/>
        <v>0.31588340273646637</v>
      </c>
      <c r="Y83" s="7">
        <f t="shared" si="86"/>
        <v>0.2927309082830078</v>
      </c>
    </row>
    <row r="84" spans="1:25">
      <c r="A84" s="1" t="s">
        <v>72</v>
      </c>
      <c r="B84" s="1"/>
      <c r="C84" s="1"/>
      <c r="D84" s="11">
        <v>320.5</v>
      </c>
      <c r="E84" s="11">
        <v>319.5</v>
      </c>
      <c r="F84" s="11">
        <v>332</v>
      </c>
      <c r="G84" s="11">
        <v>326.39999999999998</v>
      </c>
      <c r="H84" s="11">
        <v>328.2</v>
      </c>
      <c r="I84" s="11">
        <v>323.60000000000002</v>
      </c>
      <c r="J84" s="11">
        <v>343</v>
      </c>
      <c r="K84" s="11">
        <v>305.5</v>
      </c>
      <c r="L84" s="7">
        <f t="shared" si="84"/>
        <v>-1.649940685878128E-2</v>
      </c>
      <c r="M84" s="1"/>
      <c r="N84" s="1" t="str">
        <f t="shared" si="87"/>
        <v xml:space="preserve">   Depreciation and amortization</v>
      </c>
      <c r="O84" s="7" t="e">
        <f t="shared" si="85"/>
        <v>#DIV/0!</v>
      </c>
      <c r="P84" s="7" t="e">
        <f t="shared" si="85"/>
        <v>#DIV/0!</v>
      </c>
      <c r="Q84" s="7">
        <f t="shared" si="85"/>
        <v>9.7650894244538558E-2</v>
      </c>
      <c r="R84" s="7">
        <f t="shared" si="85"/>
        <v>9.3802295880919526E-2</v>
      </c>
      <c r="S84" s="7">
        <f t="shared" si="85"/>
        <v>8.7013497575678153E-2</v>
      </c>
      <c r="T84" s="7">
        <f t="shared" si="85"/>
        <v>8.1673506155539977E-2</v>
      </c>
      <c r="U84" s="7">
        <f t="shared" si="85"/>
        <v>7.7445844541979322E-2</v>
      </c>
      <c r="V84" s="7">
        <f t="shared" si="85"/>
        <v>7.3505360712338735E-2</v>
      </c>
      <c r="W84" s="7">
        <f t="shared" si="85"/>
        <v>8.3640176546611725E-2</v>
      </c>
      <c r="X84" s="7">
        <f t="shared" si="85"/>
        <v>7.2694824509220698E-2</v>
      </c>
      <c r="Y84" s="7">
        <f t="shared" si="86"/>
        <v>7.9121811314657342E-2</v>
      </c>
    </row>
    <row r="85" spans="1:25">
      <c r="A85" s="1" t="s">
        <v>73</v>
      </c>
      <c r="B85" s="1"/>
      <c r="C85" s="1"/>
      <c r="D85" s="11">
        <v>82.2</v>
      </c>
      <c r="E85" s="11">
        <v>87.3</v>
      </c>
      <c r="F85" s="11">
        <v>88.7</v>
      </c>
      <c r="G85" s="11">
        <v>97.5</v>
      </c>
      <c r="H85" s="11">
        <v>103.2</v>
      </c>
      <c r="I85" s="11">
        <v>106.5</v>
      </c>
      <c r="J85" s="11">
        <v>110.5</v>
      </c>
      <c r="K85" s="11">
        <v>106</v>
      </c>
      <c r="L85" s="7">
        <f t="shared" si="84"/>
        <v>3.6278407620778663E-2</v>
      </c>
      <c r="M85" s="1"/>
      <c r="N85" s="1" t="str">
        <f t="shared" si="87"/>
        <v xml:space="preserve">   Taxes, other than income taxes</v>
      </c>
      <c r="O85" s="7" t="e">
        <f t="shared" si="85"/>
        <v>#DIV/0!</v>
      </c>
      <c r="P85" s="7" t="e">
        <f t="shared" si="85"/>
        <v>#DIV/0!</v>
      </c>
      <c r="Q85" s="7">
        <f t="shared" si="85"/>
        <v>2.5044940739160904E-2</v>
      </c>
      <c r="R85" s="7">
        <f t="shared" si="85"/>
        <v>2.5630486480138576E-2</v>
      </c>
      <c r="S85" s="7">
        <f t="shared" si="85"/>
        <v>2.324728082820076E-2</v>
      </c>
      <c r="T85" s="7">
        <f t="shared" si="85"/>
        <v>2.4396957261535381E-2</v>
      </c>
      <c r="U85" s="7">
        <f t="shared" si="85"/>
        <v>2.4352258247203738E-2</v>
      </c>
      <c r="V85" s="7">
        <f t="shared" si="85"/>
        <v>2.419135017263311E-2</v>
      </c>
      <c r="W85" s="7">
        <f t="shared" si="85"/>
        <v>2.6945304689214564E-2</v>
      </c>
      <c r="X85" s="7">
        <f t="shared" si="85"/>
        <v>2.5223081499107673E-2</v>
      </c>
      <c r="Y85" s="7">
        <f t="shared" si="86"/>
        <v>2.4737937024095654E-2</v>
      </c>
    </row>
    <row r="86" spans="1:25">
      <c r="A86" s="1" t="s">
        <v>74</v>
      </c>
      <c r="B86" s="1"/>
      <c r="C86" s="1"/>
      <c r="D86" s="11">
        <v>45.6</v>
      </c>
      <c r="E86" s="11"/>
      <c r="F86" s="11"/>
      <c r="G86" s="11"/>
      <c r="H86" s="11">
        <f>-6.5</f>
        <v>-6.5</v>
      </c>
      <c r="I86" s="11">
        <v>-488.1</v>
      </c>
      <c r="J86" s="11">
        <v>-230.7</v>
      </c>
      <c r="K86" s="11">
        <v>-198.4</v>
      </c>
      <c r="L86" s="7"/>
      <c r="M86" s="1"/>
      <c r="N86" s="1" t="str">
        <f t="shared" si="87"/>
        <v xml:space="preserve">   Other Operating Expenses</v>
      </c>
      <c r="O86" s="7" t="e">
        <f t="shared" si="85"/>
        <v>#DIV/0!</v>
      </c>
      <c r="P86" s="7" t="e">
        <f t="shared" si="85"/>
        <v>#DIV/0!</v>
      </c>
      <c r="Q86" s="7">
        <f t="shared" si="85"/>
        <v>1.3893543767709699E-2</v>
      </c>
      <c r="R86" s="7">
        <f t="shared" si="85"/>
        <v>0</v>
      </c>
      <c r="S86" s="7">
        <f t="shared" si="85"/>
        <v>0</v>
      </c>
      <c r="T86" s="7">
        <f t="shared" si="85"/>
        <v>0</v>
      </c>
      <c r="U86" s="7">
        <f t="shared" si="85"/>
        <v>-1.5338147151824058E-3</v>
      </c>
      <c r="V86" s="7">
        <f t="shared" si="85"/>
        <v>-0.11087134290387063</v>
      </c>
      <c r="W86" s="7">
        <f t="shared" si="85"/>
        <v>-5.6255943817210857E-2</v>
      </c>
      <c r="X86" s="7">
        <f t="shared" si="85"/>
        <v>-4.7209994051160026E-2</v>
      </c>
      <c r="Y86" s="7">
        <f t="shared" si="86"/>
        <v>-3.7312920361131867E-2</v>
      </c>
    </row>
    <row r="87" spans="1:25">
      <c r="A87" s="1" t="s">
        <v>75</v>
      </c>
      <c r="B87" s="1">
        <f t="shared" ref="B87:C87" si="88">SUM(B80:B86)</f>
        <v>0</v>
      </c>
      <c r="C87" s="1">
        <f t="shared" si="88"/>
        <v>0</v>
      </c>
      <c r="D87" s="11">
        <f t="shared" ref="D87:H87" si="89">SUM(D80:D86)</f>
        <v>2797.9999999999995</v>
      </c>
      <c r="E87" s="11">
        <f t="shared" si="89"/>
        <v>2876.1000000000004</v>
      </c>
      <c r="F87" s="11">
        <f t="shared" si="89"/>
        <v>3252.6</v>
      </c>
      <c r="G87" s="11">
        <f t="shared" si="89"/>
        <v>3427.9</v>
      </c>
      <c r="H87" s="11">
        <f t="shared" si="89"/>
        <v>3609.2999999999993</v>
      </c>
      <c r="I87" s="11">
        <f>SUM(I81:I86)</f>
        <v>3747.2000000000003</v>
      </c>
      <c r="J87" s="11">
        <f>SUM(J81:J86)</f>
        <v>3440.6000000000004</v>
      </c>
      <c r="K87" s="11">
        <f>SUM(K81:K86)</f>
        <v>3392</v>
      </c>
      <c r="L87" s="7">
        <f t="shared" ref="L87" si="90">RATE(5,,-F87,K87)</f>
        <v>8.4283283221543333E-3</v>
      </c>
      <c r="M87" s="1"/>
      <c r="N87" s="1" t="str">
        <f t="shared" si="87"/>
        <v>Total Operating Expenses</v>
      </c>
      <c r="O87" s="7" t="e">
        <f t="shared" si="85"/>
        <v>#DIV/0!</v>
      </c>
      <c r="P87" s="7" t="e">
        <f t="shared" si="85"/>
        <v>#DIV/0!</v>
      </c>
      <c r="Q87" s="7">
        <f t="shared" si="85"/>
        <v>0.85250297065902914</v>
      </c>
      <c r="R87" s="7">
        <f t="shared" si="85"/>
        <v>0.8443968174745311</v>
      </c>
      <c r="S87" s="7">
        <f t="shared" si="85"/>
        <v>0.85247018739352642</v>
      </c>
      <c r="T87" s="7">
        <f t="shared" si="85"/>
        <v>0.85774697227504759</v>
      </c>
      <c r="U87" s="7">
        <f t="shared" si="85"/>
        <v>0.8516919156165933</v>
      </c>
      <c r="V87" s="7">
        <f t="shared" si="85"/>
        <v>0.85117208795202626</v>
      </c>
      <c r="W87" s="7">
        <f t="shared" si="85"/>
        <v>0.83898656392499227</v>
      </c>
      <c r="X87" s="7">
        <f t="shared" si="85"/>
        <v>0.80713860797144554</v>
      </c>
      <c r="Y87" s="7">
        <f t="shared" si="86"/>
        <v>0.84302882187796646</v>
      </c>
    </row>
    <row r="88" spans="1:25">
      <c r="A88" s="1" t="s">
        <v>76</v>
      </c>
      <c r="B88" s="1"/>
      <c r="C88" s="1"/>
      <c r="D88" s="11"/>
      <c r="E88" s="11"/>
      <c r="F88" s="11"/>
      <c r="G88" s="11"/>
      <c r="H88" s="11"/>
      <c r="I88" s="11"/>
      <c r="J88" s="11"/>
      <c r="K88" s="11"/>
      <c r="L88" s="7"/>
      <c r="M88" s="1"/>
      <c r="N88" s="1" t="str">
        <f t="shared" ref="N88:N90" si="91">A88</f>
        <v xml:space="preserve">  Electric Earnings from Operations</v>
      </c>
      <c r="O88" s="7" t="e">
        <f t="shared" ref="O88:O90" si="92">B88/B$78</f>
        <v>#DIV/0!</v>
      </c>
      <c r="P88" s="7" t="e">
        <f t="shared" ref="P88:P90" si="93">C88/C$78</f>
        <v>#DIV/0!</v>
      </c>
      <c r="Q88" s="7">
        <f t="shared" ref="Q88:Q90" si="94">D88/D$78</f>
        <v>0</v>
      </c>
      <c r="R88" s="7">
        <f t="shared" ref="R88:R90" si="95">E88/E$78</f>
        <v>0</v>
      </c>
      <c r="S88" s="7">
        <f t="shared" ref="S88:S90" si="96">F88/F$78</f>
        <v>0</v>
      </c>
      <c r="T88" s="7">
        <f t="shared" ref="T88:T90" si="97">G88/G$78</f>
        <v>0</v>
      </c>
      <c r="U88" s="7">
        <f t="shared" ref="U88:U90" si="98">H88/H$78</f>
        <v>0</v>
      </c>
      <c r="V88" s="7">
        <f t="shared" ref="V88:V90" si="99">I88/I$78</f>
        <v>0</v>
      </c>
      <c r="W88" s="7">
        <f t="shared" ref="W88:W90" si="100">J88/J$78</f>
        <v>0</v>
      </c>
      <c r="X88" s="7">
        <f t="shared" ref="X88:X90" si="101">K88/K$78</f>
        <v>0</v>
      </c>
      <c r="Y88" s="7">
        <f t="shared" si="86"/>
        <v>0</v>
      </c>
    </row>
    <row r="89" spans="1:25">
      <c r="A89" s="1" t="s">
        <v>77</v>
      </c>
      <c r="B89" s="1"/>
      <c r="C89" s="1"/>
      <c r="D89" s="11"/>
      <c r="E89" s="11"/>
      <c r="F89" s="11"/>
      <c r="G89" s="11"/>
      <c r="H89" s="11"/>
      <c r="I89" s="11"/>
      <c r="J89" s="11"/>
      <c r="K89" s="11"/>
      <c r="L89" s="7"/>
      <c r="M89" s="1"/>
      <c r="N89" s="1" t="str">
        <f t="shared" si="91"/>
        <v xml:space="preserve">  Other Regulated Operating Earnings</v>
      </c>
      <c r="O89" s="7" t="e">
        <f t="shared" si="92"/>
        <v>#DIV/0!</v>
      </c>
      <c r="P89" s="7" t="e">
        <f t="shared" si="93"/>
        <v>#DIV/0!</v>
      </c>
      <c r="Q89" s="7">
        <f t="shared" si="94"/>
        <v>0</v>
      </c>
      <c r="R89" s="7">
        <f t="shared" si="95"/>
        <v>0</v>
      </c>
      <c r="S89" s="7">
        <f t="shared" si="96"/>
        <v>0</v>
      </c>
      <c r="T89" s="7">
        <f t="shared" si="97"/>
        <v>0</v>
      </c>
      <c r="U89" s="7">
        <f t="shared" si="98"/>
        <v>0</v>
      </c>
      <c r="V89" s="7">
        <f t="shared" si="99"/>
        <v>0</v>
      </c>
      <c r="W89" s="7">
        <f t="shared" si="100"/>
        <v>0</v>
      </c>
      <c r="X89" s="7">
        <f t="shared" si="101"/>
        <v>0</v>
      </c>
      <c r="Y89" s="7">
        <f t="shared" si="86"/>
        <v>0</v>
      </c>
    </row>
    <row r="90" spans="1:25">
      <c r="A90" s="1" t="s">
        <v>78</v>
      </c>
      <c r="B90" s="1">
        <f t="shared" ref="B90:H90" si="102">B78-B87</f>
        <v>0</v>
      </c>
      <c r="C90" s="1">
        <f t="shared" si="102"/>
        <v>0</v>
      </c>
      <c r="D90" s="11">
        <f t="shared" si="102"/>
        <v>484.10000000000036</v>
      </c>
      <c r="E90" s="11">
        <f t="shared" si="102"/>
        <v>529.99999999999955</v>
      </c>
      <c r="F90" s="11">
        <f t="shared" si="102"/>
        <v>562.90000000000009</v>
      </c>
      <c r="G90" s="11">
        <f t="shared" si="102"/>
        <v>568.5</v>
      </c>
      <c r="H90" s="11">
        <f t="shared" si="102"/>
        <v>628.50000000000091</v>
      </c>
      <c r="I90" s="11">
        <f>I78-I87+I88</f>
        <v>655.19999999999936</v>
      </c>
      <c r="J90" s="11">
        <f>J78-J87</f>
        <v>660.29999999999927</v>
      </c>
      <c r="K90" s="11">
        <f>K78-K87</f>
        <v>810.5</v>
      </c>
      <c r="L90" s="7">
        <f t="shared" ref="L90" si="103">RATE(5,,-F90,K90)</f>
        <v>7.5633585412156007E-2</v>
      </c>
      <c r="M90" s="1"/>
      <c r="N90" s="1" t="str">
        <f t="shared" si="91"/>
        <v>Total Earnings From Operations</v>
      </c>
      <c r="O90" s="7" t="e">
        <f t="shared" si="92"/>
        <v>#DIV/0!</v>
      </c>
      <c r="P90" s="7" t="e">
        <f t="shared" si="93"/>
        <v>#DIV/0!</v>
      </c>
      <c r="Q90" s="7">
        <f t="shared" si="94"/>
        <v>0.14749702934097084</v>
      </c>
      <c r="R90" s="7">
        <f t="shared" si="95"/>
        <v>0.15560318252546887</v>
      </c>
      <c r="S90" s="7">
        <f t="shared" si="96"/>
        <v>0.14752981260647363</v>
      </c>
      <c r="T90" s="7">
        <f t="shared" si="97"/>
        <v>0.14225302772495246</v>
      </c>
      <c r="U90" s="7">
        <f t="shared" si="98"/>
        <v>0.1483080843834067</v>
      </c>
      <c r="V90" s="7">
        <f t="shared" si="99"/>
        <v>0.14882791204797369</v>
      </c>
      <c r="W90" s="7">
        <f t="shared" si="100"/>
        <v>0.16101343607500776</v>
      </c>
      <c r="X90" s="7">
        <f t="shared" si="101"/>
        <v>0.19286139202855443</v>
      </c>
      <c r="Y90" s="7">
        <f t="shared" si="86"/>
        <v>0.15697117812203348</v>
      </c>
    </row>
    <row r="91" spans="1:25">
      <c r="A91" s="1"/>
      <c r="B91" s="1"/>
      <c r="C91" s="1"/>
      <c r="D91" s="11"/>
      <c r="E91" s="11"/>
      <c r="F91" s="11"/>
      <c r="G91" s="11"/>
      <c r="H91" s="11"/>
      <c r="I91" s="11"/>
      <c r="J91" s="11"/>
      <c r="K91" s="11"/>
      <c r="L91" s="7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7"/>
    </row>
    <row r="92" spans="1:25">
      <c r="A92" s="1" t="s">
        <v>79</v>
      </c>
      <c r="B92" s="1"/>
      <c r="C92" s="1"/>
      <c r="D92" s="11">
        <v>213.8</v>
      </c>
      <c r="E92" s="11">
        <v>193.4</v>
      </c>
      <c r="F92" s="11">
        <v>173.4</v>
      </c>
      <c r="G92" s="11">
        <v>172.7</v>
      </c>
      <c r="H92" s="11">
        <v>167.6</v>
      </c>
      <c r="I92" s="11">
        <v>153.69999999999999</v>
      </c>
      <c r="J92" s="11">
        <v>156.69999999999999</v>
      </c>
      <c r="K92" s="11">
        <v>206.4</v>
      </c>
      <c r="L92" s="7">
        <f t="shared" ref="L92" si="104">RATE(5,,-F92,K92)</f>
        <v>3.5457122902829145E-2</v>
      </c>
      <c r="M92" s="1"/>
      <c r="N92" s="1" t="str">
        <f>A92</f>
        <v xml:space="preserve">   Interest expense (net)</v>
      </c>
      <c r="O92" s="7" t="e">
        <f t="shared" ref="O92:X96" si="105">B92/B$78</f>
        <v>#DIV/0!</v>
      </c>
      <c r="P92" s="7" t="e">
        <f t="shared" si="105"/>
        <v>#DIV/0!</v>
      </c>
      <c r="Q92" s="7">
        <f t="shared" si="105"/>
        <v>6.5141220560007318E-2</v>
      </c>
      <c r="R92" s="7">
        <f t="shared" si="105"/>
        <v>5.6780482076274924E-2</v>
      </c>
      <c r="S92" s="7">
        <f t="shared" si="105"/>
        <v>4.5446206263923469E-2</v>
      </c>
      <c r="T92" s="7">
        <f t="shared" si="105"/>
        <v>4.3213892503252922E-2</v>
      </c>
      <c r="U92" s="7">
        <f t="shared" si="105"/>
        <v>3.9548822502241725E-2</v>
      </c>
      <c r="V92" s="7">
        <f t="shared" si="105"/>
        <v>3.4912774850081776E-2</v>
      </c>
      <c r="W92" s="7">
        <f t="shared" si="105"/>
        <v>3.8211124387329612E-2</v>
      </c>
      <c r="X92" s="7">
        <f t="shared" si="105"/>
        <v>4.9113622843545507E-2</v>
      </c>
      <c r="Y92" s="7">
        <f t="shared" si="86"/>
        <v>4.1627113166771028E-2</v>
      </c>
    </row>
    <row r="93" spans="1:25">
      <c r="A93" s="1" t="s">
        <v>80</v>
      </c>
      <c r="B93" s="1"/>
      <c r="C93" s="1"/>
      <c r="D93" s="11"/>
      <c r="E93" s="11"/>
      <c r="F93" s="11"/>
      <c r="G93" s="11"/>
      <c r="H93" s="11"/>
      <c r="I93" s="11"/>
      <c r="J93" s="11"/>
      <c r="K93" s="11"/>
      <c r="L93" s="7"/>
      <c r="M93" s="1"/>
      <c r="N93" s="1" t="str">
        <f>A93</f>
        <v xml:space="preserve">   Interest income</v>
      </c>
      <c r="O93" s="7" t="e">
        <f t="shared" si="105"/>
        <v>#DIV/0!</v>
      </c>
      <c r="P93" s="7" t="e">
        <f t="shared" si="105"/>
        <v>#DIV/0!</v>
      </c>
      <c r="Q93" s="7">
        <f t="shared" si="105"/>
        <v>0</v>
      </c>
      <c r="R93" s="7">
        <f t="shared" si="105"/>
        <v>0</v>
      </c>
      <c r="S93" s="7">
        <f t="shared" si="105"/>
        <v>0</v>
      </c>
      <c r="T93" s="7">
        <f t="shared" si="105"/>
        <v>0</v>
      </c>
      <c r="U93" s="7">
        <f t="shared" si="105"/>
        <v>0</v>
      </c>
      <c r="V93" s="7">
        <f t="shared" si="105"/>
        <v>0</v>
      </c>
      <c r="W93" s="7">
        <f t="shared" si="105"/>
        <v>0</v>
      </c>
      <c r="X93" s="7">
        <f t="shared" si="105"/>
        <v>0</v>
      </c>
      <c r="Y93" s="7">
        <f t="shared" si="86"/>
        <v>0</v>
      </c>
    </row>
    <row r="94" spans="1:25">
      <c r="A94" s="1" t="s">
        <v>81</v>
      </c>
      <c r="B94" s="1"/>
      <c r="C94" s="1"/>
      <c r="D94" s="11"/>
      <c r="E94" s="11"/>
      <c r="F94" s="11"/>
      <c r="G94" s="11"/>
      <c r="H94" s="11"/>
      <c r="I94" s="11"/>
      <c r="J94" s="11"/>
      <c r="K94" s="11"/>
      <c r="L94" s="7"/>
      <c r="M94" s="1"/>
      <c r="N94" s="1" t="str">
        <f>A94</f>
        <v xml:space="preserve">   Loss (Gain) on Sale of Assets</v>
      </c>
      <c r="O94" s="7" t="e">
        <f t="shared" si="105"/>
        <v>#DIV/0!</v>
      </c>
      <c r="P94" s="7" t="e">
        <f t="shared" si="105"/>
        <v>#DIV/0!</v>
      </c>
      <c r="Q94" s="7">
        <f t="shared" si="105"/>
        <v>0</v>
      </c>
      <c r="R94" s="7">
        <f t="shared" si="105"/>
        <v>0</v>
      </c>
      <c r="S94" s="7">
        <f t="shared" si="105"/>
        <v>0</v>
      </c>
      <c r="T94" s="7">
        <f t="shared" si="105"/>
        <v>0</v>
      </c>
      <c r="U94" s="7">
        <f t="shared" si="105"/>
        <v>0</v>
      </c>
      <c r="V94" s="7">
        <f t="shared" si="105"/>
        <v>0</v>
      </c>
      <c r="W94" s="7">
        <f t="shared" si="105"/>
        <v>0</v>
      </c>
      <c r="X94" s="7">
        <f t="shared" si="105"/>
        <v>0</v>
      </c>
      <c r="Y94" s="7">
        <f t="shared" si="86"/>
        <v>0</v>
      </c>
    </row>
    <row r="95" spans="1:25">
      <c r="A95" s="1" t="s">
        <v>157</v>
      </c>
      <c r="B95" s="1"/>
      <c r="C95" s="1"/>
      <c r="D95" s="11">
        <f>-41.7</f>
        <v>-41.7</v>
      </c>
      <c r="E95" s="11">
        <f>-30.1+14.3</f>
        <v>-15.8</v>
      </c>
      <c r="F95" s="11">
        <f>-34.6-28.7</f>
        <v>-63.3</v>
      </c>
      <c r="G95" s="11">
        <f>-53.1-38.6</f>
        <v>-91.7</v>
      </c>
      <c r="H95" s="11">
        <f>-43.1-48.9</f>
        <v>-92</v>
      </c>
      <c r="I95" s="11">
        <f>-51.8-17+0.1</f>
        <v>-68.7</v>
      </c>
      <c r="J95" s="11">
        <v>-87.6</v>
      </c>
      <c r="K95" s="11">
        <v>-100.2</v>
      </c>
      <c r="L95" s="7">
        <f t="shared" ref="L95:L96" si="106">RATE(5,,-F95,K95)</f>
        <v>9.6207583837498861E-2</v>
      </c>
      <c r="M95" s="1"/>
      <c r="N95" s="1" t="str">
        <f>A95</f>
        <v xml:space="preserve">   Other (Income) Expense</v>
      </c>
      <c r="O95" s="7" t="e">
        <f t="shared" si="105"/>
        <v>#DIV/0!</v>
      </c>
      <c r="P95" s="7" t="e">
        <f t="shared" si="105"/>
        <v>#DIV/0!</v>
      </c>
      <c r="Q95" s="7">
        <f t="shared" si="105"/>
        <v>-1.2705280155997686E-2</v>
      </c>
      <c r="R95" s="7">
        <f t="shared" si="105"/>
        <v>-4.638736384721529E-3</v>
      </c>
      <c r="S95" s="7">
        <f t="shared" si="105"/>
        <v>-1.6590224085965142E-2</v>
      </c>
      <c r="T95" s="7">
        <f t="shared" si="105"/>
        <v>-2.2945651085977379E-2</v>
      </c>
      <c r="U95" s="7">
        <f t="shared" si="105"/>
        <v>-2.170937750719713E-2</v>
      </c>
      <c r="V95" s="7">
        <f t="shared" si="105"/>
        <v>-1.5605124477557698E-2</v>
      </c>
      <c r="W95" s="7">
        <f t="shared" si="105"/>
        <v>-2.136116462239996E-2</v>
      </c>
      <c r="X95" s="7">
        <f t="shared" si="105"/>
        <v>-2.3842950624628198E-2</v>
      </c>
      <c r="Y95" s="7">
        <f t="shared" si="86"/>
        <v>-2.0338914584637754E-2</v>
      </c>
    </row>
    <row r="96" spans="1:25">
      <c r="A96" s="1" t="s">
        <v>83</v>
      </c>
      <c r="B96" s="1">
        <f t="shared" ref="B96:J96" si="107">SUM(B92:B95)</f>
        <v>0</v>
      </c>
      <c r="C96" s="1">
        <f t="shared" si="107"/>
        <v>0</v>
      </c>
      <c r="D96" s="11">
        <f t="shared" ref="D96:G96" si="108">SUM(D92:D95)</f>
        <v>172.10000000000002</v>
      </c>
      <c r="E96" s="11">
        <f t="shared" si="108"/>
        <v>177.6</v>
      </c>
      <c r="F96" s="11">
        <f t="shared" si="108"/>
        <v>110.10000000000001</v>
      </c>
      <c r="G96" s="11">
        <f t="shared" si="108"/>
        <v>80.999999999999986</v>
      </c>
      <c r="H96" s="11">
        <f>SUM(H92:H95)</f>
        <v>75.599999999999994</v>
      </c>
      <c r="I96" s="11">
        <f t="shared" si="107"/>
        <v>84.999999999999986</v>
      </c>
      <c r="J96" s="11">
        <f t="shared" si="107"/>
        <v>69.099999999999994</v>
      </c>
      <c r="K96" s="11">
        <f t="shared" ref="K96" si="109">SUM(K92:K95)</f>
        <v>106.2</v>
      </c>
      <c r="L96" s="7">
        <f t="shared" si="106"/>
        <v>-7.1870358261500291E-3</v>
      </c>
      <c r="M96" s="1"/>
      <c r="N96" s="1" t="str">
        <f>A96</f>
        <v>Total Other Income/Expense</v>
      </c>
      <c r="O96" s="7" t="e">
        <f t="shared" si="105"/>
        <v>#DIV/0!</v>
      </c>
      <c r="P96" s="7" t="e">
        <f t="shared" si="105"/>
        <v>#DIV/0!</v>
      </c>
      <c r="Q96" s="7">
        <f t="shared" si="105"/>
        <v>5.2435940404009639E-2</v>
      </c>
      <c r="R96" s="7">
        <f t="shared" si="105"/>
        <v>5.2141745691553387E-2</v>
      </c>
      <c r="S96" s="7">
        <f t="shared" si="105"/>
        <v>2.8855982177958331E-2</v>
      </c>
      <c r="T96" s="7">
        <f t="shared" si="105"/>
        <v>2.0268241417275543E-2</v>
      </c>
      <c r="U96" s="7">
        <f t="shared" si="105"/>
        <v>1.7839444995044595E-2</v>
      </c>
      <c r="V96" s="7">
        <f t="shared" si="105"/>
        <v>1.9307650372524077E-2</v>
      </c>
      <c r="W96" s="7">
        <f t="shared" si="105"/>
        <v>1.6849959764929649E-2</v>
      </c>
      <c r="X96" s="7">
        <f t="shared" si="105"/>
        <v>2.5270672218917312E-2</v>
      </c>
      <c r="Y96" s="7">
        <f t="shared" si="86"/>
        <v>2.1288198582133263E-2</v>
      </c>
    </row>
    <row r="97" spans="1:25">
      <c r="A97" s="1"/>
      <c r="B97" s="1"/>
      <c r="C97" s="1"/>
      <c r="D97" s="11"/>
      <c r="E97" s="11"/>
      <c r="F97" s="11"/>
      <c r="G97" s="11"/>
      <c r="H97" s="11"/>
      <c r="I97" s="11"/>
      <c r="J97" s="11"/>
      <c r="K97" s="11"/>
      <c r="L97" s="7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7"/>
    </row>
    <row r="98" spans="1:25">
      <c r="A98" s="1" t="s">
        <v>84</v>
      </c>
      <c r="B98" s="1">
        <f t="shared" ref="B98:H98" si="110">B90-B96</f>
        <v>0</v>
      </c>
      <c r="C98" s="1">
        <f t="shared" si="110"/>
        <v>0</v>
      </c>
      <c r="D98" s="11">
        <f t="shared" si="110"/>
        <v>312.00000000000034</v>
      </c>
      <c r="E98" s="11">
        <f t="shared" si="110"/>
        <v>352.39999999999952</v>
      </c>
      <c r="F98" s="11">
        <f t="shared" si="110"/>
        <v>452.80000000000007</v>
      </c>
      <c r="G98" s="11">
        <f t="shared" si="110"/>
        <v>487.5</v>
      </c>
      <c r="H98" s="11">
        <f t="shared" si="110"/>
        <v>552.90000000000089</v>
      </c>
      <c r="I98" s="11">
        <f>I90-I96</f>
        <v>570.19999999999936</v>
      </c>
      <c r="J98" s="11">
        <f>J90-J96</f>
        <v>591.19999999999925</v>
      </c>
      <c r="K98" s="11">
        <f>K90-K96</f>
        <v>704.3</v>
      </c>
      <c r="L98" s="7">
        <f t="shared" ref="L98:L101" si="111">RATE(5,,-F98,K98)</f>
        <v>9.2371231320297231E-2</v>
      </c>
      <c r="M98" s="1"/>
      <c r="N98" s="1" t="s">
        <v>84</v>
      </c>
      <c r="O98" s="7" t="e">
        <f t="shared" ref="O98:X101" si="112">B98/B$78</f>
        <v>#DIV/0!</v>
      </c>
      <c r="P98" s="7" t="e">
        <f t="shared" si="112"/>
        <v>#DIV/0!</v>
      </c>
      <c r="Q98" s="7">
        <f t="shared" si="112"/>
        <v>9.5061088936961205E-2</v>
      </c>
      <c r="R98" s="7">
        <f t="shared" si="112"/>
        <v>0.10346143683391548</v>
      </c>
      <c r="S98" s="7">
        <f t="shared" si="112"/>
        <v>0.11867383042851529</v>
      </c>
      <c r="T98" s="7">
        <f t="shared" si="112"/>
        <v>0.12198478630767691</v>
      </c>
      <c r="U98" s="7">
        <f t="shared" si="112"/>
        <v>0.13046863938836209</v>
      </c>
      <c r="V98" s="7">
        <f t="shared" si="112"/>
        <v>0.12952026167544961</v>
      </c>
      <c r="W98" s="7">
        <f t="shared" si="112"/>
        <v>0.14416347631007811</v>
      </c>
      <c r="X98" s="7">
        <f t="shared" si="112"/>
        <v>0.16759071980963711</v>
      </c>
      <c r="Y98" s="7">
        <f t="shared" si="86"/>
        <v>0.13568297953990022</v>
      </c>
    </row>
    <row r="99" spans="1:25">
      <c r="A99" s="1" t="s">
        <v>85</v>
      </c>
      <c r="B99" s="1"/>
      <c r="C99" s="1"/>
      <c r="D99" s="11">
        <v>43</v>
      </c>
      <c r="E99" s="11">
        <v>86.8</v>
      </c>
      <c r="F99" s="11">
        <v>5.0999999999999996</v>
      </c>
      <c r="G99" s="11">
        <v>3.9</v>
      </c>
      <c r="H99" s="11">
        <v>-0.9</v>
      </c>
      <c r="I99" s="11">
        <v>4</v>
      </c>
      <c r="J99" s="11">
        <v>6.7</v>
      </c>
      <c r="K99" s="11">
        <v>2.1</v>
      </c>
      <c r="L99" s="7">
        <f t="shared" si="111"/>
        <v>-0.16260604064813797</v>
      </c>
      <c r="M99" s="1"/>
      <c r="N99" s="1" t="str">
        <f>A99</f>
        <v>Extraordinary Items</v>
      </c>
      <c r="O99" s="7" t="e">
        <f t="shared" si="112"/>
        <v>#DIV/0!</v>
      </c>
      <c r="P99" s="7" t="e">
        <f t="shared" si="112"/>
        <v>#DIV/0!</v>
      </c>
      <c r="Q99" s="7">
        <f t="shared" si="112"/>
        <v>1.3101368026568356E-2</v>
      </c>
      <c r="R99" s="7">
        <f t="shared" si="112"/>
        <v>2.548369102492587E-2</v>
      </c>
      <c r="S99" s="7">
        <f t="shared" si="112"/>
        <v>1.3366531254095136E-3</v>
      </c>
      <c r="T99" s="7">
        <f t="shared" si="112"/>
        <v>9.7587829046141524E-4</v>
      </c>
      <c r="U99" s="7">
        <f t="shared" si="112"/>
        <v>-2.1237434517910235E-4</v>
      </c>
      <c r="V99" s="7">
        <f t="shared" si="112"/>
        <v>9.0859531164819195E-4</v>
      </c>
      <c r="W99" s="7">
        <f t="shared" si="112"/>
        <v>1.6337877051378967E-3</v>
      </c>
      <c r="X99" s="7">
        <f t="shared" si="112"/>
        <v>4.9970255800118983E-4</v>
      </c>
      <c r="Y99" s="7">
        <f t="shared" si="86"/>
        <v>8.4425683181515228E-4</v>
      </c>
    </row>
    <row r="100" spans="1:25">
      <c r="A100" s="1" t="s">
        <v>86</v>
      </c>
      <c r="B100" s="1"/>
      <c r="C100" s="1"/>
      <c r="D100" s="11">
        <v>110.7</v>
      </c>
      <c r="E100" s="11">
        <v>132.80000000000001</v>
      </c>
      <c r="F100" s="11">
        <v>149.19999999999999</v>
      </c>
      <c r="G100" s="11">
        <v>175</v>
      </c>
      <c r="H100" s="11">
        <v>216.4</v>
      </c>
      <c r="I100" s="11">
        <v>215.1</v>
      </c>
      <c r="J100" s="11">
        <v>215.5</v>
      </c>
      <c r="K100" s="11">
        <v>249.9</v>
      </c>
      <c r="L100" s="7">
        <f t="shared" si="111"/>
        <v>0.10866282837133397</v>
      </c>
      <c r="M100" s="1"/>
      <c r="N100" s="1" t="str">
        <f>A100</f>
        <v>Income Taxes</v>
      </c>
      <c r="O100" s="7" t="e">
        <f t="shared" si="112"/>
        <v>#DIV/0!</v>
      </c>
      <c r="P100" s="7" t="e">
        <f t="shared" si="112"/>
        <v>#DIV/0!</v>
      </c>
      <c r="Q100" s="7">
        <f t="shared" si="112"/>
        <v>3.3728405593979466E-2</v>
      </c>
      <c r="R100" s="7">
        <f t="shared" si="112"/>
        <v>3.8988872904494883E-2</v>
      </c>
      <c r="S100" s="7">
        <f t="shared" si="112"/>
        <v>3.9103656139431266E-2</v>
      </c>
      <c r="T100" s="7">
        <f t="shared" si="112"/>
        <v>4.3789410469422481E-2</v>
      </c>
      <c r="U100" s="7">
        <f t="shared" si="112"/>
        <v>5.1064231440841948E-2</v>
      </c>
      <c r="V100" s="7">
        <f t="shared" si="112"/>
        <v>4.8859712883881523E-2</v>
      </c>
      <c r="W100" s="7">
        <f t="shared" si="112"/>
        <v>5.2549440366748766E-2</v>
      </c>
      <c r="X100" s="7">
        <f t="shared" si="112"/>
        <v>5.9464604402141581E-2</v>
      </c>
      <c r="Y100" s="7">
        <f t="shared" si="86"/>
        <v>4.9326412312415427E-2</v>
      </c>
    </row>
    <row r="101" spans="1:25">
      <c r="A101" s="1" t="s">
        <v>87</v>
      </c>
      <c r="B101" s="1">
        <f t="shared" ref="B101:H101" si="113">B98+B99-B100</f>
        <v>0</v>
      </c>
      <c r="C101" s="1">
        <f t="shared" si="113"/>
        <v>0</v>
      </c>
      <c r="D101" s="11">
        <f t="shared" si="113"/>
        <v>244.30000000000035</v>
      </c>
      <c r="E101" s="11">
        <f t="shared" si="113"/>
        <v>306.39999999999952</v>
      </c>
      <c r="F101" s="11">
        <f t="shared" si="113"/>
        <v>308.7000000000001</v>
      </c>
      <c r="G101" s="11">
        <f t="shared" si="113"/>
        <v>316.39999999999998</v>
      </c>
      <c r="H101" s="11">
        <f t="shared" si="113"/>
        <v>335.60000000000093</v>
      </c>
      <c r="I101" s="11">
        <f>I98+I99-I100</f>
        <v>359.09999999999934</v>
      </c>
      <c r="J101" s="11">
        <f>J98+J99-J100</f>
        <v>382.3999999999993</v>
      </c>
      <c r="K101" s="11">
        <f>K98+K99-K100</f>
        <v>456.5</v>
      </c>
      <c r="L101" s="7">
        <f t="shared" si="111"/>
        <v>8.138621844583839E-2</v>
      </c>
      <c r="M101" s="1"/>
      <c r="N101" s="1" t="s">
        <v>87</v>
      </c>
      <c r="O101" s="7" t="e">
        <f t="shared" si="112"/>
        <v>#DIV/0!</v>
      </c>
      <c r="P101" s="7" t="e">
        <f t="shared" si="112"/>
        <v>#DIV/0!</v>
      </c>
      <c r="Q101" s="7">
        <f t="shared" si="112"/>
        <v>7.4434051369550086E-2</v>
      </c>
      <c r="R101" s="7">
        <f t="shared" si="112"/>
        <v>8.9956254954346476E-2</v>
      </c>
      <c r="S101" s="7">
        <f t="shared" si="112"/>
        <v>8.0906827414493537E-2</v>
      </c>
      <c r="T101" s="7">
        <f t="shared" si="112"/>
        <v>7.917125412871584E-2</v>
      </c>
      <c r="U101" s="7">
        <f t="shared" si="112"/>
        <v>7.9192033602341047E-2</v>
      </c>
      <c r="V101" s="7">
        <f t="shared" si="112"/>
        <v>8.1569144103216279E-2</v>
      </c>
      <c r="W101" s="7">
        <f t="shared" si="112"/>
        <v>9.3247823648467246E-2</v>
      </c>
      <c r="X101" s="7">
        <f t="shared" si="112"/>
        <v>0.10862581796549672</v>
      </c>
      <c r="Y101" s="7">
        <f t="shared" si="86"/>
        <v>8.720082405929995E-2</v>
      </c>
    </row>
    <row r="102" spans="1:25">
      <c r="A102" s="1"/>
      <c r="B102" s="1"/>
      <c r="C102" s="1"/>
      <c r="D102" s="11"/>
      <c r="E102" s="11"/>
      <c r="F102" s="11"/>
      <c r="G102" s="11"/>
      <c r="H102" s="11"/>
      <c r="I102" s="11"/>
      <c r="J102" s="11"/>
      <c r="K102" s="11"/>
      <c r="L102" s="7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7"/>
    </row>
    <row r="103" spans="1:25">
      <c r="A103" s="1" t="s">
        <v>88</v>
      </c>
      <c r="B103" s="1"/>
      <c r="C103" s="1"/>
      <c r="D103" s="11"/>
      <c r="E103" s="11"/>
      <c r="F103" s="11"/>
      <c r="G103" s="11"/>
      <c r="H103" s="11"/>
      <c r="I103" s="11"/>
      <c r="J103" s="11"/>
      <c r="K103" s="11"/>
      <c r="L103" s="7"/>
      <c r="M103" s="1"/>
      <c r="N103" s="1" t="s">
        <v>89</v>
      </c>
      <c r="O103" s="7" t="e">
        <f t="shared" ref="O103:X104" si="114">B103/B$101</f>
        <v>#DIV/0!</v>
      </c>
      <c r="P103" s="7" t="e">
        <f t="shared" si="114"/>
        <v>#DIV/0!</v>
      </c>
      <c r="Q103" s="7">
        <f t="shared" si="114"/>
        <v>0</v>
      </c>
      <c r="R103" s="7">
        <f t="shared" si="114"/>
        <v>0</v>
      </c>
      <c r="S103" s="7">
        <f t="shared" si="114"/>
        <v>0</v>
      </c>
      <c r="T103" s="7">
        <f t="shared" si="114"/>
        <v>0</v>
      </c>
      <c r="U103" s="7">
        <f t="shared" si="114"/>
        <v>0</v>
      </c>
      <c r="V103" s="7">
        <f t="shared" si="114"/>
        <v>0</v>
      </c>
      <c r="W103" s="7">
        <f t="shared" si="114"/>
        <v>0</v>
      </c>
      <c r="X103" s="7">
        <f t="shared" si="114"/>
        <v>0</v>
      </c>
      <c r="Y103" s="7">
        <f>SUM(F103:K103)/SUM(F$101:K$101)</f>
        <v>0</v>
      </c>
    </row>
    <row r="104" spans="1:25">
      <c r="A104" s="1" t="s">
        <v>90</v>
      </c>
      <c r="B104" s="1"/>
      <c r="C104" s="1"/>
      <c r="D104" s="11">
        <v>93.7</v>
      </c>
      <c r="E104" s="11">
        <v>97.8</v>
      </c>
      <c r="F104" s="11">
        <v>102.9</v>
      </c>
      <c r="G104" s="11">
        <v>107.6</v>
      </c>
      <c r="H104" s="11">
        <v>116.9</v>
      </c>
      <c r="I104" s="11">
        <v>126.3</v>
      </c>
      <c r="J104" s="11">
        <v>157.80000000000001</v>
      </c>
      <c r="K104" s="11">
        <v>187</v>
      </c>
      <c r="L104" s="7">
        <f t="shared" ref="L104" si="115">RATE(5,,-F104,K104)</f>
        <v>0.12689965610031692</v>
      </c>
      <c r="M104" s="1"/>
      <c r="N104" s="1" t="s">
        <v>91</v>
      </c>
      <c r="O104" s="7" t="e">
        <f t="shared" si="114"/>
        <v>#DIV/0!</v>
      </c>
      <c r="P104" s="7" t="e">
        <f t="shared" si="114"/>
        <v>#DIV/0!</v>
      </c>
      <c r="Q104" s="7">
        <f t="shared" si="114"/>
        <v>0.38354482194023687</v>
      </c>
      <c r="R104" s="7">
        <f t="shared" si="114"/>
        <v>0.31919060052219372</v>
      </c>
      <c r="S104" s="7">
        <f t="shared" si="114"/>
        <v>0.33333333333333326</v>
      </c>
      <c r="T104" s="7">
        <f t="shared" si="114"/>
        <v>0.34007585335018964</v>
      </c>
      <c r="U104" s="7">
        <f t="shared" si="114"/>
        <v>0.34833134684147699</v>
      </c>
      <c r="V104" s="7">
        <f t="shared" si="114"/>
        <v>0.35171261487051025</v>
      </c>
      <c r="W104" s="7">
        <f>J104/J$101</f>
        <v>0.41265690376569114</v>
      </c>
      <c r="X104" s="7">
        <f>K104/K$101</f>
        <v>0.40963855421686746</v>
      </c>
      <c r="Y104" s="7">
        <f>SUM(F104:K104)/SUM(F$101:K$101)</f>
        <v>0.36989855005327282</v>
      </c>
    </row>
    <row r="105" spans="1:25">
      <c r="A105" s="1"/>
      <c r="B105" s="1"/>
      <c r="C105" s="1"/>
      <c r="D105" s="11"/>
      <c r="E105" s="11"/>
      <c r="F105" s="11"/>
      <c r="G105" s="11"/>
      <c r="H105" s="11"/>
      <c r="I105" s="11"/>
      <c r="J105" s="11"/>
      <c r="K105" s="11"/>
      <c r="L105" s="7"/>
      <c r="M105" s="1"/>
      <c r="N105" s="1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8" t="s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8" t="s">
        <v>92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>
      <c r="A109" s="2" t="str">
        <f>A3</f>
        <v>Wisconsin Energy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8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>
      <c r="A110" s="2" t="s">
        <v>93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8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>
      <c r="A111" s="2" t="str">
        <f>A5</f>
        <v>Fiscal Years Ended December 31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8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8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>
      <c r="A113" s="2"/>
      <c r="B113" s="2"/>
      <c r="C113" s="2"/>
      <c r="D113" s="2"/>
      <c r="E113" s="2"/>
      <c r="F113" s="2"/>
      <c r="G113" s="2"/>
      <c r="H113" s="2"/>
      <c r="I113" s="10"/>
      <c r="J113" s="3"/>
      <c r="K113" s="3"/>
      <c r="L113" s="10" t="str">
        <f>L6</f>
        <v>2005-2010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>
      <c r="A114" s="2" t="s">
        <v>94</v>
      </c>
      <c r="B114" s="5">
        <f t="shared" ref="B114:G114" si="116">O8</f>
        <v>2001</v>
      </c>
      <c r="C114" s="5">
        <f t="shared" si="116"/>
        <v>2002</v>
      </c>
      <c r="D114" s="5">
        <f t="shared" si="116"/>
        <v>2003</v>
      </c>
      <c r="E114" s="5">
        <f t="shared" si="116"/>
        <v>2004</v>
      </c>
      <c r="F114" s="5">
        <f t="shared" si="116"/>
        <v>2005</v>
      </c>
      <c r="G114" s="5">
        <f t="shared" si="116"/>
        <v>2006</v>
      </c>
      <c r="H114" s="5">
        <f>U8</f>
        <v>2007</v>
      </c>
      <c r="I114" s="5">
        <f>V8</f>
        <v>2008</v>
      </c>
      <c r="J114" s="162">
        <f>J8</f>
        <v>2009</v>
      </c>
      <c r="K114" s="162">
        <f>K8</f>
        <v>2010</v>
      </c>
      <c r="L114" s="10" t="s">
        <v>60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>
      <c r="A116" s="1" t="s">
        <v>95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>
      <c r="A117" s="1" t="s">
        <v>96</v>
      </c>
      <c r="B117" s="1" t="e">
        <f t="shared" ref="B117:G117" si="117">B15/B48</f>
        <v>#DIV/0!</v>
      </c>
      <c r="C117" s="1" t="e">
        <f t="shared" si="117"/>
        <v>#DIV/0!</v>
      </c>
      <c r="D117" s="1">
        <f t="shared" si="117"/>
        <v>1.4113547858167659</v>
      </c>
      <c r="E117" s="1">
        <f t="shared" si="117"/>
        <v>1.2298468359532446</v>
      </c>
      <c r="F117" s="1">
        <f t="shared" si="117"/>
        <v>0.83616711197473881</v>
      </c>
      <c r="G117" s="1">
        <f t="shared" si="117"/>
        <v>0.65780713342140018</v>
      </c>
      <c r="H117" s="1">
        <f>H15/H48</f>
        <v>0.73905226146715663</v>
      </c>
      <c r="I117" s="1">
        <f>I15/I48</f>
        <v>0.98426331565598357</v>
      </c>
      <c r="J117" s="1">
        <f>J15/J48</f>
        <v>0.80740193231613966</v>
      </c>
      <c r="K117" s="1">
        <f>K15/K48</f>
        <v>0.77340073208994242</v>
      </c>
      <c r="L117" s="12">
        <f t="shared" ref="L117:L119" si="118">AVERAGE(F117:K117)</f>
        <v>0.79968208115422679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>
      <c r="A118" s="1" t="s">
        <v>97</v>
      </c>
      <c r="B118" s="1" t="e">
        <f t="shared" ref="B118:G118" si="119">(B11+B12)/B48</f>
        <v>#DIV/0!</v>
      </c>
      <c r="C118" s="1" t="e">
        <f t="shared" si="119"/>
        <v>#DIV/0!</v>
      </c>
      <c r="D118" s="1">
        <f t="shared" si="119"/>
        <v>0.39215686274509803</v>
      </c>
      <c r="E118" s="1">
        <f t="shared" si="119"/>
        <v>0.63119709794437717</v>
      </c>
      <c r="F118" s="1">
        <f t="shared" si="119"/>
        <v>0.47237065824629587</v>
      </c>
      <c r="G118" s="1">
        <f t="shared" si="119"/>
        <v>0.35619550858652577</v>
      </c>
      <c r="H118" s="1">
        <f>(H11+H12)/H48</f>
        <v>0.44330350007991048</v>
      </c>
      <c r="I118" s="1">
        <f>(I11+I12)/I48</f>
        <v>0.55182153562370317</v>
      </c>
      <c r="J118" s="1">
        <f>(J11+J12)/J48</f>
        <v>0.27105221477218733</v>
      </c>
      <c r="K118" s="1">
        <f>(K11+K12)/K48</f>
        <v>0.21927836848527107</v>
      </c>
      <c r="L118" s="12">
        <f t="shared" si="118"/>
        <v>0.38567029763231564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>
      <c r="A119" s="1" t="s">
        <v>98</v>
      </c>
      <c r="B119" s="1" t="e">
        <f>365*(B12/B78)</f>
        <v>#DIV/0!</v>
      </c>
      <c r="C119" s="1" t="e">
        <f t="shared" ref="C119:I119" si="120">365*(((B12+C12)/2)/((B78+C78)/2))</f>
        <v>#DIV/0!</v>
      </c>
      <c r="D119" s="1">
        <f t="shared" si="120"/>
        <v>60.709149629810184</v>
      </c>
      <c r="E119" s="1">
        <f t="shared" si="120"/>
        <v>62.033955324302497</v>
      </c>
      <c r="F119" s="1">
        <f t="shared" si="120"/>
        <v>65.478218123407544</v>
      </c>
      <c r="G119" s="1">
        <f t="shared" si="120"/>
        <v>62.693710876995361</v>
      </c>
      <c r="H119" s="1">
        <f t="shared" si="120"/>
        <v>58.117546331155417</v>
      </c>
      <c r="I119" s="1">
        <f t="shared" si="120"/>
        <v>58.495810282169387</v>
      </c>
      <c r="J119" s="1">
        <f>365*((I12+J12)/2)/((I78+J78*(2))/2)</f>
        <v>29.230811951571706</v>
      </c>
      <c r="K119" s="1">
        <f>365*((J12+K12)/2)/((J78+K78*(2))/2)</f>
        <v>18.775497964960536</v>
      </c>
      <c r="L119" s="12">
        <f t="shared" si="118"/>
        <v>48.798599255043321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>
      <c r="A121" s="1" t="s">
        <v>99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>
      <c r="A122" s="1" t="s">
        <v>100</v>
      </c>
      <c r="B122" s="1" t="e">
        <f t="shared" ref="B122:I122" si="121">B62/B55</f>
        <v>#DIV/0!</v>
      </c>
      <c r="C122" s="1" t="e">
        <f t="shared" si="121"/>
        <v>#DIV/0!</v>
      </c>
      <c r="D122" s="1">
        <f t="shared" si="121"/>
        <v>0.30932147821753614</v>
      </c>
      <c r="E122" s="1">
        <f t="shared" si="121"/>
        <v>0.35384659074773517</v>
      </c>
      <c r="F122" s="1">
        <f t="shared" si="121"/>
        <v>0.34575243501257819</v>
      </c>
      <c r="G122" s="1">
        <f t="shared" si="121"/>
        <v>0.35185365616017933</v>
      </c>
      <c r="H122" s="1">
        <f t="shared" si="121"/>
        <v>0.36076221960957777</v>
      </c>
      <c r="I122" s="1">
        <f t="shared" si="121"/>
        <v>0.36072644721906927</v>
      </c>
      <c r="J122" s="1">
        <f>J62/J55</f>
        <v>0.3919411906907237</v>
      </c>
      <c r="K122" s="1">
        <f>K62/K55</f>
        <v>0.41204902842651692</v>
      </c>
      <c r="L122" s="12">
        <f>AVERAGE(F122:K122)</f>
        <v>0.37051416285310751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>
      <c r="A123" s="1" t="s">
        <v>101</v>
      </c>
      <c r="B123" s="1" t="e">
        <f t="shared" ref="B123:I123" si="122">B62/B53</f>
        <v>#DIV/0!</v>
      </c>
      <c r="C123" s="1" t="e">
        <f t="shared" si="122"/>
        <v>#DIV/0!</v>
      </c>
      <c r="D123" s="1">
        <f t="shared" si="122"/>
        <v>0.38280020124316338</v>
      </c>
      <c r="E123" s="1">
        <f t="shared" si="122"/>
        <v>0.41188721034015408</v>
      </c>
      <c r="F123" s="1">
        <f t="shared" si="122"/>
        <v>0.4390223925827641</v>
      </c>
      <c r="G123" s="1">
        <f t="shared" si="122"/>
        <v>0.45724324580979059</v>
      </c>
      <c r="H123" s="1">
        <f t="shared" si="122"/>
        <v>0.50907537903053601</v>
      </c>
      <c r="I123" s="1">
        <f t="shared" si="122"/>
        <v>0.44399057971978662</v>
      </c>
      <c r="J123" s="1">
        <f>J62/J53</f>
        <v>0.49495594255186293</v>
      </c>
      <c r="K123" s="1">
        <f>K62/K53</f>
        <v>0.50652793690549136</v>
      </c>
      <c r="L123" s="12">
        <f t="shared" ref="L123:L125" si="123">AVERAGE(F123:K123)</f>
        <v>0.47513591276670519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>
      <c r="A124" s="1" t="s">
        <v>102</v>
      </c>
      <c r="B124" s="1" t="e">
        <f t="shared" ref="B124:I124" si="124">B62/B26</f>
        <v>#DIV/0!</v>
      </c>
      <c r="C124" s="1" t="e">
        <f t="shared" si="124"/>
        <v>#DIV/0!</v>
      </c>
      <c r="D124" s="1">
        <f t="shared" si="124"/>
        <v>0.40665138010102919</v>
      </c>
      <c r="E124" s="1">
        <f t="shared" si="124"/>
        <v>0.42479203600163645</v>
      </c>
      <c r="F124" s="1">
        <f t="shared" si="124"/>
        <v>0.42120731113171656</v>
      </c>
      <c r="G124" s="1">
        <f t="shared" si="124"/>
        <v>0.40964197093229354</v>
      </c>
      <c r="H124" s="1">
        <f t="shared" si="124"/>
        <v>0.40347862313180227</v>
      </c>
      <c r="I124" s="1">
        <f t="shared" si="124"/>
        <v>0.39245642509350082</v>
      </c>
      <c r="J124" s="1">
        <f>J62/J26</f>
        <v>0.39562767585793823</v>
      </c>
      <c r="K124" s="1">
        <f>K62/K26</f>
        <v>0.39599020986304229</v>
      </c>
      <c r="L124" s="12">
        <f t="shared" si="123"/>
        <v>0.40306703600171567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>
      <c r="A125" s="1" t="s">
        <v>103</v>
      </c>
      <c r="B125" s="1" t="e">
        <f t="shared" ref="B125:I125" si="125">(B98+B92)/B92</f>
        <v>#DIV/0!</v>
      </c>
      <c r="C125" s="1" t="e">
        <f t="shared" si="125"/>
        <v>#DIV/0!</v>
      </c>
      <c r="D125" s="1">
        <f t="shared" si="125"/>
        <v>2.4593077642656707</v>
      </c>
      <c r="E125" s="1">
        <f t="shared" si="125"/>
        <v>2.8221302998965849</v>
      </c>
      <c r="F125" s="1">
        <f t="shared" si="125"/>
        <v>3.611303344867359</v>
      </c>
      <c r="G125" s="1">
        <f t="shared" si="125"/>
        <v>3.8228141285466131</v>
      </c>
      <c r="H125" s="1">
        <f t="shared" si="125"/>
        <v>4.2989260143198145</v>
      </c>
      <c r="I125" s="1">
        <f t="shared" si="125"/>
        <v>4.7098243331164573</v>
      </c>
      <c r="J125" s="1">
        <f>(J98+J92)/J92</f>
        <v>4.7728142948308818</v>
      </c>
      <c r="K125" s="1">
        <f>(K98+K92)/K92</f>
        <v>4.4123062015503871</v>
      </c>
      <c r="L125" s="12">
        <f t="shared" si="123"/>
        <v>4.2713313862052518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>
      <c r="A127" s="1" t="s">
        <v>104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>
      <c r="A128" s="7" t="s">
        <v>105</v>
      </c>
      <c r="B128" s="7" t="e">
        <f>(B101+(B92*(1-(B100/B98))))/((B38)/1)</f>
        <v>#DIV/0!</v>
      </c>
      <c r="C128" s="7" t="e">
        <f t="shared" ref="C128:E128" si="126">(C101+(C92*(1-(C100/C98))))/((B38+C38)/2)</f>
        <v>#DIV/0!</v>
      </c>
      <c r="D128" s="7">
        <f t="shared" si="126"/>
        <v>7.6337733363546018E-2</v>
      </c>
      <c r="E128" s="7">
        <f t="shared" si="126"/>
        <v>4.3607809507490242E-2</v>
      </c>
      <c r="F128" s="7">
        <f>(F101+(F92*(1-(F100/F98))))/((E38+F38)/2)</f>
        <v>4.2438237706215284E-2</v>
      </c>
      <c r="G128" s="7">
        <f t="shared" ref="G128:K128" si="127">(G101+(G92*(1-(G100/G98))))/((F38+G38)/2)</f>
        <v>3.9561057067378787E-2</v>
      </c>
      <c r="H128" s="7">
        <f t="shared" si="127"/>
        <v>3.8301384550230452E-2</v>
      </c>
      <c r="I128" s="7">
        <f t="shared" si="127"/>
        <v>3.7375047185984958E-2</v>
      </c>
      <c r="J128" s="7">
        <f t="shared" si="127"/>
        <v>3.8077622628537422E-2</v>
      </c>
      <c r="K128" s="7">
        <f t="shared" si="127"/>
        <v>4.5785537660769371E-2</v>
      </c>
      <c r="L128" s="7">
        <f>AVERAGE(F128:K128)</f>
        <v>4.0256481133186049E-2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>
      <c r="A129" s="7" t="s">
        <v>107</v>
      </c>
      <c r="B129" s="7" t="e">
        <f>(B101+(B92*(1-(B100/B98))))/((B50+B57+B62)/1)</f>
        <v>#DIV/0!</v>
      </c>
      <c r="C129" s="7" t="e">
        <f t="shared" ref="C129:E129" si="128">(C101+(C92*(1-(C100/C98))))/((B50+C50+B57+C57+B62+C62)/2)</f>
        <v>#DIV/0!</v>
      </c>
      <c r="D129" s="7">
        <f t="shared" si="128"/>
        <v>0.12827777548312497</v>
      </c>
      <c r="E129" s="7">
        <f t="shared" si="128"/>
        <v>7.2843624909415025E-2</v>
      </c>
      <c r="F129" s="7">
        <f>(F101+(F92*(1-(F100/F98))))/((E42+F42+E50+F50+E57+F57+E62+F62)/2)</f>
        <v>7.0239625288209984E-2</v>
      </c>
      <c r="G129" s="7">
        <f t="shared" ref="G129:K129" si="129">(G101+(G92*(1-(G100/G98))))/((F42+G42+F50+G50+F57+G57+F62+G62)/2)</f>
        <v>6.8189531125589231E-2</v>
      </c>
      <c r="H129" s="7">
        <f t="shared" si="129"/>
        <v>6.7612696429733402E-2</v>
      </c>
      <c r="I129" s="7">
        <f t="shared" si="129"/>
        <v>6.4245844316019166E-2</v>
      </c>
      <c r="J129" s="7">
        <f t="shared" si="129"/>
        <v>6.3117063969282572E-2</v>
      </c>
      <c r="K129" s="7">
        <f t="shared" si="129"/>
        <v>7.3677281601129477E-2</v>
      </c>
      <c r="L129" s="7">
        <f t="shared" ref="L129:L130" si="130">AVERAGE(F129:K129)</f>
        <v>6.7847007121660627E-2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>
      <c r="A130" s="7" t="s">
        <v>108</v>
      </c>
      <c r="B130" s="7" t="e">
        <f>(B101-B103)/((B62)/1)</f>
        <v>#DIV/0!</v>
      </c>
      <c r="C130" s="7" t="e">
        <f t="shared" ref="C130:F130" si="131">(C101-C103)/((C62+B62)/2)</f>
        <v>#DIV/0!</v>
      </c>
      <c r="D130" s="7">
        <f t="shared" si="131"/>
        <v>0.20714800525713348</v>
      </c>
      <c r="E130" s="7">
        <f t="shared" si="131"/>
        <v>0.12633228193868906</v>
      </c>
      <c r="F130" s="7">
        <f t="shared" si="131"/>
        <v>0.11937124185533926</v>
      </c>
      <c r="G130" s="7">
        <f t="shared" ref="G130" si="132">(G101-G103)/((G62+F62)/2)</f>
        <v>0.11362697742902801</v>
      </c>
      <c r="H130" s="7">
        <f t="shared" ref="H130" si="133">(H101-H103)/((H62+G62)/2)</f>
        <v>0.11208710463912393</v>
      </c>
      <c r="I130" s="7">
        <f t="shared" ref="I130" si="134">(I101-I103)/((I62+H62)/2)</f>
        <v>0.11158931651155181</v>
      </c>
      <c r="J130" s="7">
        <f t="shared" ref="J130" si="135">(J101-J103)/((J62+I62)/2)</f>
        <v>0.11077957067122433</v>
      </c>
      <c r="K130" s="7">
        <f t="shared" ref="K130" si="136">(K101-K103)/((K62+J62)/2)</f>
        <v>0.12389740806079522</v>
      </c>
      <c r="L130" s="7">
        <f t="shared" si="130"/>
        <v>0.11522526986117708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>
      <c r="A132" s="1" t="s">
        <v>109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>
      <c r="A133" s="1" t="s">
        <v>110</v>
      </c>
      <c r="B133" s="1" t="e">
        <f>B78/B11</f>
        <v>#DIV/0!</v>
      </c>
      <c r="C133" s="1" t="e">
        <f t="shared" ref="C133:F133" si="137">C78/((B11+C11)/2)</f>
        <v>#DIV/0!</v>
      </c>
      <c r="D133" s="1">
        <f t="shared" si="137"/>
        <v>233.60142348754445</v>
      </c>
      <c r="E133" s="1">
        <f t="shared" si="137"/>
        <v>106.94191522762951</v>
      </c>
      <c r="F133" s="1">
        <f t="shared" si="137"/>
        <v>70.137867647058812</v>
      </c>
      <c r="G133" s="1">
        <f t="shared" ref="G133" si="138">G78/((F11+G11)/2)</f>
        <v>72.529945553539022</v>
      </c>
      <c r="H133" s="1">
        <f t="shared" ref="H133" si="139">H78/((G11+H11)/2)</f>
        <v>17.937777777777779</v>
      </c>
      <c r="I133" s="1">
        <f t="shared" ref="I133" si="140">I78/((H11+I11)/2)</f>
        <v>12.908371206567951</v>
      </c>
      <c r="J133" s="1">
        <f t="shared" ref="J133" si="141">J78/((I11+J11)/2)</f>
        <v>17.779752872317363</v>
      </c>
      <c r="K133" s="1">
        <f t="shared" ref="K133" si="142">K78/((J11+K11)/2)</f>
        <v>33.959595959595958</v>
      </c>
      <c r="L133" s="12">
        <f t="shared" ref="L133:L137" si="143">AVERAGE(F133:K133)</f>
        <v>37.542218502809483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>
      <c r="A134" s="1" t="s">
        <v>111</v>
      </c>
      <c r="B134" s="1" t="e">
        <f>B78/B12</f>
        <v>#DIV/0!</v>
      </c>
      <c r="C134" s="1" t="e">
        <f t="shared" ref="C134:F134" si="144">C78/((B12+C12)/2)</f>
        <v>#DIV/0!</v>
      </c>
      <c r="D134" s="1">
        <f t="shared" si="144"/>
        <v>12.024546620260121</v>
      </c>
      <c r="E134" s="1">
        <f t="shared" si="144"/>
        <v>5.9929620832233663</v>
      </c>
      <c r="F134" s="1">
        <f t="shared" si="144"/>
        <v>5.8903898108838284</v>
      </c>
      <c r="G134" s="1">
        <f t="shared" ref="G134" si="145">G78/((F12+G12)/2)</f>
        <v>5.9567744820390516</v>
      </c>
      <c r="H134" s="1">
        <f t="shared" ref="H134" si="146">H78/((G12+H12)/2)</f>
        <v>6.4644954618259485</v>
      </c>
      <c r="I134" s="1">
        <f t="shared" ref="I134" si="147">I78/((H12+I12)/2)</f>
        <v>6.3586336390553901</v>
      </c>
      <c r="J134" s="1">
        <f t="shared" ref="J134" si="148">J78/((I12+J12)/2)</f>
        <v>8.1254210422032873</v>
      </c>
      <c r="K134" s="1">
        <f t="shared" ref="K134" si="149">K78/((J12+K12)/2)</f>
        <v>13.065443805378518</v>
      </c>
      <c r="L134" s="12">
        <f t="shared" si="143"/>
        <v>7.6435263735643373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>
      <c r="A135" s="1" t="s">
        <v>112</v>
      </c>
      <c r="B135" s="1" t="e">
        <f>B78/(B15-B48)</f>
        <v>#DIV/0!</v>
      </c>
      <c r="C135" s="1" t="e">
        <f t="shared" ref="C135:F135" si="150">C78/((B15+C15-B48-C48)/2)</f>
        <v>#DIV/0!</v>
      </c>
      <c r="D135" s="1">
        <f t="shared" si="150"/>
        <v>10.902175718319214</v>
      </c>
      <c r="E135" s="1">
        <f t="shared" si="150"/>
        <v>8.2054926523729215</v>
      </c>
      <c r="F135" s="1">
        <f t="shared" si="150"/>
        <v>-182.99760191846403</v>
      </c>
      <c r="G135" s="1">
        <f t="shared" ref="G135" si="151">G78/((F15+G15-F48-G48)/2)</f>
        <v>-8.7124482232395852</v>
      </c>
      <c r="H135" s="1">
        <f t="shared" ref="H135" si="152">H78/((G15+H15-G48-H48)/2)</f>
        <v>-6.5161835934496777</v>
      </c>
      <c r="I135" s="1">
        <f t="shared" ref="I135" si="153">I78/((H15+I15-H48-I48)/2)</f>
        <v>-12.940623162845382</v>
      </c>
      <c r="J135" s="1">
        <f t="shared" ref="J135" si="154">J78/((I15+J15-I48-J48)/2)</f>
        <v>-20.917623055343054</v>
      </c>
      <c r="K135" s="1">
        <f t="shared" ref="K135" si="155">K78/((J15+K15-J48-K48)/2)</f>
        <v>-11.135400105988339</v>
      </c>
      <c r="L135" s="12">
        <f t="shared" si="143"/>
        <v>-40.536646676555016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>
      <c r="A136" s="1" t="s">
        <v>113</v>
      </c>
      <c r="B136" s="1" t="e">
        <f>B78/(B26)</f>
        <v>#DIV/0!</v>
      </c>
      <c r="C136" s="1" t="e">
        <f t="shared" ref="C136:F136" si="156">C78/((B26+C26)/2)</f>
        <v>#DIV/0!</v>
      </c>
      <c r="D136" s="1">
        <f t="shared" si="156"/>
        <v>1.1317000844783889</v>
      </c>
      <c r="E136" s="1">
        <f t="shared" si="156"/>
        <v>0.58390118885374609</v>
      </c>
      <c r="F136" s="1">
        <f t="shared" si="156"/>
        <v>0.62399319666702091</v>
      </c>
      <c r="G136" s="1">
        <f t="shared" ref="G136" si="157">G78/((F26+G26)/2)</f>
        <v>0.59579289473291885</v>
      </c>
      <c r="H136" s="1">
        <f t="shared" ref="H136" si="158">H78/((G26+H26)/2)</f>
        <v>0.57525265208331922</v>
      </c>
      <c r="I136" s="1">
        <f t="shared" ref="I136" si="159">I78/((H26+I26)/2)</f>
        <v>0.54405022306256867</v>
      </c>
      <c r="J136" s="1">
        <f t="shared" ref="J136" si="160">J78/((I26+J26)/2)</f>
        <v>0.46818202575577672</v>
      </c>
      <c r="K136" s="1">
        <f t="shared" ref="K136" si="161">K78/((J26+K26)/2)</f>
        <v>0.45146181240029437</v>
      </c>
      <c r="L136" s="12">
        <f t="shared" si="143"/>
        <v>0.54312213411698307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>
      <c r="A137" s="1" t="s">
        <v>114</v>
      </c>
      <c r="B137" s="1" t="e">
        <f>B78/B38</f>
        <v>#DIV/0!</v>
      </c>
      <c r="C137" s="1" t="e">
        <f t="shared" ref="C137:F137" si="162">C78/((B38+C38)/2)</f>
        <v>#DIV/0!</v>
      </c>
      <c r="D137" s="1">
        <f t="shared" si="162"/>
        <v>0.65546956912476906</v>
      </c>
      <c r="E137" s="1">
        <f t="shared" si="162"/>
        <v>0.34791801796740529</v>
      </c>
      <c r="F137" s="1">
        <f t="shared" si="162"/>
        <v>0.38102799165143753</v>
      </c>
      <c r="G137" s="1">
        <f t="shared" ref="G137" si="163">G78/((F38+G38)/2)</f>
        <v>0.37017070979335132</v>
      </c>
      <c r="H137" s="1">
        <f t="shared" ref="H137" si="164">H78/((G38+H38)/2)</f>
        <v>0.37091529725826572</v>
      </c>
      <c r="I137" s="1">
        <f t="shared" ref="I137" si="165">I78/((H38+I38)/2)</f>
        <v>0.3617702285716633</v>
      </c>
      <c r="J137" s="1">
        <f t="shared" ref="J137" si="166">J78/((I38+J38)/2)</f>
        <v>0.32398077082600907</v>
      </c>
      <c r="K137" s="1">
        <f t="shared" ref="K137" si="167">K78/((J38+K38)/2)</f>
        <v>0.32631019073907996</v>
      </c>
      <c r="L137" s="12">
        <f t="shared" si="143"/>
        <v>0.35569586480663445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>
      <c r="A139" s="1" t="s">
        <v>115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>
      <c r="A140" s="1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>
      <c r="A141" s="1" t="s">
        <v>117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>
      <c r="A142" s="1" t="s">
        <v>118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>
      <c r="A144" s="13" t="s">
        <v>119</v>
      </c>
      <c r="D144" s="1"/>
      <c r="E144" s="1"/>
      <c r="F144" s="1"/>
      <c r="G144" s="1"/>
      <c r="H144" s="1"/>
      <c r="I144" s="1"/>
      <c r="J144" s="1"/>
      <c r="K144" s="1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>
      <c r="A145" s="14" t="s">
        <v>45</v>
      </c>
      <c r="B145" s="7" t="e">
        <f t="shared" ref="B145:K145" si="168">(B$42+B$50)/(B$42+B$50+B$57+B$62)</f>
        <v>#DIV/0!</v>
      </c>
      <c r="C145" s="7" t="e">
        <f t="shared" si="168"/>
        <v>#DIV/0!</v>
      </c>
      <c r="D145" s="7">
        <f t="shared" si="168"/>
        <v>0.60999379672859055</v>
      </c>
      <c r="E145" s="7">
        <f t="shared" si="168"/>
        <v>0.56976922683313724</v>
      </c>
      <c r="F145" s="7">
        <f t="shared" si="168"/>
        <v>0.56545090180360724</v>
      </c>
      <c r="G145" s="7">
        <f>(G$42+G$50)/(G$42+G$50+G$57+G$62)</f>
        <v>0.53582955719850545</v>
      </c>
      <c r="H145" s="7">
        <f t="shared" si="168"/>
        <v>0.5297299734030565</v>
      </c>
      <c r="I145" s="7">
        <f t="shared" si="168"/>
        <v>0.55125403129081274</v>
      </c>
      <c r="J145" s="7">
        <f t="shared" si="168"/>
        <v>0.53695551436515299</v>
      </c>
      <c r="K145" s="7">
        <f t="shared" si="168"/>
        <v>0.53477221136454678</v>
      </c>
      <c r="L145" s="7">
        <f t="shared" ref="L145:L148" si="169">AVERAGE(F145:K145)</f>
        <v>0.54233203157094689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>
      <c r="A146" s="14" t="s">
        <v>50</v>
      </c>
      <c r="B146" s="7" t="e">
        <f t="shared" ref="B146:K146" si="170">B$57/(B$42+B$50+B$57+B$62)</f>
        <v>#DIV/0!</v>
      </c>
      <c r="C146" s="7" t="e">
        <f t="shared" si="170"/>
        <v>#DIV/0!</v>
      </c>
      <c r="D146" s="7">
        <f t="shared" si="170"/>
        <v>4.9626171275588497E-3</v>
      </c>
      <c r="E146" s="7">
        <f t="shared" si="170"/>
        <v>5.1851472820617786E-3</v>
      </c>
      <c r="F146" s="7">
        <f t="shared" si="170"/>
        <v>4.8737474949899799E-3</v>
      </c>
      <c r="G146" s="7">
        <f>G$57/(G$42+G$50+G$57+G$62)</f>
        <v>4.833452579696319E-3</v>
      </c>
      <c r="H146" s="7">
        <f t="shared" si="170"/>
        <v>4.5680626305429082E-3</v>
      </c>
      <c r="I146" s="7">
        <f t="shared" si="170"/>
        <v>4.0512806844532102E-3</v>
      </c>
      <c r="J146" s="7">
        <f t="shared" si="170"/>
        <v>3.9130882504376484E-3</v>
      </c>
      <c r="K146" s="7">
        <f t="shared" si="170"/>
        <v>3.6902608674540842E-3</v>
      </c>
      <c r="L146" s="7">
        <f t="shared" si="169"/>
        <v>4.3216487512623579E-3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>
      <c r="A147" s="14" t="s">
        <v>120</v>
      </c>
      <c r="B147" s="16" t="e">
        <f t="shared" ref="B147:K147" si="171">B$62/(B$42+B$50+B$57+B$62)</f>
        <v>#DIV/0!</v>
      </c>
      <c r="C147" s="16" t="e">
        <f t="shared" si="171"/>
        <v>#DIV/0!</v>
      </c>
      <c r="D147" s="16">
        <f t="shared" si="171"/>
        <v>0.38504358614385059</v>
      </c>
      <c r="E147" s="16">
        <f t="shared" si="171"/>
        <v>0.42504562588480105</v>
      </c>
      <c r="F147" s="16">
        <f t="shared" si="171"/>
        <v>0.42967535070140278</v>
      </c>
      <c r="G147" s="16">
        <f>G$62/(G$42+G$50+G$57+G$62)</f>
        <v>0.45933699022179825</v>
      </c>
      <c r="H147" s="16">
        <f t="shared" si="171"/>
        <v>0.46570196396640068</v>
      </c>
      <c r="I147" s="16">
        <f>I$62/(I$42+I$50+I$57+I$62)</f>
        <v>0.44469468802473416</v>
      </c>
      <c r="J147" s="16">
        <f t="shared" si="171"/>
        <v>0.4591313973844095</v>
      </c>
      <c r="K147" s="16">
        <f t="shared" si="171"/>
        <v>0.46153752776799911</v>
      </c>
      <c r="L147" s="7">
        <f t="shared" si="169"/>
        <v>0.45334631967779071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>
      <c r="A148" s="14" t="s">
        <v>121</v>
      </c>
      <c r="B148" s="7" t="e">
        <f>SUM(B145:B147)</f>
        <v>#DIV/0!</v>
      </c>
      <c r="C148" s="7" t="e">
        <f t="shared" ref="C148:J148" si="172">SUM(C145:C147)</f>
        <v>#DIV/0!</v>
      </c>
      <c r="D148" s="7">
        <f t="shared" si="172"/>
        <v>1</v>
      </c>
      <c r="E148" s="7">
        <f t="shared" si="172"/>
        <v>1</v>
      </c>
      <c r="F148" s="7">
        <f t="shared" si="172"/>
        <v>1</v>
      </c>
      <c r="G148" s="7">
        <f t="shared" si="172"/>
        <v>1</v>
      </c>
      <c r="H148" s="7">
        <f t="shared" si="172"/>
        <v>1</v>
      </c>
      <c r="I148" s="7">
        <f t="shared" si="172"/>
        <v>1.0000000000000002</v>
      </c>
      <c r="J148" s="7">
        <f t="shared" si="172"/>
        <v>1.0000000000000002</v>
      </c>
      <c r="K148" s="7">
        <f t="shared" ref="K148" si="173">SUM(K145:K147)</f>
        <v>1</v>
      </c>
      <c r="L148" s="7">
        <f t="shared" si="169"/>
        <v>1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>
      <c r="A149" s="1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>
      <c r="A150" s="13" t="s">
        <v>122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>
      <c r="A151" s="14" t="s">
        <v>123</v>
      </c>
      <c r="B151" s="7" t="e">
        <f t="shared" ref="B151:K151" si="174">B$43/(B$43+B$42+B$50+B$57+B$62)</f>
        <v>#DIV/0!</v>
      </c>
      <c r="C151" s="7" t="e">
        <f t="shared" si="174"/>
        <v>#DIV/0!</v>
      </c>
      <c r="D151" s="7">
        <f t="shared" si="174"/>
        <v>8.7961170830479704E-2</v>
      </c>
      <c r="E151" s="7">
        <f t="shared" si="174"/>
        <v>5.4508216549210599E-2</v>
      </c>
      <c r="F151" s="7">
        <f t="shared" si="174"/>
        <v>6.8167558038782161E-2</v>
      </c>
      <c r="G151" s="7">
        <f>G$43/(G$43+G$42+G$50+G$57+G$62)</f>
        <v>0.12662815563640403</v>
      </c>
      <c r="H151" s="7">
        <f t="shared" si="174"/>
        <v>0.11920959288474775</v>
      </c>
      <c r="I151" s="7">
        <f t="shared" si="174"/>
        <v>7.4302068812375874E-2</v>
      </c>
      <c r="J151" s="7">
        <f t="shared" si="174"/>
        <v>9.6009960553415805E-2</v>
      </c>
      <c r="K151" s="7">
        <f t="shared" si="174"/>
        <v>7.3956249016389766E-2</v>
      </c>
      <c r="L151" s="7">
        <f t="shared" ref="L151:L155" si="175">AVERAGE(F151:K151)</f>
        <v>9.3045597490352572E-2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>
      <c r="A152" s="14" t="s">
        <v>45</v>
      </c>
      <c r="B152" s="7" t="e">
        <f t="shared" ref="B152:K152" si="176">(B$42+B$50)/(B$43+B$42+B$50+B$57+B$62)</f>
        <v>#DIV/0!</v>
      </c>
      <c r="C152" s="7" t="e">
        <f t="shared" si="176"/>
        <v>#DIV/0!</v>
      </c>
      <c r="D152" s="7">
        <f t="shared" si="176"/>
        <v>0.55633802816901412</v>
      </c>
      <c r="E152" s="7">
        <f t="shared" si="176"/>
        <v>0.53871212243384026</v>
      </c>
      <c r="F152" s="7">
        <f t="shared" si="176"/>
        <v>0.52690549463682812</v>
      </c>
      <c r="G152" s="7">
        <f>(G$42+G$50)/(G$43+G$42+G$50+G$57+G$62)</f>
        <v>0.46797844863498766</v>
      </c>
      <c r="H152" s="7">
        <f t="shared" si="176"/>
        <v>0.46658107893482986</v>
      </c>
      <c r="I152" s="7">
        <f t="shared" si="176"/>
        <v>0.51029471632474321</v>
      </c>
      <c r="J152" s="7">
        <f t="shared" si="176"/>
        <v>0.48540243661201554</v>
      </c>
      <c r="K152" s="7">
        <f t="shared" si="176"/>
        <v>0.49522246453382496</v>
      </c>
      <c r="L152" s="7">
        <f t="shared" si="175"/>
        <v>0.49206410661287153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>
      <c r="A153" s="14" t="s">
        <v>50</v>
      </c>
      <c r="B153" s="7" t="e">
        <f t="shared" ref="B153:K153" si="177">B$57/(B$43+B$42+B$50+B$57+B$62)</f>
        <v>#DIV/0!</v>
      </c>
      <c r="C153" s="7" t="e">
        <f t="shared" si="177"/>
        <v>#DIV/0!</v>
      </c>
      <c r="D153" s="7">
        <f t="shared" si="177"/>
        <v>4.5260995146353808E-3</v>
      </c>
      <c r="E153" s="7">
        <f t="shared" si="177"/>
        <v>4.9025141511716041E-3</v>
      </c>
      <c r="F153" s="7">
        <f t="shared" si="177"/>
        <v>4.5415160297588809E-3</v>
      </c>
      <c r="G153" s="7">
        <f>G$57/(G$43+G$42+G$50+G$57+G$62)</f>
        <v>4.221401394173355E-3</v>
      </c>
      <c r="H153" s="7">
        <f t="shared" si="177"/>
        <v>4.023505744083858E-3</v>
      </c>
      <c r="I153" s="7">
        <f t="shared" si="177"/>
        <v>3.7502621482587194E-3</v>
      </c>
      <c r="J153" s="7">
        <f t="shared" si="177"/>
        <v>3.5373928018710946E-3</v>
      </c>
      <c r="K153" s="7">
        <f t="shared" si="177"/>
        <v>3.4173430158052115E-3</v>
      </c>
      <c r="L153" s="7">
        <f t="shared" si="175"/>
        <v>3.9152368556585196E-3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>
      <c r="A154" s="14" t="s">
        <v>52</v>
      </c>
      <c r="B154" s="16" t="e">
        <f t="shared" ref="B154:K154" si="178">B$62/(B$43+B$42+B$50+B$57+B$62)</f>
        <v>#DIV/0!</v>
      </c>
      <c r="C154" s="16" t="e">
        <f t="shared" si="178"/>
        <v>#DIV/0!</v>
      </c>
      <c r="D154" s="16">
        <f t="shared" si="178"/>
        <v>0.35117470148587082</v>
      </c>
      <c r="E154" s="16">
        <f t="shared" si="178"/>
        <v>0.40187714686577758</v>
      </c>
      <c r="F154" s="16">
        <f t="shared" si="178"/>
        <v>0.40038543129463083</v>
      </c>
      <c r="G154" s="16">
        <f>G$62/(G$43+G$42+G$50+G$57+G$62)</f>
        <v>0.40117199433443501</v>
      </c>
      <c r="H154" s="16">
        <f t="shared" si="178"/>
        <v>0.41018582243633861</v>
      </c>
      <c r="I154" s="16">
        <f t="shared" si="178"/>
        <v>0.41165295271462243</v>
      </c>
      <c r="J154" s="16">
        <f t="shared" si="178"/>
        <v>0.41505021003269765</v>
      </c>
      <c r="K154" s="16">
        <f t="shared" si="178"/>
        <v>0.42740394343398008</v>
      </c>
      <c r="L154" s="7">
        <f t="shared" si="175"/>
        <v>0.41097505904111747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>
      <c r="A155" s="14" t="s">
        <v>121</v>
      </c>
      <c r="B155" s="7" t="e">
        <f>SUM(B151:B154)</f>
        <v>#DIV/0!</v>
      </c>
      <c r="C155" s="7" t="e">
        <f t="shared" ref="C155:J155" si="179">SUM(C151:C154)</f>
        <v>#DIV/0!</v>
      </c>
      <c r="D155" s="7">
        <f t="shared" si="179"/>
        <v>1</v>
      </c>
      <c r="E155" s="7">
        <f t="shared" si="179"/>
        <v>1</v>
      </c>
      <c r="F155" s="7">
        <f t="shared" si="179"/>
        <v>1</v>
      </c>
      <c r="G155" s="7">
        <f t="shared" si="179"/>
        <v>1</v>
      </c>
      <c r="H155" s="7">
        <f t="shared" si="179"/>
        <v>1</v>
      </c>
      <c r="I155" s="7">
        <f t="shared" si="179"/>
        <v>1.0000000000000002</v>
      </c>
      <c r="J155" s="7">
        <f t="shared" si="179"/>
        <v>1</v>
      </c>
      <c r="K155" s="7">
        <f t="shared" ref="K155" si="180">SUM(K151:K154)</f>
        <v>1</v>
      </c>
      <c r="L155" s="7">
        <f t="shared" si="175"/>
        <v>1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</sheetData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Exh 4.16</vt:lpstr>
      <vt:lpstr>Alliant</vt:lpstr>
      <vt:lpstr>DTE</vt:lpstr>
      <vt:lpstr>Edison Int</vt:lpstr>
      <vt:lpstr>Entergy</vt:lpstr>
      <vt:lpstr>PG &amp; E</vt:lpstr>
      <vt:lpstr>SCANA</vt:lpstr>
      <vt:lpstr>Southern</vt:lpstr>
      <vt:lpstr>Wisconsin</vt:lpstr>
      <vt:lpstr>XCEL</vt:lpstr>
      <vt:lpstr>PacifiCorp</vt:lpstr>
      <vt:lpstr>Alliant!Print_Area</vt:lpstr>
      <vt:lpstr>DTE!Print_Area</vt:lpstr>
      <vt:lpstr>Entergy!Print_Area</vt:lpstr>
      <vt:lpstr>SCANA!Print_Area</vt:lpstr>
      <vt:lpstr>Southern!Print_Area</vt:lpstr>
      <vt:lpstr>Wisconsin!Print_Area</vt:lpstr>
      <vt:lpstr>XCEL!Print_Area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CRoll</dc:creator>
  <cp:lastModifiedBy>Dennismiller</cp:lastModifiedBy>
  <cp:lastPrinted>2011-05-10T21:24:05Z</cp:lastPrinted>
  <dcterms:created xsi:type="dcterms:W3CDTF">2009-08-11T16:35:19Z</dcterms:created>
  <dcterms:modified xsi:type="dcterms:W3CDTF">2011-05-10T22:26:55Z</dcterms:modified>
</cp:coreProperties>
</file>