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80" yWindow="885" windowWidth="18060" windowHeight="7290" activeTab="0"/>
  </bookViews>
  <sheets>
    <sheet name="DPU Exhibit 11.1" sheetId="4" r:id="rId1"/>
    <sheet name="DPU Exhibit 11.2" sheetId="5" r:id="rId2"/>
  </sheets>
  <definedNames>
    <definedName name="_xlnm.Print_Area" localSheetId="0">'DPU Exhibit 11.1'!$A$1:$M$117</definedName>
    <definedName name="_xlnm.Print_Area" localSheetId="1">'DPU Exhibit 11.2'!$A$1:$K$34</definedName>
  </definedNames>
  <calcPr calcId="125725"/>
</workbook>
</file>

<file path=xl/sharedStrings.xml><?xml version="1.0" encoding="utf-8"?>
<sst xmlns="http://schemas.openxmlformats.org/spreadsheetml/2006/main" count="79" uniqueCount="67">
  <si>
    <t>Short-Term Energy Outlook, April 2011</t>
  </si>
  <si>
    <t>Change the confidence interval by entering a</t>
  </si>
  <si>
    <t>percentage between 0% and 100%</t>
  </si>
  <si>
    <t>Historical</t>
  </si>
  <si>
    <t>STEO</t>
  </si>
  <si>
    <t>Settle</t>
  </si>
  <si>
    <t>Implied</t>
  </si>
  <si>
    <t>Days to</t>
  </si>
  <si>
    <t>Confidence Interval</t>
  </si>
  <si>
    <t>Month</t>
  </si>
  <si>
    <t>Price</t>
  </si>
  <si>
    <t>Forecast</t>
  </si>
  <si>
    <t>Volatility</t>
  </si>
  <si>
    <t>Expiry</t>
  </si>
  <si>
    <t>Lower</t>
  </si>
  <si>
    <t>Upper</t>
  </si>
  <si>
    <t>Source: Short-Term Energy Outlook, April 2011</t>
  </si>
  <si>
    <t xml:space="preserve">         Intervals not calculated for months with sparse trading in "near-the-money" options contracts</t>
  </si>
  <si>
    <t>Where:</t>
  </si>
  <si>
    <t>T</t>
  </si>
  <si>
    <t>E</t>
  </si>
  <si>
    <t>S</t>
  </si>
  <si>
    <t>Y</t>
  </si>
  <si>
    <t>A</t>
  </si>
  <si>
    <t>R</t>
  </si>
  <si>
    <t>Confidence</t>
  </si>
  <si>
    <t>Increase</t>
  </si>
  <si>
    <t>Gas Physical</t>
  </si>
  <si>
    <t>Gas Swaps</t>
  </si>
  <si>
    <t xml:space="preserve">Gas Fuel Burn </t>
  </si>
  <si>
    <t>TOTAL GAS FUEL BURN EXP</t>
  </si>
  <si>
    <t>Adjustment</t>
  </si>
  <si>
    <t>Allowed Cost</t>
  </si>
  <si>
    <t>Volume</t>
  </si>
  <si>
    <t>TOTAL ADJUSTMENT</t>
  </si>
  <si>
    <t>Cost Per  MMBtu</t>
  </si>
  <si>
    <t>% of Original</t>
  </si>
  <si>
    <t>COMBINED</t>
  </si>
  <si>
    <t>Natural Gas Swaps</t>
  </si>
  <si>
    <t>Electric Swaps</t>
  </si>
  <si>
    <t>IMPACT OF SWAPS ON NPC</t>
  </si>
  <si>
    <t>GAS FUEL BURN EXP</t>
  </si>
  <si>
    <t>Pipeline Reservation Fees</t>
  </si>
  <si>
    <t>Proposed Cost Allowance</t>
  </si>
  <si>
    <t>Upper Conf Interval</t>
  </si>
  <si>
    <t xml:space="preserve">STEO  </t>
  </si>
  <si>
    <t>-------------------- Average --------------------</t>
  </si>
  <si>
    <t xml:space="preserve">Average </t>
  </si>
  <si>
    <t>Settle Price</t>
  </si>
  <si>
    <t xml:space="preserve">Upper Limit </t>
  </si>
  <si>
    <t xml:space="preserve">Premium to </t>
  </si>
  <si>
    <t>Percent</t>
  </si>
  <si>
    <t>(61,683,848)</t>
  </si>
  <si>
    <t>ELECTRIC SWAPS</t>
  </si>
  <si>
    <t>NATURAL GAS SWAPS</t>
  </si>
  <si>
    <t>160,723,241</t>
  </si>
  <si>
    <t>99,039,393</t>
  </si>
  <si>
    <t>Proposed Natural Gas Swap Allowance</t>
  </si>
  <si>
    <t>Proposed Electric Swap Allowance</t>
  </si>
  <si>
    <t xml:space="preserve">PACFICORP - June 2012 </t>
  </si>
  <si>
    <t>Test Year Cost</t>
  </si>
  <si>
    <t xml:space="preserve">Percent of Total </t>
  </si>
  <si>
    <t>Gas Fuel Burn Expense</t>
  </si>
  <si>
    <t>Calculated Lower and Upper Limits at Various Confidence Levels</t>
  </si>
  <si>
    <t>---- Price Range ----</t>
  </si>
  <si>
    <t>DPU Exhibit 11.1D-RR</t>
  </si>
  <si>
    <t>DPU Exhibit 11.2D-RR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</si>
</sst>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[$-409]d\-mmm\-yy;@"/>
    <numFmt numFmtId="168" formatCode="_(* #,##0_);_(* \(#,##0\);_(* &quot;-&quot;??_);_(@_)"/>
    <numFmt numFmtId="169" formatCode="0.00000000000000"/>
  </numFmts>
  <fonts count="1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b/>
      <sz val="11"/>
      <color rgb="FF0000FF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52">
    <xf numFmtId="0" fontId="0" fillId="0" borderId="0" xfId="0"/>
    <xf numFmtId="165" fontId="3" fillId="0" borderId="0" xfId="0" applyNumberFormat="1" applyFont="1"/>
    <xf numFmtId="0" fontId="2" fillId="0" borderId="0" xfId="20" applyAlignment="1" applyProtection="1">
      <alignment/>
      <protection/>
    </xf>
    <xf numFmtId="0" fontId="4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/>
    <xf numFmtId="167" fontId="0" fillId="0" borderId="0" xfId="0" applyNumberFormat="1" applyAlignment="1">
      <alignment horizontal="left"/>
    </xf>
    <xf numFmtId="164" fontId="0" fillId="3" borderId="0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0" borderId="0" xfId="15" applyNumberFormat="1" applyFont="1"/>
    <xf numFmtId="168" fontId="0" fillId="0" borderId="0" xfId="18" applyNumberFormat="1" applyFont="1"/>
    <xf numFmtId="0" fontId="6" fillId="0" borderId="0" xfId="0" applyFont="1"/>
    <xf numFmtId="168" fontId="6" fillId="0" borderId="0" xfId="18" applyNumberFormat="1" applyFont="1"/>
    <xf numFmtId="43" fontId="6" fillId="0" borderId="0" xfId="0" applyNumberFormat="1" applyFont="1"/>
    <xf numFmtId="168" fontId="6" fillId="0" borderId="1" xfId="18" applyNumberFormat="1" applyFont="1" applyBorder="1"/>
    <xf numFmtId="0" fontId="6" fillId="0" borderId="1" xfId="0" applyFont="1" applyBorder="1" applyAlignment="1">
      <alignment horizontal="right"/>
    </xf>
    <xf numFmtId="166" fontId="6" fillId="0" borderId="0" xfId="15" applyNumberFormat="1" applyFont="1"/>
    <xf numFmtId="168" fontId="6" fillId="0" borderId="0" xfId="0" applyNumberFormat="1" applyFont="1"/>
    <xf numFmtId="0" fontId="0" fillId="3" borderId="0" xfId="0" applyFont="1" applyFill="1"/>
    <xf numFmtId="0" fontId="4" fillId="3" borderId="1" xfId="0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43" fontId="6" fillId="0" borderId="0" xfId="18" applyFont="1" applyBorder="1" applyAlignment="1">
      <alignment horizontal="right"/>
    </xf>
    <xf numFmtId="0" fontId="6" fillId="0" borderId="1" xfId="0" applyFont="1" applyBorder="1"/>
    <xf numFmtId="168" fontId="6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8" fontId="6" fillId="0" borderId="4" xfId="18" applyNumberFormat="1" applyFont="1" applyFill="1" applyBorder="1"/>
    <xf numFmtId="168" fontId="6" fillId="0" borderId="5" xfId="0" applyNumberFormat="1" applyFont="1" applyFill="1" applyBorder="1"/>
    <xf numFmtId="168" fontId="6" fillId="3" borderId="4" xfId="18" applyNumberFormat="1" applyFont="1" applyFill="1" applyBorder="1"/>
    <xf numFmtId="168" fontId="6" fillId="4" borderId="5" xfId="0" applyNumberFormat="1" applyFont="1" applyFill="1" applyBorder="1"/>
    <xf numFmtId="168" fontId="6" fillId="0" borderId="6" xfId="18" applyNumberFormat="1" applyFont="1" applyFill="1" applyBorder="1"/>
    <xf numFmtId="168" fontId="6" fillId="0" borderId="7" xfId="0" applyNumberFormat="1" applyFont="1" applyFill="1" applyBorder="1"/>
    <xf numFmtId="0" fontId="6" fillId="0" borderId="8" xfId="0" applyFont="1" applyBorder="1" applyAlignment="1">
      <alignment horizontal="center" wrapText="1"/>
    </xf>
    <xf numFmtId="166" fontId="6" fillId="0" borderId="4" xfId="15" applyNumberFormat="1" applyFont="1" applyBorder="1" applyAlignment="1">
      <alignment horizontal="right"/>
    </xf>
    <xf numFmtId="168" fontId="6" fillId="0" borderId="0" xfId="18" applyNumberFormat="1" applyFont="1" applyFill="1" applyBorder="1"/>
    <xf numFmtId="168" fontId="6" fillId="0" borderId="0" xfId="0" applyNumberFormat="1" applyFont="1" applyFill="1" applyBorder="1"/>
    <xf numFmtId="166" fontId="6" fillId="0" borderId="4" xfId="15" applyNumberFormat="1" applyFont="1" applyBorder="1"/>
    <xf numFmtId="43" fontId="6" fillId="0" borderId="0" xfId="18" applyFont="1" applyBorder="1"/>
    <xf numFmtId="168" fontId="6" fillId="0" borderId="0" xfId="18" applyNumberFormat="1" applyFont="1" applyBorder="1"/>
    <xf numFmtId="166" fontId="6" fillId="0" borderId="4" xfId="15" applyNumberFormat="1" applyFont="1" applyFill="1" applyBorder="1"/>
    <xf numFmtId="43" fontId="6" fillId="0" borderId="0" xfId="18" applyFont="1" applyFill="1" applyBorder="1"/>
    <xf numFmtId="166" fontId="6" fillId="3" borderId="4" xfId="15" applyNumberFormat="1" applyFont="1" applyFill="1" applyBorder="1"/>
    <xf numFmtId="43" fontId="6" fillId="3" borderId="0" xfId="18" applyFont="1" applyFill="1" applyBorder="1"/>
    <xf numFmtId="168" fontId="6" fillId="3" borderId="0" xfId="18" applyNumberFormat="1" applyFont="1" applyFill="1" applyBorder="1"/>
    <xf numFmtId="168" fontId="6" fillId="4" borderId="0" xfId="0" applyNumberFormat="1" applyFont="1" applyFill="1" applyBorder="1"/>
    <xf numFmtId="166" fontId="6" fillId="0" borderId="6" xfId="15" applyNumberFormat="1" applyFont="1" applyBorder="1"/>
    <xf numFmtId="43" fontId="6" fillId="0" borderId="9" xfId="18" applyFont="1" applyBorder="1"/>
    <xf numFmtId="168" fontId="6" fillId="0" borderId="9" xfId="18" applyNumberFormat="1" applyFont="1" applyBorder="1"/>
    <xf numFmtId="168" fontId="6" fillId="0" borderId="9" xfId="18" applyNumberFormat="1" applyFont="1" applyFill="1" applyBorder="1"/>
    <xf numFmtId="168" fontId="6" fillId="0" borderId="9" xfId="0" applyNumberFormat="1" applyFont="1" applyFill="1" applyBorder="1"/>
    <xf numFmtId="168" fontId="6" fillId="0" borderId="10" xfId="0" applyNumberFormat="1" applyFont="1" applyFill="1" applyBorder="1"/>
    <xf numFmtId="168" fontId="6" fillId="0" borderId="11" xfId="0" applyNumberFormat="1" applyFont="1" applyFill="1" applyBorder="1"/>
    <xf numFmtId="0" fontId="6" fillId="0" borderId="12" xfId="0" applyFont="1" applyBorder="1" applyAlignment="1">
      <alignment horizontal="center" wrapText="1"/>
    </xf>
    <xf numFmtId="43" fontId="8" fillId="0" borderId="0" xfId="0" applyNumberFormat="1" applyFont="1"/>
    <xf numFmtId="43" fontId="8" fillId="3" borderId="0" xfId="0" applyNumberFormat="1" applyFont="1" applyFill="1"/>
    <xf numFmtId="43" fontId="8" fillId="0" borderId="1" xfId="0" applyNumberFormat="1" applyFont="1" applyBorder="1"/>
    <xf numFmtId="168" fontId="8" fillId="4" borderId="10" xfId="0" applyNumberFormat="1" applyFont="1" applyFill="1" applyBorder="1"/>
    <xf numFmtId="0" fontId="4" fillId="3" borderId="1" xfId="0" applyFont="1" applyFill="1" applyBorder="1" applyAlignment="1">
      <alignment horizontal="center"/>
    </xf>
    <xf numFmtId="166" fontId="0" fillId="0" borderId="0" xfId="0" applyNumberFormat="1"/>
    <xf numFmtId="0" fontId="4" fillId="3" borderId="0" xfId="0" applyFont="1" applyFill="1"/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166" fontId="4" fillId="0" borderId="1" xfId="15" applyNumberFormat="1" applyFont="1" applyBorder="1"/>
    <xf numFmtId="43" fontId="6" fillId="0" borderId="1" xfId="0" applyNumberFormat="1" applyFont="1" applyFill="1" applyBorder="1"/>
    <xf numFmtId="166" fontId="0" fillId="0" borderId="1" xfId="15" applyNumberFormat="1" applyFont="1" applyBorder="1"/>
    <xf numFmtId="168" fontId="6" fillId="0" borderId="1" xfId="18" applyNumberFormat="1" applyFont="1" applyFill="1" applyBorder="1"/>
    <xf numFmtId="166" fontId="6" fillId="0" borderId="1" xfId="15" applyNumberFormat="1" applyFont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68" fontId="8" fillId="0" borderId="1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68" fontId="8" fillId="0" borderId="1" xfId="18" applyNumberFormat="1" applyFont="1" applyBorder="1" applyAlignment="1">
      <alignment horizontal="center" wrapText="1"/>
    </xf>
    <xf numFmtId="168" fontId="6" fillId="0" borderId="1" xfId="18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0" fillId="0" borderId="0" xfId="18" applyNumberFormat="1" applyFont="1"/>
    <xf numFmtId="4" fontId="0" fillId="0" borderId="1" xfId="18" applyNumberFormat="1" applyFont="1" applyBorder="1"/>
    <xf numFmtId="3" fontId="0" fillId="0" borderId="0" xfId="18" applyNumberFormat="1" applyFont="1"/>
    <xf numFmtId="3" fontId="0" fillId="0" borderId="1" xfId="18" applyNumberFormat="1" applyFont="1" applyBorder="1"/>
    <xf numFmtId="4" fontId="4" fillId="0" borderId="0" xfId="18" applyNumberFormat="1" applyFont="1"/>
    <xf numFmtId="0" fontId="0" fillId="0" borderId="0" xfId="0" applyFont="1"/>
    <xf numFmtId="37" fontId="0" fillId="0" borderId="0" xfId="18" applyNumberFormat="1" applyFont="1"/>
    <xf numFmtId="0" fontId="9" fillId="3" borderId="0" xfId="0" applyFont="1" applyFill="1"/>
    <xf numFmtId="2" fontId="9" fillId="3" borderId="0" xfId="0" applyNumberFormat="1" applyFont="1" applyFill="1"/>
    <xf numFmtId="166" fontId="9" fillId="3" borderId="0" xfId="15" applyNumberFormat="1" applyFont="1" applyFill="1"/>
    <xf numFmtId="43" fontId="9" fillId="3" borderId="0" xfId="18" applyFont="1" applyFill="1"/>
    <xf numFmtId="166" fontId="9" fillId="3" borderId="0" xfId="0" applyNumberFormat="1" applyFont="1" applyFill="1"/>
    <xf numFmtId="2" fontId="9" fillId="5" borderId="0" xfId="0" applyNumberFormat="1" applyFont="1" applyFill="1"/>
    <xf numFmtId="0" fontId="9" fillId="5" borderId="0" xfId="0" applyFont="1" applyFill="1"/>
    <xf numFmtId="166" fontId="9" fillId="5" borderId="0" xfId="15" applyNumberFormat="1" applyFont="1" applyFill="1"/>
    <xf numFmtId="43" fontId="9" fillId="5" borderId="0" xfId="18" applyFont="1" applyFill="1"/>
    <xf numFmtId="166" fontId="9" fillId="5" borderId="0" xfId="0" applyNumberFormat="1" applyFont="1" applyFill="1"/>
    <xf numFmtId="0" fontId="0" fillId="3" borderId="1" xfId="0" applyFont="1" applyFill="1" applyBorder="1"/>
    <xf numFmtId="2" fontId="4" fillId="3" borderId="0" xfId="0" applyNumberFormat="1" applyFont="1" applyFill="1"/>
    <xf numFmtId="0" fontId="4" fillId="3" borderId="0" xfId="0" applyFont="1" applyFill="1" applyBorder="1" applyAlignment="1">
      <alignment horizontal="right"/>
    </xf>
    <xf numFmtId="169" fontId="0" fillId="0" borderId="0" xfId="0" applyNumberFormat="1"/>
    <xf numFmtId="0" fontId="3" fillId="0" borderId="0" xfId="0" applyFont="1" applyAlignment="1">
      <alignment horizontal="right"/>
    </xf>
    <xf numFmtId="0" fontId="4" fillId="3" borderId="0" xfId="0" applyFont="1" applyFill="1" applyAlignment="1" quotePrefix="1">
      <alignment horizontal="center"/>
    </xf>
    <xf numFmtId="9" fontId="5" fillId="2" borderId="0" xfId="15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8" fontId="8" fillId="0" borderId="14" xfId="18" applyNumberFormat="1" applyFont="1" applyBorder="1" applyAlignment="1">
      <alignment horizontal="center"/>
    </xf>
    <xf numFmtId="168" fontId="8" fillId="0" borderId="15" xfId="18" applyNumberFormat="1" applyFont="1" applyBorder="1" applyAlignment="1">
      <alignment horizontal="center"/>
    </xf>
    <xf numFmtId="168" fontId="8" fillId="0" borderId="16" xfId="18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8" fontId="8" fillId="0" borderId="17" xfId="18" applyNumberFormat="1" applyFont="1" applyBorder="1" applyAlignment="1" quotePrefix="1">
      <alignment horizontal="center"/>
    </xf>
    <xf numFmtId="168" fontId="8" fillId="0" borderId="18" xfId="18" applyNumberFormat="1" applyFont="1" applyBorder="1" applyAlignment="1" quotePrefix="1">
      <alignment horizontal="center"/>
    </xf>
    <xf numFmtId="168" fontId="8" fillId="0" borderId="2" xfId="18" applyNumberFormat="1" applyFont="1" applyBorder="1" applyAlignment="1" quotePrefix="1">
      <alignment horizontal="center"/>
    </xf>
    <xf numFmtId="43" fontId="0" fillId="0" borderId="0" xfId="0" applyNumberFormat="1"/>
    <xf numFmtId="37" fontId="6" fillId="0" borderId="0" xfId="18" applyNumberFormat="1" applyFont="1"/>
    <xf numFmtId="37" fontId="6" fillId="0" borderId="1" xfId="18" applyNumberFormat="1" applyFont="1" applyBorder="1" applyAlignment="1">
      <alignment horizontal="right"/>
    </xf>
    <xf numFmtId="166" fontId="6" fillId="0" borderId="7" xfId="15" applyNumberFormat="1" applyFont="1" applyBorder="1"/>
    <xf numFmtId="166" fontId="6" fillId="3" borderId="0" xfId="15" applyNumberFormat="1" applyFont="1" applyFill="1"/>
    <xf numFmtId="37" fontId="8" fillId="0" borderId="0" xfId="18" applyNumberFormat="1" applyFont="1"/>
    <xf numFmtId="37" fontId="6" fillId="0" borderId="0" xfId="0" applyNumberFormat="1" applyFont="1"/>
    <xf numFmtId="37" fontId="6" fillId="0" borderId="1" xfId="0" applyNumberFormat="1" applyFont="1" applyBorder="1"/>
    <xf numFmtId="37" fontId="8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">
    <dxf>
      <font>
        <color indexed="55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Henry Hub Natural Gas Price</a:t>
            </a:r>
          </a:p>
        </c:rich>
      </c:tx>
      <c:layout>
        <c:manualLayout>
          <c:xMode val="edge"/>
          <c:yMode val="edge"/>
          <c:x val="0.34"/>
          <c:y val="0.008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4075"/>
          <c:w val="0.83225"/>
          <c:h val="0.61975"/>
        </c:manualLayout>
      </c:layout>
      <c:lineChart>
        <c:grouping val="standard"/>
        <c:varyColors val="0"/>
        <c:ser>
          <c:idx val="4"/>
          <c:order val="0"/>
          <c:tx>
            <c:v>Historical spot price</c:v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'DPU Exhibit 11.1'!$B$43:$B$78</c:f>
              <c:strCache/>
            </c:strRef>
          </c:cat>
          <c:val>
            <c:numRef>
              <c:f>'DPU Exhibit 11.1'!$C$43:$C$78</c:f>
              <c:numCache/>
            </c:numRef>
          </c:val>
          <c:smooth val="0"/>
        </c:ser>
        <c:ser>
          <c:idx val="1"/>
          <c:order val="1"/>
          <c:tx>
            <c:v>STEO price forecast</c:v>
          </c:tx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'DPU Exhibit 11.1'!$B$43:$B$78</c:f>
              <c:strCache/>
            </c:strRef>
          </c:cat>
          <c:val>
            <c:numRef>
              <c:f>'DPU Exhibit 11.1'!$D$43:$D$78</c:f>
              <c:numCache/>
            </c:numRef>
          </c:val>
          <c:smooth val="0"/>
        </c:ser>
        <c:ser>
          <c:idx val="0"/>
          <c:order val="2"/>
          <c:tx>
            <c:v>NYMEX futures price</c:v>
          </c:tx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'DPU Exhibit 11.1'!$B$43:$B$78</c:f>
              <c:strCache/>
            </c:strRef>
          </c:cat>
          <c:val>
            <c:numRef>
              <c:f>'DPU Exhibit 11.1'!$E$43:$E$78</c:f>
              <c:numCache/>
            </c:numRef>
          </c:val>
          <c:smooth val="0"/>
        </c:ser>
        <c:ser>
          <c:idx val="2"/>
          <c:order val="3"/>
          <c:tx>
            <c:strRef>
              <c:f>'DPU Exhibit 11.1'!$B$98</c:f>
              <c:strCache>
                <c:ptCount val="1"/>
                <c:pt idx="0">
                  <c:v>75% NYMEX futures price confidence interval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'DPU Exhibit 11.1'!$B$43:$B$78</c:f>
              <c:strCache/>
            </c:strRef>
          </c:cat>
          <c:val>
            <c:numRef>
              <c:f>'DPU Exhibit 11.1'!$I$43:$I$78</c:f>
              <c:numCache/>
            </c:numRef>
          </c:val>
          <c:smooth val="0"/>
        </c:ser>
        <c:ser>
          <c:idx val="3"/>
          <c:order val="4"/>
          <c:tx>
            <c:strRef>
              <c:f>'DPU Exhibit 11.1'!$B$98</c:f>
              <c:strCache>
                <c:ptCount val="1"/>
                <c:pt idx="0">
                  <c:v>75% NYMEX futures price confidence interval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'DPU Exhibit 11.1'!$B$43:$B$78</c:f>
              <c:strCache/>
            </c:strRef>
          </c:cat>
          <c:val>
            <c:numRef>
              <c:f>'DPU Exhibit 11.1'!$H$43:$H$78</c:f>
              <c:numCache/>
            </c:numRef>
          </c:val>
          <c:smooth val="0"/>
        </c:ser>
        <c:marker val="1"/>
        <c:axId val="20601015"/>
        <c:axId val="51191408"/>
      </c:lineChart>
      <c:dateAx>
        <c:axId val="2060101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auto val="1"/>
        <c:baseTimeUnit val="months"/>
        <c:majorUnit val="6"/>
        <c:majorTimeUnit val="months"/>
        <c:minorUnit val="1"/>
        <c:minorTimeUnit val="months"/>
        <c:noMultiLvlLbl val="0"/>
      </c:date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056"/>
          <c:y val="0.19275"/>
          <c:w val="0.4865"/>
          <c:h val="0.156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2" r="0.750000000000002" t="1" header="0.5" footer="0.5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0.9495</cdr:y>
    </cdr:from>
    <cdr:to>
      <cdr:x>0.4535</cdr:x>
      <cdr:y>1</cdr:y>
    </cdr:to>
    <cdr:sp macro="" textlink="'DPU Exhibit 11.1'!$B$79">
      <cdr:nvSpPr>
        <cdr:cNvPr id="2049" name="Text Box 1"/>
        <cdr:cNvSpPr txBox="1">
          <a:spLocks noChangeAspect="1" noChangeArrowheads="1" noTextEdit="1"/>
        </cdr:cNvSpPr>
      </cdr:nvSpPr>
      <cdr:spPr bwMode="auto">
        <a:xfrm>
          <a:off x="38100" y="5191125"/>
          <a:ext cx="360997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36576" tIns="22860" rIns="0" bIns="22860" anchor="ctr" upright="1"/>
        <a:lstStyle/>
        <a:p>
          <a:pPr algn="l" rtl="0">
            <a:defRPr sz="1000"/>
          </a:pPr>
          <a:fld id="{4945E9C6-CB32-432F-8820-BD2B6B0846FC}" type="TxLink"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Source: Short-Term Energy Outlook, April 2011</a:t>
          </a:fld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0.04675</cdr:x>
      <cdr:y>0.91175</cdr:y>
    </cdr:from>
    <cdr:to>
      <cdr:x>0.79425</cdr:x>
      <cdr:y>0.95</cdr:y>
    </cdr:to>
    <cdr:sp macro="" textlink="'DPU Exhibit 11.1'!$B$80">
      <cdr:nvSpPr>
        <cdr:cNvPr id="2050" name="Text Box 2"/>
        <cdr:cNvSpPr txBox="1">
          <a:spLocks noChangeArrowheads="1" noTextEdit="1"/>
        </cdr:cNvSpPr>
      </cdr:nvSpPr>
      <cdr:spPr bwMode="auto">
        <a:xfrm>
          <a:off x="371475" y="4991100"/>
          <a:ext cx="6029325" cy="2095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fld id="{A9CF7CD5-AC1A-47CC-A85C-F2B9DC2D5668}" type="TxLink"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Note: Confidence interval derived from options market information for 5 trading days ending April 7, 2011</a:t>
          </a:fld>
          <a:endParaRPr lang="en-US" sz="900" b="0" i="1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0.06725</cdr:x>
      <cdr:y>0.9325</cdr:y>
    </cdr:from>
    <cdr:to>
      <cdr:x>0.685</cdr:x>
      <cdr:y>0.9705</cdr:y>
    </cdr:to>
    <cdr:sp macro="" textlink="'DPU Exhibit 11.1'!$B$81">
      <cdr:nvSpPr>
        <cdr:cNvPr id="2051" name="Text Box 3"/>
        <cdr:cNvSpPr txBox="1">
          <a:spLocks noChangeArrowheads="1" noTextEdit="1"/>
        </cdr:cNvSpPr>
      </cdr:nvSpPr>
      <cdr:spPr bwMode="auto">
        <a:xfrm>
          <a:off x="533400" y="5105400"/>
          <a:ext cx="4981575" cy="2095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fld id="{17071C17-E662-481C-9543-6C9CBD98B7BB}" type="TxLink"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         Intervals not calculated for months with sparse trading in "near-the-money" options contracts</a:t>
          </a:fld>
          <a:endParaRPr lang="en-US" sz="900" b="0" i="1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0.04675</cdr:x>
      <cdr:y>0.06425</cdr:y>
    </cdr:from>
    <cdr:to>
      <cdr:x>0.31275</cdr:x>
      <cdr:y>0.1025</cdr:y>
    </cdr:to>
    <cdr:sp macro="" textlink="">
      <cdr:nvSpPr>
        <cdr:cNvPr id="2052" name="Text Box 4"/>
        <cdr:cNvSpPr txBox="1">
          <a:spLocks noChangeArrowheads="1"/>
        </cdr:cNvSpPr>
      </cdr:nvSpPr>
      <cdr:spPr bwMode="auto">
        <a:xfrm>
          <a:off x="371475" y="342900"/>
          <a:ext cx="2143125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dollars per million btu</a:t>
          </a:r>
        </a:p>
      </cdr:txBody>
    </cdr:sp>
  </cdr:relSizeAnchor>
  <cdr:relSizeAnchor xmlns:cdr="http://schemas.openxmlformats.org/drawingml/2006/chartDrawing">
    <cdr:from>
      <cdr:x>0.908</cdr:x>
      <cdr:y>0.89925</cdr:y>
    </cdr:from>
    <cdr:to>
      <cdr:x>0.983</cdr:x>
      <cdr:y>0.98425</cdr:y>
    </cdr:to>
    <cdr:pic>
      <cdr:nvPicPr>
        <cdr:cNvPr id="2053" name="Picture 5" descr="eia_logo_only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7324725" y="4924425"/>
          <a:ext cx="609600" cy="466725"/>
        </a:xfrm>
        <a:prstGeom prst="rect">
          <a:avLst/>
        </a:prstGeom>
        <a:noFill/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</xdr:row>
      <xdr:rowOff>38100</xdr:rowOff>
    </xdr:from>
    <xdr:to>
      <xdr:col>12</xdr:col>
      <xdr:colOff>552450</xdr:colOff>
      <xdr:row>36</xdr:row>
      <xdr:rowOff>9525</xdr:rowOff>
    </xdr:to>
    <xdr:graphicFrame macro="">
      <xdr:nvGraphicFramePr>
        <xdr:cNvPr id="1025" name="Chart 1"/>
        <xdr:cNvGraphicFramePr/>
      </xdr:nvGraphicFramePr>
      <xdr:xfrm>
        <a:off x="114300" y="438150"/>
        <a:ext cx="80676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66675</xdr:rowOff>
    </xdr:from>
    <xdr:to>
      <xdr:col>7</xdr:col>
      <xdr:colOff>9525</xdr:colOff>
      <xdr:row>39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3810000" y="64579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view="pageBreakPreview" zoomScaleSheetLayoutView="100" workbookViewId="0" topLeftCell="A1">
      <selection activeCell="M1" sqref="M1"/>
    </sheetView>
  </sheetViews>
  <sheetFormatPr defaultColWidth="9.140625" defaultRowHeight="12.75"/>
  <cols>
    <col min="2" max="2" width="10.140625" style="0" bestFit="1" customWidth="1"/>
    <col min="3" max="4" width="9.28125" style="0" bestFit="1" customWidth="1"/>
    <col min="5" max="5" width="9.7109375" style="0" customWidth="1"/>
    <col min="6" max="9" width="9.28125" style="0" bestFit="1" customWidth="1"/>
    <col min="10" max="10" width="11.28125" style="0" customWidth="1"/>
    <col min="12" max="12" width="9.28125" style="0" bestFit="1" customWidth="1"/>
    <col min="13" max="14" width="9.8515625" style="0" customWidth="1"/>
    <col min="15" max="15" width="16.7109375" style="0" bestFit="1" customWidth="1"/>
  </cols>
  <sheetData>
    <row r="1" ht="15.75">
      <c r="M1" s="123" t="s">
        <v>65</v>
      </c>
    </row>
    <row r="2" ht="15.75">
      <c r="A2" s="1" t="s">
        <v>0</v>
      </c>
    </row>
    <row r="3" ht="12.75">
      <c r="A3" s="2"/>
    </row>
    <row r="39" spans="2:6" ht="12.75">
      <c r="B39" s="3" t="s">
        <v>1</v>
      </c>
      <c r="C39" s="4"/>
      <c r="D39" s="4"/>
      <c r="E39" s="4"/>
      <c r="F39" s="4"/>
    </row>
    <row r="40" spans="2:9" ht="12.75">
      <c r="B40" s="3" t="s">
        <v>2</v>
      </c>
      <c r="C40" s="4"/>
      <c r="D40" s="4"/>
      <c r="E40" s="4"/>
      <c r="F40" s="4"/>
      <c r="H40" s="125">
        <v>0.75</v>
      </c>
      <c r="I40" s="125"/>
    </row>
    <row r="41" spans="2:9" ht="12.75">
      <c r="B41" s="5"/>
      <c r="C41" s="5" t="s">
        <v>3</v>
      </c>
      <c r="D41" s="5" t="s">
        <v>4</v>
      </c>
      <c r="E41" s="5" t="s">
        <v>5</v>
      </c>
      <c r="F41" s="5" t="s">
        <v>6</v>
      </c>
      <c r="G41" s="5" t="s">
        <v>7</v>
      </c>
      <c r="H41" s="126" t="s">
        <v>8</v>
      </c>
      <c r="I41" s="126"/>
    </row>
    <row r="42" spans="2:9" ht="12.75">
      <c r="B42" s="6" t="s">
        <v>9</v>
      </c>
      <c r="C42" s="6" t="s">
        <v>10</v>
      </c>
      <c r="D42" s="6" t="s">
        <v>11</v>
      </c>
      <c r="E42" s="6" t="s">
        <v>10</v>
      </c>
      <c r="F42" s="7" t="s">
        <v>12</v>
      </c>
      <c r="G42" s="8" t="s">
        <v>13</v>
      </c>
      <c r="H42" s="8" t="s">
        <v>14</v>
      </c>
      <c r="I42" s="8" t="s">
        <v>15</v>
      </c>
    </row>
    <row r="43" spans="2:9" ht="12.75">
      <c r="B43" s="9">
        <v>40179</v>
      </c>
      <c r="C43" s="10">
        <v>5.83</v>
      </c>
      <c r="D43" s="10" t="e">
        <v>#N/A</v>
      </c>
      <c r="E43" s="10" t="e">
        <v>#N/A</v>
      </c>
      <c r="F43" s="11" t="e">
        <v>#N/A</v>
      </c>
      <c r="G43" s="12" t="e">
        <v>#N/A</v>
      </c>
      <c r="H43" s="10" t="e">
        <f>$E43*EXP((+NORMSINV((1-$H$40)/2)*$F43*SQRT($G43/252)))</f>
        <v>#N/A</v>
      </c>
      <c r="I43" s="10" t="e">
        <f>$E43*EXP(-NORMSINV((1-$H$40)/2)*$F43*SQRT($G43/252))</f>
        <v>#N/A</v>
      </c>
    </row>
    <row r="44" spans="2:9" ht="12.75">
      <c r="B44" s="9">
        <v>40210</v>
      </c>
      <c r="C44" s="13">
        <v>5.32</v>
      </c>
      <c r="D44" s="13" t="e">
        <v>#N/A</v>
      </c>
      <c r="E44" s="13" t="e">
        <v>#N/A</v>
      </c>
      <c r="F44" s="14" t="e">
        <v>#N/A</v>
      </c>
      <c r="G44" s="15" t="e">
        <v>#N/A</v>
      </c>
      <c r="H44" s="13" t="e">
        <f aca="true" t="shared" si="0" ref="H44:H78">$E44*EXP((+NORMSINV((1-$H$40)/2)*$F44*SQRT($G44/252)))</f>
        <v>#N/A</v>
      </c>
      <c r="I44" s="13" t="e">
        <f aca="true" t="shared" si="1" ref="I44:I78">$E44*EXP(-NORMSINV((1-$H$40)/2)*$F44*SQRT($G44/252))</f>
        <v>#N/A</v>
      </c>
    </row>
    <row r="45" spans="2:9" ht="12.75">
      <c r="B45" s="9">
        <v>40238</v>
      </c>
      <c r="C45" s="13">
        <v>4.29</v>
      </c>
      <c r="D45" s="13" t="e">
        <v>#N/A</v>
      </c>
      <c r="E45" s="13" t="e">
        <v>#N/A</v>
      </c>
      <c r="F45" s="14" t="e">
        <v>#N/A</v>
      </c>
      <c r="G45" s="15" t="e">
        <v>#N/A</v>
      </c>
      <c r="H45" s="13" t="e">
        <f t="shared" si="0"/>
        <v>#N/A</v>
      </c>
      <c r="I45" s="13" t="e">
        <f t="shared" si="1"/>
        <v>#N/A</v>
      </c>
    </row>
    <row r="46" spans="2:9" ht="12.75">
      <c r="B46" s="9">
        <v>40269</v>
      </c>
      <c r="C46" s="13">
        <v>4.03</v>
      </c>
      <c r="D46" s="13" t="e">
        <v>#N/A</v>
      </c>
      <c r="E46" s="13" t="e">
        <v>#N/A</v>
      </c>
      <c r="F46" s="14" t="e">
        <v>#N/A</v>
      </c>
      <c r="G46" s="15" t="e">
        <v>#N/A</v>
      </c>
      <c r="H46" s="13" t="e">
        <f t="shared" si="0"/>
        <v>#N/A</v>
      </c>
      <c r="I46" s="13" t="e">
        <f t="shared" si="1"/>
        <v>#N/A</v>
      </c>
    </row>
    <row r="47" spans="2:9" ht="12.75">
      <c r="B47" s="9">
        <v>40299</v>
      </c>
      <c r="C47" s="13">
        <v>4.14</v>
      </c>
      <c r="D47" s="13" t="e">
        <v>#N/A</v>
      </c>
      <c r="E47" s="13" t="e">
        <v>#N/A</v>
      </c>
      <c r="F47" s="14" t="e">
        <v>#N/A</v>
      </c>
      <c r="G47" s="15" t="e">
        <v>#N/A</v>
      </c>
      <c r="H47" s="13" t="e">
        <f t="shared" si="0"/>
        <v>#N/A</v>
      </c>
      <c r="I47" s="13" t="e">
        <f t="shared" si="1"/>
        <v>#N/A</v>
      </c>
    </row>
    <row r="48" spans="2:9" ht="12.75">
      <c r="B48" s="9">
        <v>40330</v>
      </c>
      <c r="C48" s="13">
        <v>4.8</v>
      </c>
      <c r="D48" s="13" t="e">
        <v>#N/A</v>
      </c>
      <c r="E48" s="13" t="e">
        <v>#N/A</v>
      </c>
      <c r="F48" s="14" t="e">
        <v>#N/A</v>
      </c>
      <c r="G48" s="15" t="e">
        <v>#N/A</v>
      </c>
      <c r="H48" s="13" t="e">
        <f t="shared" si="0"/>
        <v>#N/A</v>
      </c>
      <c r="I48" s="13" t="e">
        <f t="shared" si="1"/>
        <v>#N/A</v>
      </c>
    </row>
    <row r="49" spans="2:9" ht="12.75">
      <c r="B49" s="9">
        <v>40360</v>
      </c>
      <c r="C49" s="13">
        <v>4.63</v>
      </c>
      <c r="D49" s="13" t="e">
        <v>#N/A</v>
      </c>
      <c r="E49" s="13" t="e">
        <v>#N/A</v>
      </c>
      <c r="F49" s="14" t="e">
        <v>#N/A</v>
      </c>
      <c r="G49" s="15" t="e">
        <v>#N/A</v>
      </c>
      <c r="H49" s="13" t="e">
        <f t="shared" si="0"/>
        <v>#N/A</v>
      </c>
      <c r="I49" s="13" t="e">
        <f t="shared" si="1"/>
        <v>#N/A</v>
      </c>
    </row>
    <row r="50" spans="2:9" ht="12.75">
      <c r="B50" s="9">
        <v>40391</v>
      </c>
      <c r="C50" s="13">
        <v>4.32</v>
      </c>
      <c r="D50" s="13" t="e">
        <v>#N/A</v>
      </c>
      <c r="E50" s="13" t="e">
        <v>#N/A</v>
      </c>
      <c r="F50" s="14" t="e">
        <v>#N/A</v>
      </c>
      <c r="G50" s="15" t="e">
        <v>#N/A</v>
      </c>
      <c r="H50" s="13" t="e">
        <f t="shared" si="0"/>
        <v>#N/A</v>
      </c>
      <c r="I50" s="13" t="e">
        <f t="shared" si="1"/>
        <v>#N/A</v>
      </c>
    </row>
    <row r="51" spans="2:9" ht="12.75">
      <c r="B51" s="9">
        <v>40422</v>
      </c>
      <c r="C51" s="13">
        <v>3.89</v>
      </c>
      <c r="D51" s="13" t="e">
        <v>#N/A</v>
      </c>
      <c r="E51" s="13" t="e">
        <v>#N/A</v>
      </c>
      <c r="F51" s="14" t="e">
        <v>#N/A</v>
      </c>
      <c r="G51" s="15" t="e">
        <v>#N/A</v>
      </c>
      <c r="H51" s="13" t="e">
        <f t="shared" si="0"/>
        <v>#N/A</v>
      </c>
      <c r="I51" s="13" t="e">
        <f t="shared" si="1"/>
        <v>#N/A</v>
      </c>
    </row>
    <row r="52" spans="2:9" ht="12.75">
      <c r="B52" s="9">
        <v>40452</v>
      </c>
      <c r="C52" s="13">
        <v>3.43</v>
      </c>
      <c r="D52" s="13" t="e">
        <v>#N/A</v>
      </c>
      <c r="E52" s="13" t="e">
        <v>#N/A</v>
      </c>
      <c r="F52" s="14" t="e">
        <v>#N/A</v>
      </c>
      <c r="G52" s="15" t="e">
        <v>#N/A</v>
      </c>
      <c r="H52" s="13" t="e">
        <f t="shared" si="0"/>
        <v>#N/A</v>
      </c>
      <c r="I52" s="13" t="e">
        <f t="shared" si="1"/>
        <v>#N/A</v>
      </c>
    </row>
    <row r="53" spans="2:9" ht="12.75">
      <c r="B53" s="9">
        <v>40483</v>
      </c>
      <c r="C53" s="13">
        <v>3.71</v>
      </c>
      <c r="D53" s="13" t="e">
        <v>#N/A</v>
      </c>
      <c r="E53" s="13" t="e">
        <v>#N/A</v>
      </c>
      <c r="F53" s="14" t="e">
        <v>#N/A</v>
      </c>
      <c r="G53" s="15" t="e">
        <v>#N/A</v>
      </c>
      <c r="H53" s="13" t="e">
        <f t="shared" si="0"/>
        <v>#N/A</v>
      </c>
      <c r="I53" s="13" t="e">
        <f t="shared" si="1"/>
        <v>#N/A</v>
      </c>
    </row>
    <row r="54" spans="2:9" ht="12.75">
      <c r="B54" s="9">
        <v>40513</v>
      </c>
      <c r="C54" s="13">
        <v>4.25</v>
      </c>
      <c r="D54" s="13" t="e">
        <v>#N/A</v>
      </c>
      <c r="E54" s="13" t="e">
        <v>#N/A</v>
      </c>
      <c r="F54" s="14" t="e">
        <v>#N/A</v>
      </c>
      <c r="G54" s="15" t="e">
        <v>#N/A</v>
      </c>
      <c r="H54" s="13" t="e">
        <f t="shared" si="0"/>
        <v>#N/A</v>
      </c>
      <c r="I54" s="13" t="e">
        <f t="shared" si="1"/>
        <v>#N/A</v>
      </c>
    </row>
    <row r="55" spans="2:9" ht="12.75">
      <c r="B55" s="9">
        <v>40544</v>
      </c>
      <c r="C55" s="13">
        <v>4.49</v>
      </c>
      <c r="D55" s="13" t="e">
        <v>#N/A</v>
      </c>
      <c r="E55" s="13" t="e">
        <v>#N/A</v>
      </c>
      <c r="F55" s="14" t="e">
        <v>#N/A</v>
      </c>
      <c r="G55" s="15" t="e">
        <v>#N/A</v>
      </c>
      <c r="H55" s="13" t="e">
        <f t="shared" si="0"/>
        <v>#N/A</v>
      </c>
      <c r="I55" s="13" t="e">
        <f t="shared" si="1"/>
        <v>#N/A</v>
      </c>
    </row>
    <row r="56" spans="2:9" ht="12.75">
      <c r="B56" s="9">
        <v>40575</v>
      </c>
      <c r="C56" s="13">
        <v>4.09</v>
      </c>
      <c r="D56" s="13" t="e">
        <v>#N/A</v>
      </c>
      <c r="E56" s="13" t="e">
        <v>#N/A</v>
      </c>
      <c r="F56" s="14" t="e">
        <v>#N/A</v>
      </c>
      <c r="G56" s="15" t="e">
        <v>#N/A</v>
      </c>
      <c r="H56" s="13" t="e">
        <f t="shared" si="0"/>
        <v>#N/A</v>
      </c>
      <c r="I56" s="13" t="e">
        <f t="shared" si="1"/>
        <v>#N/A</v>
      </c>
    </row>
    <row r="57" spans="2:9" ht="12.75">
      <c r="B57" s="9">
        <v>40603</v>
      </c>
      <c r="C57" s="13">
        <v>3.97</v>
      </c>
      <c r="D57" s="13" t="e">
        <v>#N/A</v>
      </c>
      <c r="E57" s="13" t="e">
        <v>#N/A</v>
      </c>
      <c r="F57" s="14" t="e">
        <v>#N/A</v>
      </c>
      <c r="G57" s="15" t="e">
        <v>#N/A</v>
      </c>
      <c r="H57" s="13" t="e">
        <f t="shared" si="0"/>
        <v>#N/A</v>
      </c>
      <c r="I57" s="13" t="e">
        <f t="shared" si="1"/>
        <v>#N/A</v>
      </c>
    </row>
    <row r="58" spans="2:9" ht="12.75">
      <c r="B58" s="9">
        <v>40634</v>
      </c>
      <c r="C58" s="13">
        <v>4.002734</v>
      </c>
      <c r="D58" s="13">
        <v>4.002734</v>
      </c>
      <c r="E58" s="13" t="e">
        <v>#N/A</v>
      </c>
      <c r="F58" s="14" t="e">
        <v>#N/A</v>
      </c>
      <c r="G58" s="15" t="e">
        <v>#N/A</v>
      </c>
      <c r="H58" s="13" t="e">
        <f t="shared" si="0"/>
        <v>#N/A</v>
      </c>
      <c r="I58" s="13" t="e">
        <f t="shared" si="1"/>
        <v>#N/A</v>
      </c>
    </row>
    <row r="59" spans="2:9" ht="12.75">
      <c r="B59" s="9">
        <v>40664</v>
      </c>
      <c r="C59" s="13" t="e">
        <v>#N/A</v>
      </c>
      <c r="D59" s="13">
        <v>3.947753</v>
      </c>
      <c r="E59" s="13">
        <v>4.2170000000000005</v>
      </c>
      <c r="F59" s="14">
        <v>0.3366397</v>
      </c>
      <c r="G59" s="15">
        <v>12</v>
      </c>
      <c r="H59" s="13">
        <f t="shared" si="0"/>
        <v>3.875281801510151</v>
      </c>
      <c r="I59" s="13">
        <f t="shared" si="1"/>
        <v>4.588850543222469</v>
      </c>
    </row>
    <row r="60" spans="2:9" ht="12.75">
      <c r="B60" s="9">
        <v>40695</v>
      </c>
      <c r="C60" s="13" t="e">
        <v>#N/A</v>
      </c>
      <c r="D60" s="13">
        <v>3.896357</v>
      </c>
      <c r="E60" s="13">
        <v>4.29</v>
      </c>
      <c r="F60" s="14">
        <v>0.34225872499999993</v>
      </c>
      <c r="G60" s="15">
        <v>33</v>
      </c>
      <c r="H60" s="13">
        <f t="shared" si="0"/>
        <v>3.720324777336216</v>
      </c>
      <c r="I60" s="13">
        <f t="shared" si="1"/>
        <v>4.946906816339161</v>
      </c>
    </row>
    <row r="61" spans="1:9" ht="12.75">
      <c r="A61" s="26"/>
      <c r="B61" s="22">
        <v>40725</v>
      </c>
      <c r="C61" s="23" t="e">
        <v>#N/A</v>
      </c>
      <c r="D61" s="23">
        <v>3.806555</v>
      </c>
      <c r="E61" s="23">
        <v>4.3702</v>
      </c>
      <c r="F61" s="24">
        <v>0.34234925</v>
      </c>
      <c r="G61" s="25">
        <v>55</v>
      </c>
      <c r="H61" s="23">
        <f t="shared" si="0"/>
        <v>3.6357837733655245</v>
      </c>
      <c r="I61" s="23">
        <f t="shared" si="1"/>
        <v>5.252965861146635</v>
      </c>
    </row>
    <row r="62" spans="1:9" ht="12.75">
      <c r="A62" s="27" t="s">
        <v>19</v>
      </c>
      <c r="B62" s="22">
        <v>40756</v>
      </c>
      <c r="C62" s="23" t="e">
        <v>#N/A</v>
      </c>
      <c r="D62" s="23">
        <v>3.865053</v>
      </c>
      <c r="E62" s="23">
        <v>4.4168</v>
      </c>
      <c r="F62" s="24">
        <v>0.345674525</v>
      </c>
      <c r="G62" s="25">
        <v>75</v>
      </c>
      <c r="H62" s="23">
        <f t="shared" si="0"/>
        <v>3.555449562775725</v>
      </c>
      <c r="I62" s="23">
        <f t="shared" si="1"/>
        <v>5.486822944767099</v>
      </c>
    </row>
    <row r="63" spans="1:9" ht="12.75">
      <c r="A63" s="27" t="s">
        <v>20</v>
      </c>
      <c r="B63" s="22">
        <v>40787</v>
      </c>
      <c r="C63" s="23" t="e">
        <v>#N/A</v>
      </c>
      <c r="D63" s="23">
        <v>4.024437</v>
      </c>
      <c r="E63" s="23">
        <v>4.429399999999999</v>
      </c>
      <c r="F63" s="24">
        <v>0.354441125</v>
      </c>
      <c r="G63" s="25">
        <v>98</v>
      </c>
      <c r="H63" s="23">
        <f t="shared" si="0"/>
        <v>3.434938780440124</v>
      </c>
      <c r="I63" s="23">
        <f t="shared" si="1"/>
        <v>5.711771188389595</v>
      </c>
    </row>
    <row r="64" spans="1:9" ht="12.75">
      <c r="A64" s="27" t="s">
        <v>21</v>
      </c>
      <c r="B64" s="22">
        <v>40817</v>
      </c>
      <c r="C64" s="23" t="e">
        <v>#N/A</v>
      </c>
      <c r="D64" s="23">
        <v>4.181628</v>
      </c>
      <c r="E64" s="23">
        <v>4.4804</v>
      </c>
      <c r="F64" s="24">
        <v>0.36390279999999997</v>
      </c>
      <c r="G64" s="25">
        <v>119</v>
      </c>
      <c r="H64" s="23">
        <f>$E64*EXP((+NORMSINV((1-$H$40)/2)*$F64*SQRT($G64/252)))</f>
        <v>3.360354373944343</v>
      </c>
      <c r="I64" s="23">
        <f t="shared" si="1"/>
        <v>5.973770003440858</v>
      </c>
    </row>
    <row r="65" spans="1:13" ht="12.75">
      <c r="A65" s="27" t="s">
        <v>19</v>
      </c>
      <c r="B65" s="22">
        <v>40848</v>
      </c>
      <c r="C65" s="23" t="e">
        <v>#N/A</v>
      </c>
      <c r="D65" s="23">
        <v>4.334258</v>
      </c>
      <c r="E65" s="23">
        <v>4.6606000000000005</v>
      </c>
      <c r="F65" s="24">
        <v>0.33062625</v>
      </c>
      <c r="G65" s="25">
        <v>140</v>
      </c>
      <c r="H65" s="23">
        <f t="shared" si="0"/>
        <v>3.510149751098301</v>
      </c>
      <c r="I65" s="23">
        <f t="shared" si="1"/>
        <v>6.188109881409931</v>
      </c>
      <c r="J65" s="124" t="s">
        <v>46</v>
      </c>
      <c r="K65" s="127"/>
      <c r="L65" s="127"/>
      <c r="M65" s="127"/>
    </row>
    <row r="66" spans="1:13" ht="12.75">
      <c r="A66" s="28"/>
      <c r="B66" s="22">
        <v>40878</v>
      </c>
      <c r="C66" s="23" t="e">
        <v>#N/A</v>
      </c>
      <c r="D66" s="23">
        <v>4.622008</v>
      </c>
      <c r="E66" s="23">
        <v>4.9074</v>
      </c>
      <c r="F66" s="24">
        <v>0.30483380000000004</v>
      </c>
      <c r="G66" s="25">
        <v>160</v>
      </c>
      <c r="H66" s="23">
        <f t="shared" si="0"/>
        <v>3.711096600597688</v>
      </c>
      <c r="I66" s="23">
        <f t="shared" si="1"/>
        <v>6.489341925543354</v>
      </c>
      <c r="J66" s="121" t="s">
        <v>45</v>
      </c>
      <c r="K66" s="121" t="s">
        <v>5</v>
      </c>
      <c r="L66" s="128" t="s">
        <v>8</v>
      </c>
      <c r="M66" s="128"/>
    </row>
    <row r="67" spans="1:13" ht="12.75">
      <c r="A67" s="27" t="s">
        <v>22</v>
      </c>
      <c r="B67" s="22">
        <v>40909</v>
      </c>
      <c r="C67" s="23" t="e">
        <v>#N/A</v>
      </c>
      <c r="D67" s="23">
        <v>4.676607</v>
      </c>
      <c r="E67" s="23">
        <v>5.034000000000001</v>
      </c>
      <c r="F67" s="24">
        <v>0.29645787500000004</v>
      </c>
      <c r="G67" s="25">
        <v>182</v>
      </c>
      <c r="H67" s="23">
        <f t="shared" si="0"/>
        <v>3.7674373151151306</v>
      </c>
      <c r="I67" s="23">
        <f t="shared" si="1"/>
        <v>6.7263643374582855</v>
      </c>
      <c r="J67" s="39" t="s">
        <v>11</v>
      </c>
      <c r="K67" s="39" t="s">
        <v>10</v>
      </c>
      <c r="L67" s="39" t="s">
        <v>14</v>
      </c>
      <c r="M67" s="39" t="s">
        <v>15</v>
      </c>
    </row>
    <row r="68" spans="1:14" ht="12.75">
      <c r="A68" s="27" t="s">
        <v>20</v>
      </c>
      <c r="B68" s="22">
        <v>40940</v>
      </c>
      <c r="C68" s="23" t="e">
        <v>#N/A</v>
      </c>
      <c r="D68" s="23">
        <v>4.643524</v>
      </c>
      <c r="E68" s="23">
        <v>5.0156</v>
      </c>
      <c r="F68" s="24">
        <v>0.294551025</v>
      </c>
      <c r="G68" s="25">
        <v>202</v>
      </c>
      <c r="H68" s="23">
        <f t="shared" si="0"/>
        <v>3.7031650997627628</v>
      </c>
      <c r="I68" s="23">
        <f t="shared" si="1"/>
        <v>6.7931735913183005</v>
      </c>
      <c r="J68" s="120">
        <f>AVERAGE(D61:D72)</f>
        <v>4.272143333333333</v>
      </c>
      <c r="K68" s="120">
        <f>AVERAGE(E61:E72)</f>
        <v>4.731283333333333</v>
      </c>
      <c r="L68" s="120">
        <f>AVERAGE(H61:H72)</f>
        <v>3.5864080762028663</v>
      </c>
      <c r="M68" s="120">
        <f>AVERAGE(I61:I72)</f>
        <v>6.250075893954481</v>
      </c>
      <c r="N68" s="29"/>
    </row>
    <row r="69" spans="1:9" ht="12.75">
      <c r="A69" s="27" t="s">
        <v>23</v>
      </c>
      <c r="B69" s="22">
        <v>40969</v>
      </c>
      <c r="C69" s="23" t="e">
        <v>#N/A</v>
      </c>
      <c r="D69" s="23">
        <v>4.435058</v>
      </c>
      <c r="E69" s="23">
        <v>4.951600000000001</v>
      </c>
      <c r="F69" s="24">
        <v>0.293752125</v>
      </c>
      <c r="G69" s="25">
        <v>222</v>
      </c>
      <c r="H69" s="23">
        <f t="shared" si="0"/>
        <v>3.6058029752250835</v>
      </c>
      <c r="I69" s="23">
        <f t="shared" si="1"/>
        <v>6.799690035329651</v>
      </c>
    </row>
    <row r="70" spans="1:9" ht="12.75">
      <c r="A70" s="27" t="s">
        <v>24</v>
      </c>
      <c r="B70" s="22">
        <v>41000</v>
      </c>
      <c r="C70" s="23" t="e">
        <v>#N/A</v>
      </c>
      <c r="D70" s="23">
        <v>4.32944</v>
      </c>
      <c r="E70" s="23">
        <v>4.805999999999999</v>
      </c>
      <c r="F70" s="24">
        <v>0.26073945000000004</v>
      </c>
      <c r="G70" s="25">
        <v>244</v>
      </c>
      <c r="H70" s="23">
        <f t="shared" si="0"/>
        <v>3.57771041045259</v>
      </c>
      <c r="I70" s="23">
        <f t="shared" si="1"/>
        <v>6.45598255591572</v>
      </c>
    </row>
    <row r="71" spans="1:11" ht="12.75">
      <c r="A71" s="26"/>
      <c r="B71" s="22">
        <v>41030</v>
      </c>
      <c r="C71" s="23" t="e">
        <v>#N/A</v>
      </c>
      <c r="D71" s="23">
        <v>4.235301</v>
      </c>
      <c r="E71" s="23">
        <v>4.8332</v>
      </c>
      <c r="F71" s="24">
        <v>0.2535067</v>
      </c>
      <c r="G71" s="25">
        <v>264</v>
      </c>
      <c r="H71" s="23">
        <f t="shared" si="0"/>
        <v>3.5859552030049575</v>
      </c>
      <c r="I71" s="23">
        <f t="shared" si="1"/>
        <v>6.5142537810915595</v>
      </c>
      <c r="K71" s="80"/>
    </row>
    <row r="72" spans="1:9" ht="12.75">
      <c r="A72" s="26"/>
      <c r="B72" s="22">
        <v>41061</v>
      </c>
      <c r="C72" s="23" t="e">
        <v>#N/A</v>
      </c>
      <c r="D72" s="23">
        <v>4.111851</v>
      </c>
      <c r="E72" s="23">
        <v>4.8702000000000005</v>
      </c>
      <c r="F72" s="24">
        <v>0.24907970000000001</v>
      </c>
      <c r="G72" s="25">
        <v>286</v>
      </c>
      <c r="H72" s="23">
        <f t="shared" si="0"/>
        <v>3.5890530686521642</v>
      </c>
      <c r="I72" s="23">
        <f t="shared" si="1"/>
        <v>6.608664621642777</v>
      </c>
    </row>
    <row r="73" spans="2:9" ht="12.75">
      <c r="B73" s="9">
        <v>41091</v>
      </c>
      <c r="C73" s="13" t="e">
        <v>#N/A</v>
      </c>
      <c r="D73" s="13">
        <v>4.313244</v>
      </c>
      <c r="E73" s="13">
        <v>4.914</v>
      </c>
      <c r="F73" s="14">
        <v>0.24699707499999998</v>
      </c>
      <c r="G73" s="15">
        <v>307</v>
      </c>
      <c r="H73" s="13">
        <f t="shared" si="0"/>
        <v>3.591169262969691</v>
      </c>
      <c r="I73" s="13">
        <f t="shared" si="1"/>
        <v>6.724104109766045</v>
      </c>
    </row>
    <row r="74" spans="2:9" ht="12.75">
      <c r="B74" s="9">
        <v>41122</v>
      </c>
      <c r="C74" s="13" t="e">
        <v>#N/A</v>
      </c>
      <c r="D74" s="13">
        <v>4.506975</v>
      </c>
      <c r="E74" s="13">
        <v>4.9398</v>
      </c>
      <c r="F74" s="14">
        <v>0.24838100000000002</v>
      </c>
      <c r="G74" s="15">
        <v>328</v>
      </c>
      <c r="H74" s="13">
        <f t="shared" si="0"/>
        <v>3.5656610895955816</v>
      </c>
      <c r="I74" s="13">
        <f t="shared" si="1"/>
        <v>6.8435062746716735</v>
      </c>
    </row>
    <row r="75" spans="2:9" ht="12.75">
      <c r="B75" s="9">
        <v>41153</v>
      </c>
      <c r="C75" s="13" t="e">
        <v>#N/A</v>
      </c>
      <c r="D75" s="13">
        <v>4.570176</v>
      </c>
      <c r="E75" s="13">
        <v>4.947</v>
      </c>
      <c r="F75" s="14">
        <v>0.2574392321428571</v>
      </c>
      <c r="G75" s="15">
        <v>351</v>
      </c>
      <c r="H75" s="13">
        <f t="shared" si="0"/>
        <v>3.4878057030696397</v>
      </c>
      <c r="I75" s="13">
        <f t="shared" si="1"/>
        <v>7.016677843740357</v>
      </c>
    </row>
    <row r="76" spans="2:9" ht="12.75">
      <c r="B76" s="9">
        <v>41183</v>
      </c>
      <c r="C76" s="13" t="e">
        <v>#N/A</v>
      </c>
      <c r="D76" s="13">
        <v>4.787289</v>
      </c>
      <c r="E76" s="13">
        <v>5.0012</v>
      </c>
      <c r="F76" s="14">
        <v>0.263938144047619</v>
      </c>
      <c r="G76" s="15">
        <v>370</v>
      </c>
      <c r="H76" s="13">
        <f t="shared" si="0"/>
        <v>3.461754616200884</v>
      </c>
      <c r="I76" s="13">
        <f t="shared" si="1"/>
        <v>7.225238127204266</v>
      </c>
    </row>
    <row r="77" spans="2:9" ht="12.75">
      <c r="B77" s="9">
        <v>41214</v>
      </c>
      <c r="C77" s="13" t="e">
        <v>#N/A</v>
      </c>
      <c r="D77" s="13">
        <v>4.878522</v>
      </c>
      <c r="E77" s="13">
        <v>5.1486</v>
      </c>
      <c r="F77" s="14">
        <v>0.25271135</v>
      </c>
      <c r="G77" s="15">
        <v>393</v>
      </c>
      <c r="H77" s="13">
        <f t="shared" si="0"/>
        <v>3.5811649262989222</v>
      </c>
      <c r="I77" s="13">
        <f t="shared" si="1"/>
        <v>7.402083541401063</v>
      </c>
    </row>
    <row r="78" spans="2:9" ht="12.75">
      <c r="B78" s="16">
        <v>41244</v>
      </c>
      <c r="C78" s="17" t="e">
        <v>#N/A</v>
      </c>
      <c r="D78" s="17">
        <v>5.115469</v>
      </c>
      <c r="E78" s="17">
        <v>5.384799999999999</v>
      </c>
      <c r="F78" s="18">
        <v>0.24128782499999998</v>
      </c>
      <c r="G78" s="19">
        <v>414</v>
      </c>
      <c r="H78" s="17">
        <f t="shared" si="0"/>
        <v>3.772785744829637</v>
      </c>
      <c r="I78" s="17">
        <f t="shared" si="1"/>
        <v>7.6855864608100966</v>
      </c>
    </row>
    <row r="79" ht="12.75">
      <c r="B79" t="s">
        <v>16</v>
      </c>
    </row>
    <row r="80" ht="12.75">
      <c r="B80" t="str">
        <f>"Note: Confidence interval derived from options market information for 5 trading days ending "&amp;TEXT(B97,"mmmm d, yyyy")</f>
        <v>Note: Confidence interval derived from options market information for 5 trading days ending April 7, 2011</v>
      </c>
    </row>
    <row r="81" ht="12.75">
      <c r="B81" t="s">
        <v>17</v>
      </c>
    </row>
    <row r="87" ht="15.75">
      <c r="B87" s="20" t="s">
        <v>18</v>
      </c>
    </row>
    <row r="97" ht="12.75">
      <c r="B97" s="21">
        <v>40640</v>
      </c>
    </row>
    <row r="98" ht="12.75">
      <c r="B98" t="str">
        <f>TEXT(H40,"0%")&amp;" NYMEX futures price confidence interval"</f>
        <v>75% NYMEX futures price confidence interval</v>
      </c>
    </row>
    <row r="100" spans="4:12" ht="15.75">
      <c r="D100" s="129" t="s">
        <v>63</v>
      </c>
      <c r="E100" s="129"/>
      <c r="F100" s="129"/>
      <c r="G100" s="129"/>
      <c r="H100" s="129"/>
      <c r="I100" s="129"/>
      <c r="J100" s="129"/>
      <c r="K100" s="129"/>
      <c r="L100" s="129"/>
    </row>
    <row r="102" spans="5:11" ht="12.75">
      <c r="E102" s="38"/>
      <c r="F102" s="38"/>
      <c r="G102" s="38"/>
      <c r="H102" s="38"/>
      <c r="I102" s="38"/>
      <c r="J102" s="81" t="s">
        <v>49</v>
      </c>
      <c r="K102" s="38"/>
    </row>
    <row r="103" spans="5:11" ht="12.75">
      <c r="E103" s="97" t="s">
        <v>47</v>
      </c>
      <c r="F103" s="38"/>
      <c r="G103" s="38"/>
      <c r="H103" s="124" t="s">
        <v>64</v>
      </c>
      <c r="I103" s="124"/>
      <c r="J103" s="81" t="s">
        <v>50</v>
      </c>
      <c r="K103" s="97" t="s">
        <v>51</v>
      </c>
    </row>
    <row r="104" spans="5:11" ht="12.75">
      <c r="E104" s="79" t="s">
        <v>48</v>
      </c>
      <c r="F104" s="119"/>
      <c r="G104" s="39" t="s">
        <v>25</v>
      </c>
      <c r="H104" s="79" t="str">
        <f>+H42</f>
        <v>Lower</v>
      </c>
      <c r="I104" s="79" t="str">
        <f>+I42</f>
        <v>Upper</v>
      </c>
      <c r="J104" s="39" t="s">
        <v>48</v>
      </c>
      <c r="K104" s="39" t="s">
        <v>26</v>
      </c>
    </row>
    <row r="105" spans="5:11" ht="18">
      <c r="E105" s="110">
        <f>+K68</f>
        <v>4.731283333333333</v>
      </c>
      <c r="F105" s="109"/>
      <c r="G105" s="111">
        <v>0.99</v>
      </c>
      <c r="H105" s="112">
        <v>2.55</v>
      </c>
      <c r="I105" s="112">
        <v>8.84</v>
      </c>
      <c r="J105" s="111">
        <v>0.869</v>
      </c>
      <c r="K105" s="113">
        <f aca="true" t="shared" si="2" ref="K105:K113">+J105-J106</f>
        <v>0.261</v>
      </c>
    </row>
    <row r="106" spans="5:11" ht="18">
      <c r="E106" s="110">
        <f>+E105</f>
        <v>4.731283333333333</v>
      </c>
      <c r="F106" s="109"/>
      <c r="G106" s="111">
        <v>0.95</v>
      </c>
      <c r="H106" s="112">
        <v>2.95</v>
      </c>
      <c r="I106" s="112">
        <v>7.61</v>
      </c>
      <c r="J106" s="111">
        <v>0.608</v>
      </c>
      <c r="K106" s="113">
        <f t="shared" si="2"/>
        <v>0.118</v>
      </c>
    </row>
    <row r="107" spans="5:11" ht="18">
      <c r="E107" s="110">
        <f aca="true" t="shared" si="3" ref="E107:E115">+E106</f>
        <v>4.731283333333333</v>
      </c>
      <c r="F107" s="109"/>
      <c r="G107" s="111">
        <v>0.9</v>
      </c>
      <c r="H107" s="112">
        <v>3.19</v>
      </c>
      <c r="I107" s="112">
        <v>7.05</v>
      </c>
      <c r="J107" s="111">
        <v>0.49</v>
      </c>
      <c r="K107" s="113">
        <f t="shared" si="2"/>
        <v>0.08000000000000002</v>
      </c>
    </row>
    <row r="108" spans="5:11" ht="18">
      <c r="E108" s="110">
        <f t="shared" si="3"/>
        <v>4.731283333333333</v>
      </c>
      <c r="F108" s="109"/>
      <c r="G108" s="111">
        <v>0.85</v>
      </c>
      <c r="H108" s="112">
        <v>3.35</v>
      </c>
      <c r="I108" s="112">
        <v>6.7</v>
      </c>
      <c r="J108" s="111">
        <v>0.41</v>
      </c>
      <c r="K108" s="113">
        <f t="shared" si="2"/>
        <v>0.045999999999999985</v>
      </c>
    </row>
    <row r="109" spans="5:11" ht="18">
      <c r="E109" s="110">
        <f t="shared" si="3"/>
        <v>4.731283333333333</v>
      </c>
      <c r="F109" s="109"/>
      <c r="G109" s="111">
        <v>0.8</v>
      </c>
      <c r="H109" s="112">
        <v>3.48</v>
      </c>
      <c r="I109" s="112">
        <v>6.45</v>
      </c>
      <c r="J109" s="111">
        <v>0.364</v>
      </c>
      <c r="K109" s="113">
        <f t="shared" si="2"/>
        <v>0.04299999999999998</v>
      </c>
    </row>
    <row r="110" spans="5:15" ht="18">
      <c r="E110" s="114">
        <f t="shared" si="3"/>
        <v>4.731283333333333</v>
      </c>
      <c r="F110" s="115"/>
      <c r="G110" s="116">
        <v>0.75</v>
      </c>
      <c r="H110" s="117">
        <v>3.59</v>
      </c>
      <c r="I110" s="117">
        <v>6.25</v>
      </c>
      <c r="J110" s="116">
        <v>0.321</v>
      </c>
      <c r="K110" s="118">
        <f t="shared" si="2"/>
        <v>0.03600000000000003</v>
      </c>
      <c r="O110" s="122"/>
    </row>
    <row r="111" spans="5:11" ht="18">
      <c r="E111" s="110">
        <f t="shared" si="3"/>
        <v>4.731283333333333</v>
      </c>
      <c r="F111" s="109"/>
      <c r="G111" s="111">
        <v>0.7</v>
      </c>
      <c r="H111" s="112">
        <v>3.69</v>
      </c>
      <c r="I111" s="112">
        <v>6.08</v>
      </c>
      <c r="J111" s="111">
        <v>0.285</v>
      </c>
      <c r="K111" s="113">
        <f t="shared" si="2"/>
        <v>0.030999999999999972</v>
      </c>
    </row>
    <row r="112" spans="5:11" ht="18">
      <c r="E112" s="110">
        <f t="shared" si="3"/>
        <v>4.731283333333333</v>
      </c>
      <c r="F112" s="109"/>
      <c r="G112" s="111">
        <v>0.65</v>
      </c>
      <c r="H112" s="112">
        <v>3.78</v>
      </c>
      <c r="I112" s="112">
        <v>5.93</v>
      </c>
      <c r="J112" s="111">
        <v>0.254</v>
      </c>
      <c r="K112" s="113">
        <f t="shared" si="2"/>
        <v>0.027999999999999997</v>
      </c>
    </row>
    <row r="113" spans="5:11" ht="18">
      <c r="E113" s="110">
        <f t="shared" si="3"/>
        <v>4.731283333333333</v>
      </c>
      <c r="F113" s="109"/>
      <c r="G113" s="111">
        <v>0.6</v>
      </c>
      <c r="H113" s="112">
        <v>3.86</v>
      </c>
      <c r="I113" s="112">
        <v>5.8</v>
      </c>
      <c r="J113" s="111">
        <v>0.226</v>
      </c>
      <c r="K113" s="113">
        <f t="shared" si="2"/>
        <v>0.025999999999999995</v>
      </c>
    </row>
    <row r="114" spans="5:11" ht="18">
      <c r="E114" s="110">
        <f t="shared" si="3"/>
        <v>4.731283333333333</v>
      </c>
      <c r="F114" s="109"/>
      <c r="G114" s="111">
        <v>0.55</v>
      </c>
      <c r="H114" s="112">
        <v>3.94</v>
      </c>
      <c r="I114" s="112">
        <v>5.68</v>
      </c>
      <c r="J114" s="111">
        <v>0.2</v>
      </c>
      <c r="K114" s="113">
        <f>+J114-J115</f>
        <v>0.02300000000000002</v>
      </c>
    </row>
    <row r="115" spans="5:11" ht="18">
      <c r="E115" s="110">
        <f t="shared" si="3"/>
        <v>4.731283333333333</v>
      </c>
      <c r="F115" s="109"/>
      <c r="G115" s="111">
        <v>0.5</v>
      </c>
      <c r="H115" s="112">
        <v>4.02</v>
      </c>
      <c r="I115" s="112">
        <v>5.57</v>
      </c>
      <c r="J115" s="111">
        <v>0.177</v>
      </c>
      <c r="K115" s="109"/>
    </row>
  </sheetData>
  <mergeCells count="6">
    <mergeCell ref="H103:I103"/>
    <mergeCell ref="H40:I40"/>
    <mergeCell ref="H41:I41"/>
    <mergeCell ref="J65:M65"/>
    <mergeCell ref="L66:M66"/>
    <mergeCell ref="D100:L100"/>
  </mergeCells>
  <conditionalFormatting sqref="C43:I78">
    <cfRule type="expression" priority="1" dxfId="0" stopIfTrue="1">
      <formula>ISNA(C43)</formula>
    </cfRule>
  </conditionalFormatting>
  <dataValidations count="1" disablePrompts="1">
    <dataValidation errorStyle="information" type="decimal" operator="lessThan" allowBlank="1" showInputMessage="1" showErrorMessage="1" errorTitle="Invalid entry" error="Value must be less than 100%" sqref="H40:I40">
      <formula1>1</formula1>
    </dataValidation>
  </dataValidations>
  <printOptions/>
  <pageMargins left="0.75" right="0.75" top="0.5" bottom="0.5" header="0.5" footer="0.5"/>
  <pageSetup fitToHeight="2" horizontalDpi="600" verticalDpi="600" orientation="portrait" scale="73" r:id="rId5"/>
  <rowBreaks count="1" manualBreakCount="1">
    <brk id="79" max="16383" man="1"/>
  </rowBreaks>
  <drawing r:id="rId4"/>
  <legacyDrawing r:id="rId3"/>
  <oleObjects>
    <oleObject progId="Equation.3" shapeId="1027" r:id="rId1"/>
    <oleObject progId="Equation.3" shapeId="10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Q42"/>
  <sheetViews>
    <sheetView workbookViewId="0" topLeftCell="A1">
      <selection activeCell="K1" sqref="K1"/>
    </sheetView>
  </sheetViews>
  <sheetFormatPr defaultColWidth="9.140625" defaultRowHeight="12.75"/>
  <cols>
    <col min="1" max="1" width="2.7109375" style="0" customWidth="1"/>
    <col min="2" max="2" width="15.00390625" style="30" bestFit="1" customWidth="1"/>
    <col min="3" max="3" width="9.7109375" style="0" customWidth="1"/>
    <col min="4" max="4" width="14.28125" style="0" customWidth="1"/>
    <col min="5" max="5" width="15.7109375" style="0" hidden="1" customWidth="1"/>
    <col min="6" max="7" width="15.7109375" style="0" customWidth="1"/>
    <col min="8" max="8" width="11.8515625" style="0" customWidth="1"/>
    <col min="9" max="9" width="16.7109375" style="0" customWidth="1"/>
    <col min="10" max="10" width="14.7109375" style="0" customWidth="1"/>
    <col min="11" max="11" width="17.140625" style="0" customWidth="1"/>
    <col min="12" max="13" width="14.7109375" style="0" bestFit="1" customWidth="1"/>
    <col min="14" max="14" width="32.28125" style="0" hidden="1" customWidth="1"/>
    <col min="15" max="15" width="16.00390625" style="0" hidden="1" customWidth="1"/>
    <col min="16" max="16" width="9.421875" style="0" hidden="1" customWidth="1"/>
    <col min="17" max="17" width="10.28125" style="0" hidden="1" customWidth="1"/>
    <col min="18" max="18" width="9.140625" style="0" hidden="1" customWidth="1"/>
  </cols>
  <sheetData>
    <row r="1" spans="2:13" ht="15">
      <c r="B1" s="32"/>
      <c r="C1" s="31"/>
      <c r="D1" s="31"/>
      <c r="E1" s="31"/>
      <c r="F1" s="31"/>
      <c r="G1" s="31"/>
      <c r="H1" s="31"/>
      <c r="I1" s="31"/>
      <c r="J1" s="31"/>
      <c r="K1" s="95" t="s">
        <v>66</v>
      </c>
      <c r="L1" s="31"/>
      <c r="M1" s="31"/>
    </row>
    <row r="2" spans="2:13" ht="18">
      <c r="B2" s="130" t="s">
        <v>59</v>
      </c>
      <c r="C2" s="130"/>
      <c r="D2" s="130"/>
      <c r="E2" s="130"/>
      <c r="F2" s="130"/>
      <c r="G2" s="130"/>
      <c r="H2" s="130"/>
      <c r="I2" s="130"/>
      <c r="J2" s="130"/>
      <c r="K2" s="130"/>
      <c r="L2" s="31"/>
      <c r="M2" s="31"/>
    </row>
    <row r="3" spans="2:13" ht="14.25">
      <c r="B3" s="32"/>
      <c r="C3" s="31"/>
      <c r="D3" s="31"/>
      <c r="E3" s="31"/>
      <c r="F3" s="31"/>
      <c r="H3" s="31"/>
      <c r="I3" s="31"/>
      <c r="J3" s="31"/>
      <c r="K3" s="31"/>
      <c r="L3" s="31"/>
      <c r="M3" s="31"/>
    </row>
    <row r="4" spans="2:17" ht="28.5">
      <c r="B4" s="99" t="s">
        <v>60</v>
      </c>
      <c r="C4" s="44" t="s">
        <v>35</v>
      </c>
      <c r="D4" s="44" t="s">
        <v>61</v>
      </c>
      <c r="E4" s="42"/>
      <c r="F4" s="42"/>
      <c r="G4" s="93"/>
      <c r="H4" s="93"/>
      <c r="I4" s="45" t="s">
        <v>43</v>
      </c>
      <c r="J4" s="44" t="str">
        <f>+C4</f>
        <v>Cost Per  MMBtu</v>
      </c>
      <c r="K4" s="42"/>
      <c r="M4" s="31"/>
      <c r="O4" s="100" t="str">
        <f aca="true" t="shared" si="0" ref="O4:Q5">+B4</f>
        <v>Test Year Cost</v>
      </c>
      <c r="P4" s="101" t="str">
        <f t="shared" si="0"/>
        <v>Cost Per  MMBtu</v>
      </c>
      <c r="Q4" s="101" t="str">
        <f t="shared" si="0"/>
        <v xml:space="preserve">Percent of Total </v>
      </c>
    </row>
    <row r="5" spans="2:17" ht="14.25">
      <c r="B5" s="32">
        <v>328543939</v>
      </c>
      <c r="C5" s="33">
        <f>+B5/D$24</f>
        <v>4.8548989989487925</v>
      </c>
      <c r="D5" s="29">
        <f>+C5/C10</f>
        <v>0.6369750740957887</v>
      </c>
      <c r="E5" s="132" t="s">
        <v>29</v>
      </c>
      <c r="F5" s="132"/>
      <c r="G5" s="132"/>
      <c r="H5" s="132"/>
      <c r="I5" s="37">
        <f>+B5</f>
        <v>328543939</v>
      </c>
      <c r="J5" s="33">
        <f>+I5/D24</f>
        <v>4.8548989989487925</v>
      </c>
      <c r="K5" s="29">
        <f>+J5/J10</f>
        <v>0.7309425444823258</v>
      </c>
      <c r="M5" s="31"/>
      <c r="N5" t="str">
        <f>+E5</f>
        <v xml:space="preserve">Gas Fuel Burn </v>
      </c>
      <c r="O5" s="104">
        <f t="shared" si="0"/>
        <v>328543939</v>
      </c>
      <c r="P5" s="102">
        <f t="shared" si="0"/>
        <v>4.8548989989487925</v>
      </c>
      <c r="Q5" s="29">
        <f t="shared" si="0"/>
        <v>0.6369750740957887</v>
      </c>
    </row>
    <row r="6" spans="2:17" ht="14.25">
      <c r="B6" s="32">
        <v>69552</v>
      </c>
      <c r="C6" s="33">
        <f>+B6/D$24</f>
        <v>0.0010277710074416756</v>
      </c>
      <c r="D6" s="29">
        <f>+C6/C10</f>
        <v>0.00013484616544245638</v>
      </c>
      <c r="E6" s="132" t="s">
        <v>27</v>
      </c>
      <c r="F6" s="132"/>
      <c r="G6" s="132"/>
      <c r="H6" s="132"/>
      <c r="I6" s="37">
        <f>+B6</f>
        <v>69552</v>
      </c>
      <c r="J6" s="33">
        <f>+I6/D24</f>
        <v>0.0010277710074416756</v>
      </c>
      <c r="K6" s="29">
        <f>+J6/J10</f>
        <v>0.0001547388638748704</v>
      </c>
      <c r="M6" s="31"/>
      <c r="N6" t="str">
        <f aca="true" t="shared" si="1" ref="N6:N7">+E6</f>
        <v>Gas Physical</v>
      </c>
      <c r="O6" s="104">
        <f aca="true" t="shared" si="2" ref="O6:O8">+B6</f>
        <v>69552</v>
      </c>
      <c r="P6" s="102">
        <f aca="true" t="shared" si="3" ref="P6:P8">+C6</f>
        <v>0.0010277710074416756</v>
      </c>
      <c r="Q6" s="29">
        <f aca="true" t="shared" si="4" ref="Q6:Q8">+D6</f>
        <v>0.00013484616544245638</v>
      </c>
    </row>
    <row r="7" spans="2:17" ht="15">
      <c r="B7" s="34">
        <v>160723241</v>
      </c>
      <c r="C7" s="77">
        <f>+B7/D$24</f>
        <v>2.3750098821293597</v>
      </c>
      <c r="D7" s="88">
        <f>+C7/C10</f>
        <v>0.3116073261205111</v>
      </c>
      <c r="E7" s="133" t="s">
        <v>28</v>
      </c>
      <c r="F7" s="133"/>
      <c r="G7" s="133"/>
      <c r="H7" s="133"/>
      <c r="I7" s="43">
        <f>+B7+G29</f>
        <v>94415334.44592944</v>
      </c>
      <c r="J7" s="77">
        <f>+I7/D24</f>
        <v>1.3951768950056884</v>
      </c>
      <c r="K7" s="88">
        <f>+J7/J10</f>
        <v>0.21005465816265584</v>
      </c>
      <c r="M7" s="31"/>
      <c r="N7" s="7" t="str">
        <f t="shared" si="1"/>
        <v>Gas Swaps</v>
      </c>
      <c r="O7" s="105">
        <f t="shared" si="2"/>
        <v>160723241</v>
      </c>
      <c r="P7" s="103">
        <f t="shared" si="3"/>
        <v>2.3750098821293597</v>
      </c>
      <c r="Q7" s="90">
        <f t="shared" si="4"/>
        <v>0.3116073261205111</v>
      </c>
    </row>
    <row r="8" spans="2:17" ht="15">
      <c r="B8" s="32">
        <f>SUM(B5:B7)</f>
        <v>489336732</v>
      </c>
      <c r="C8" s="76">
        <f>+B8/D$24</f>
        <v>7.230936652085594</v>
      </c>
      <c r="D8" s="29">
        <f>+C8/C10</f>
        <v>0.9487172463817424</v>
      </c>
      <c r="E8" s="131" t="s">
        <v>41</v>
      </c>
      <c r="F8" s="131"/>
      <c r="G8" s="131"/>
      <c r="H8" s="131"/>
      <c r="I8" s="32">
        <f>SUM(I5:I7)</f>
        <v>423028825.4459294</v>
      </c>
      <c r="J8" s="76">
        <f>+I8/D24</f>
        <v>6.2511036649619225</v>
      </c>
      <c r="K8" s="36">
        <f>+J8/J10</f>
        <v>0.9411519415088565</v>
      </c>
      <c r="M8" s="31"/>
      <c r="N8" s="107" t="s">
        <v>62</v>
      </c>
      <c r="O8" s="104">
        <f t="shared" si="2"/>
        <v>489336732</v>
      </c>
      <c r="P8" s="106">
        <f t="shared" si="3"/>
        <v>7.230936652085594</v>
      </c>
      <c r="Q8" s="29">
        <f t="shared" si="4"/>
        <v>0.9487172463817424</v>
      </c>
    </row>
    <row r="9" spans="2:17" ht="14.25">
      <c r="B9" s="34">
        <v>26451016</v>
      </c>
      <c r="C9" s="89">
        <f>+B9/D24</f>
        <v>0.3908670830770629</v>
      </c>
      <c r="D9" s="90">
        <f>+C9/C10</f>
        <v>0.051282753618257716</v>
      </c>
      <c r="E9" s="134" t="s">
        <v>42</v>
      </c>
      <c r="F9" s="134"/>
      <c r="G9" s="134"/>
      <c r="H9" s="134"/>
      <c r="I9" s="91">
        <f>+B9</f>
        <v>26451016</v>
      </c>
      <c r="J9" s="89">
        <f>+I9/D24</f>
        <v>0.3908670830770629</v>
      </c>
      <c r="K9" s="92">
        <f>+J9/J10</f>
        <v>0.058848058491143586</v>
      </c>
      <c r="M9" s="31"/>
      <c r="N9" s="93" t="str">
        <f>+E9</f>
        <v>Pipeline Reservation Fees</v>
      </c>
      <c r="O9" s="105">
        <f aca="true" t="shared" si="5" ref="O9:Q10">+B9</f>
        <v>26451016</v>
      </c>
      <c r="P9" s="103">
        <f t="shared" si="5"/>
        <v>0.3908670830770629</v>
      </c>
      <c r="Q9" s="90">
        <f t="shared" si="5"/>
        <v>0.051282753618257716</v>
      </c>
    </row>
    <row r="10" spans="2:17" ht="15">
      <c r="B10" s="32">
        <f>+B9+B8</f>
        <v>515787748</v>
      </c>
      <c r="C10" s="75">
        <f>+B10/D24</f>
        <v>7.621803735162657</v>
      </c>
      <c r="D10" s="29">
        <f>+C10/C10</f>
        <v>1</v>
      </c>
      <c r="E10" s="131" t="s">
        <v>30</v>
      </c>
      <c r="F10" s="131"/>
      <c r="G10" s="131"/>
      <c r="H10" s="131"/>
      <c r="I10" s="37">
        <f>+I9+I8</f>
        <v>449479841.4459294</v>
      </c>
      <c r="J10" s="75">
        <f>+I10/D24</f>
        <v>6.641970748038985</v>
      </c>
      <c r="K10" s="36">
        <f>+J10/J10</f>
        <v>1</v>
      </c>
      <c r="M10" s="31"/>
      <c r="N10" t="str">
        <f>+E10</f>
        <v>TOTAL GAS FUEL BURN EXP</v>
      </c>
      <c r="O10" s="104">
        <f t="shared" si="5"/>
        <v>515787748</v>
      </c>
      <c r="P10" s="102">
        <f t="shared" si="5"/>
        <v>7.621803735162657</v>
      </c>
      <c r="Q10" s="29">
        <f t="shared" si="5"/>
        <v>1</v>
      </c>
    </row>
    <row r="11" spans="2:13" ht="15">
      <c r="B11" s="32"/>
      <c r="C11" s="75"/>
      <c r="D11" s="29"/>
      <c r="E11" s="84"/>
      <c r="F11" s="84"/>
      <c r="G11" s="84"/>
      <c r="H11" s="84"/>
      <c r="I11" s="37"/>
      <c r="J11" s="75"/>
      <c r="K11" s="36"/>
      <c r="M11" s="31"/>
    </row>
    <row r="12" spans="2:15" ht="15">
      <c r="B12" s="32"/>
      <c r="C12" s="75"/>
      <c r="D12" s="29"/>
      <c r="E12" s="84"/>
      <c r="F12" s="84"/>
      <c r="G12" s="84"/>
      <c r="H12" s="84"/>
      <c r="I12" s="37"/>
      <c r="J12" s="75"/>
      <c r="K12" s="36"/>
      <c r="M12" s="31"/>
      <c r="N12" t="str">
        <f>+D23</f>
        <v>Volume</v>
      </c>
      <c r="O12" s="108">
        <f>+D24</f>
        <v>67672662</v>
      </c>
    </row>
    <row r="13" spans="3:13" ht="30">
      <c r="C13" s="75"/>
      <c r="D13" s="98" t="str">
        <f>+B4</f>
        <v>Test Year Cost</v>
      </c>
      <c r="E13" s="84"/>
      <c r="F13" s="94"/>
      <c r="G13" s="94"/>
      <c r="H13" s="94"/>
      <c r="I13" s="96" t="str">
        <f>+I4</f>
        <v>Proposed Cost Allowance</v>
      </c>
      <c r="J13" s="75"/>
      <c r="K13" s="36"/>
      <c r="M13" s="31"/>
    </row>
    <row r="14" spans="3:13" ht="15">
      <c r="C14" s="75"/>
      <c r="D14" s="32"/>
      <c r="E14" s="84"/>
      <c r="F14" s="84"/>
      <c r="G14" s="84"/>
      <c r="H14" s="84"/>
      <c r="I14" s="31"/>
      <c r="J14" s="75"/>
      <c r="K14" s="36"/>
      <c r="M14" s="31"/>
    </row>
    <row r="15" spans="3:13" ht="15">
      <c r="C15" s="75"/>
      <c r="D15" s="144">
        <f>+B7</f>
        <v>160723241</v>
      </c>
      <c r="E15" s="84"/>
      <c r="F15" s="132" t="s">
        <v>38</v>
      </c>
      <c r="G15" s="132"/>
      <c r="H15" s="132"/>
      <c r="I15" s="149">
        <f>+I7</f>
        <v>94415334.44592944</v>
      </c>
      <c r="J15" s="75"/>
      <c r="K15" s="36"/>
      <c r="M15" s="31"/>
    </row>
    <row r="16" spans="3:13" ht="15">
      <c r="C16" s="75"/>
      <c r="D16" s="145" t="str">
        <f>+I22</f>
        <v>(61,683,848)</v>
      </c>
      <c r="E16" s="84"/>
      <c r="F16" s="133" t="s">
        <v>39</v>
      </c>
      <c r="G16" s="133"/>
      <c r="H16" s="133"/>
      <c r="I16" s="150">
        <f>+I29</f>
        <v>-53316568.79056679</v>
      </c>
      <c r="J16" s="75"/>
      <c r="K16" s="36"/>
      <c r="M16" s="31"/>
    </row>
    <row r="17" spans="3:13" ht="15">
      <c r="C17" s="75"/>
      <c r="D17" s="32"/>
      <c r="E17" s="84"/>
      <c r="F17" s="31"/>
      <c r="G17" s="84"/>
      <c r="H17" s="84"/>
      <c r="I17" s="149"/>
      <c r="J17" s="75"/>
      <c r="K17" s="36"/>
      <c r="M17" s="31"/>
    </row>
    <row r="18" spans="3:13" ht="15">
      <c r="C18" s="75"/>
      <c r="D18" s="148">
        <f>+D16+D15</f>
        <v>99039393</v>
      </c>
      <c r="E18" s="84"/>
      <c r="F18" s="131" t="s">
        <v>40</v>
      </c>
      <c r="G18" s="131"/>
      <c r="H18" s="131"/>
      <c r="I18" s="151">
        <f>+I15+I16</f>
        <v>41098765.65536265</v>
      </c>
      <c r="J18" s="75"/>
      <c r="K18" s="36"/>
      <c r="M18" s="31"/>
    </row>
    <row r="19" spans="2:13" ht="15">
      <c r="B19" s="32"/>
      <c r="C19" s="75"/>
      <c r="D19" s="29"/>
      <c r="E19" s="84"/>
      <c r="F19" s="84"/>
      <c r="G19" s="84"/>
      <c r="H19" s="84"/>
      <c r="I19" s="37"/>
      <c r="J19" s="75"/>
      <c r="K19" s="36"/>
      <c r="M19" s="31"/>
    </row>
    <row r="20" spans="2:13" ht="15" thickBot="1">
      <c r="B20" s="32"/>
      <c r="C20" s="31"/>
      <c r="D20" s="31"/>
      <c r="E20" s="31"/>
      <c r="F20" s="31"/>
      <c r="K20" s="31"/>
      <c r="L20" s="31"/>
      <c r="M20" s="31"/>
    </row>
    <row r="21" spans="2:13" ht="15">
      <c r="B21" s="135" t="s">
        <v>54</v>
      </c>
      <c r="C21" s="136"/>
      <c r="D21" s="136"/>
      <c r="E21" s="136"/>
      <c r="F21" s="136"/>
      <c r="G21" s="136"/>
      <c r="H21" s="137"/>
      <c r="I21" s="138" t="s">
        <v>53</v>
      </c>
      <c r="J21" s="139"/>
      <c r="K21" s="82" t="s">
        <v>37</v>
      </c>
      <c r="L21" s="31"/>
      <c r="M21" s="31"/>
    </row>
    <row r="22" spans="2:13" ht="15">
      <c r="B22" s="140" t="s">
        <v>55</v>
      </c>
      <c r="C22" s="142"/>
      <c r="D22" s="142"/>
      <c r="E22" s="142"/>
      <c r="F22" s="142"/>
      <c r="G22" s="142"/>
      <c r="H22" s="141"/>
      <c r="I22" s="140" t="s">
        <v>52</v>
      </c>
      <c r="J22" s="141"/>
      <c r="K22" s="83" t="s">
        <v>56</v>
      </c>
      <c r="L22" s="31"/>
      <c r="M22" s="31"/>
    </row>
    <row r="23" spans="2:13" ht="57">
      <c r="B23" s="47" t="s">
        <v>25</v>
      </c>
      <c r="C23" s="44" t="s">
        <v>44</v>
      </c>
      <c r="D23" s="46" t="s">
        <v>33</v>
      </c>
      <c r="E23" s="35" t="s">
        <v>32</v>
      </c>
      <c r="F23" s="44" t="s">
        <v>57</v>
      </c>
      <c r="G23" s="46" t="s">
        <v>31</v>
      </c>
      <c r="H23" s="54" t="s">
        <v>36</v>
      </c>
      <c r="I23" s="85" t="s">
        <v>58</v>
      </c>
      <c r="J23" s="86" t="s">
        <v>31</v>
      </c>
      <c r="K23" s="74" t="s">
        <v>34</v>
      </c>
      <c r="L23" s="31"/>
      <c r="M23" s="31"/>
    </row>
    <row r="24" spans="2:13" ht="14.25">
      <c r="B24" s="55">
        <v>0.99</v>
      </c>
      <c r="C24" s="41">
        <v>8.84</v>
      </c>
      <c r="D24" s="40">
        <v>67672662</v>
      </c>
      <c r="E24" s="56">
        <f aca="true" t="shared" si="6" ref="E24:E34">+C24*D24</f>
        <v>598226332.08</v>
      </c>
      <c r="F24" s="56">
        <f aca="true" t="shared" si="7" ref="F24:F27">(C24-C$5)*D24</f>
        <v>269682393.08</v>
      </c>
      <c r="G24" s="57">
        <f aca="true" t="shared" si="8" ref="G24:G28">+F24-D$15</f>
        <v>108959152.07999998</v>
      </c>
      <c r="H24" s="36">
        <f aca="true" t="shared" si="9" ref="H24:H28">(+C24*D24)/B$8</f>
        <v>1.2225248851336998</v>
      </c>
      <c r="I24" s="48">
        <f aca="true" t="shared" si="10" ref="I24:I34">+I$22*H24</f>
        <v>-75410039.1908046</v>
      </c>
      <c r="J24" s="49">
        <f aca="true" t="shared" si="11" ref="J24:J34">I24-I$22</f>
        <v>-13726191.1908046</v>
      </c>
      <c r="K24" s="72">
        <f aca="true" t="shared" si="12" ref="K24:K33">+G24+J24</f>
        <v>95232960.88919538</v>
      </c>
      <c r="L24" s="37"/>
      <c r="M24" s="31"/>
    </row>
    <row r="25" spans="2:13" ht="14.25">
      <c r="B25" s="58">
        <v>0.95</v>
      </c>
      <c r="C25" s="59">
        <v>7.608768529741522</v>
      </c>
      <c r="D25" s="60">
        <f aca="true" t="shared" si="13" ref="D25:D34">+D24</f>
        <v>67672662</v>
      </c>
      <c r="E25" s="56">
        <f t="shared" si="6"/>
        <v>514905620.949435</v>
      </c>
      <c r="F25" s="56">
        <f t="shared" si="7"/>
        <v>186361681.949435</v>
      </c>
      <c r="G25" s="57">
        <f t="shared" si="8"/>
        <v>25638440.949434996</v>
      </c>
      <c r="H25" s="36">
        <f t="shared" si="9"/>
        <v>1.052252134935652</v>
      </c>
      <c r="I25" s="48">
        <f t="shared" si="10"/>
        <v>-64906960.749046244</v>
      </c>
      <c r="J25" s="49">
        <f t="shared" si="11"/>
        <v>-3223112.7490462437</v>
      </c>
      <c r="K25" s="72">
        <f t="shared" si="12"/>
        <v>22415328.200388752</v>
      </c>
      <c r="L25" s="37"/>
      <c r="M25" s="31"/>
    </row>
    <row r="26" spans="2:13" ht="14.25">
      <c r="B26" s="58">
        <v>0.9</v>
      </c>
      <c r="C26" s="59">
        <v>7.047456632792695</v>
      </c>
      <c r="D26" s="60">
        <f t="shared" si="13"/>
        <v>67672662</v>
      </c>
      <c r="E26" s="56">
        <f t="shared" si="6"/>
        <v>476920150.67063814</v>
      </c>
      <c r="F26" s="56">
        <f t="shared" si="7"/>
        <v>148376211.67063817</v>
      </c>
      <c r="G26" s="57">
        <f t="shared" si="8"/>
        <v>-12347029.329361826</v>
      </c>
      <c r="H26" s="36">
        <f t="shared" si="9"/>
        <v>0.9746256912318574</v>
      </c>
      <c r="I26" s="48">
        <f t="shared" si="10"/>
        <v>-60118662.99484082</v>
      </c>
      <c r="J26" s="49">
        <f t="shared" si="11"/>
        <v>1565185.005159177</v>
      </c>
      <c r="K26" s="72">
        <f t="shared" si="12"/>
        <v>-10781844.32420265</v>
      </c>
      <c r="L26" s="37"/>
      <c r="M26" s="31"/>
    </row>
    <row r="27" spans="2:13" ht="14.25">
      <c r="B27" s="58">
        <v>0.85</v>
      </c>
      <c r="C27" s="59">
        <v>6.7045275688088575</v>
      </c>
      <c r="D27" s="60">
        <f t="shared" si="13"/>
        <v>67672662</v>
      </c>
      <c r="E27" s="56">
        <f t="shared" si="6"/>
        <v>453713228.03368354</v>
      </c>
      <c r="F27" s="56">
        <f t="shared" si="7"/>
        <v>125169289.03368357</v>
      </c>
      <c r="G27" s="57">
        <f t="shared" si="8"/>
        <v>-35553951.96631643</v>
      </c>
      <c r="H27" s="36">
        <f t="shared" si="9"/>
        <v>0.9272004294042727</v>
      </c>
      <c r="I27" s="48">
        <f t="shared" si="10"/>
        <v>-57193290.35290789</v>
      </c>
      <c r="J27" s="49">
        <f t="shared" si="11"/>
        <v>4490557.647092111</v>
      </c>
      <c r="K27" s="72">
        <f t="shared" si="12"/>
        <v>-31063394.31922432</v>
      </c>
      <c r="L27" s="37"/>
      <c r="M27" s="31"/>
    </row>
    <row r="28" spans="2:13" ht="14.25">
      <c r="B28" s="61">
        <v>0.8</v>
      </c>
      <c r="C28" s="62">
        <v>6.45224840862666</v>
      </c>
      <c r="D28" s="56">
        <f t="shared" si="13"/>
        <v>67672662</v>
      </c>
      <c r="E28" s="56">
        <f t="shared" si="6"/>
        <v>436640825.6970298</v>
      </c>
      <c r="F28" s="56">
        <f>(C28-C$5)*D28</f>
        <v>108096886.69702983</v>
      </c>
      <c r="G28" s="57">
        <f t="shared" si="8"/>
        <v>-52626354.30297017</v>
      </c>
      <c r="H28" s="36">
        <f t="shared" si="9"/>
        <v>0.8923115661323986</v>
      </c>
      <c r="I28" s="48">
        <f t="shared" si="10"/>
        <v>-55041211.01395282</v>
      </c>
      <c r="J28" s="49">
        <f t="shared" si="11"/>
        <v>6642636.9860471785</v>
      </c>
      <c r="K28" s="72">
        <f t="shared" si="12"/>
        <v>-45983717.31692299</v>
      </c>
      <c r="L28" s="37"/>
      <c r="M28" s="37"/>
    </row>
    <row r="29" spans="2:13" ht="15">
      <c r="B29" s="63">
        <v>0.75</v>
      </c>
      <c r="C29" s="64">
        <v>6.250075893954481</v>
      </c>
      <c r="D29" s="65">
        <f t="shared" si="13"/>
        <v>67672662</v>
      </c>
      <c r="E29" s="65">
        <f>+C29*D29</f>
        <v>422959273.4459294</v>
      </c>
      <c r="F29" s="65">
        <f>(C29-C$5)*D29</f>
        <v>94415334.44592944</v>
      </c>
      <c r="G29" s="66">
        <f>+F29-D$15</f>
        <v>-66307906.55407056</v>
      </c>
      <c r="H29" s="147">
        <f>(+C29*D29)/B$8</f>
        <v>0.8643521848793673</v>
      </c>
      <c r="I29" s="50">
        <f t="shared" si="10"/>
        <v>-53316568.79056679</v>
      </c>
      <c r="J29" s="51">
        <f>I29-I$22</f>
        <v>8367279.209433213</v>
      </c>
      <c r="K29" s="78">
        <f t="shared" si="12"/>
        <v>-57940627.34463735</v>
      </c>
      <c r="L29" s="37"/>
      <c r="M29" s="33"/>
    </row>
    <row r="30" spans="2:13" ht="14.25">
      <c r="B30" s="58">
        <v>0.7</v>
      </c>
      <c r="C30" s="59">
        <v>6.0797671952147</v>
      </c>
      <c r="D30" s="60">
        <f t="shared" si="13"/>
        <v>67672662</v>
      </c>
      <c r="E30" s="56">
        <f t="shared" si="6"/>
        <v>411434030.4404524</v>
      </c>
      <c r="F30" s="56">
        <f aca="true" t="shared" si="14" ref="F30:F33">(C30-C$5)*D30</f>
        <v>82890091.44045241</v>
      </c>
      <c r="G30" s="57">
        <f>+F30-D$15</f>
        <v>-77833149.55954759</v>
      </c>
      <c r="H30" s="36">
        <f aca="true" t="shared" si="15" ref="H30:H34">(+C30*D30)/B$8</f>
        <v>0.8407993995440596</v>
      </c>
      <c r="I30" s="48">
        <f t="shared" si="10"/>
        <v>-51863742.35996704</v>
      </c>
      <c r="J30" s="49">
        <f t="shared" si="11"/>
        <v>9820105.640032962</v>
      </c>
      <c r="K30" s="72">
        <f t="shared" si="12"/>
        <v>-68013043.91951463</v>
      </c>
      <c r="L30" s="37"/>
      <c r="M30" s="31"/>
    </row>
    <row r="31" spans="2:13" ht="14.25">
      <c r="B31" s="58">
        <v>0.65</v>
      </c>
      <c r="C31" s="59">
        <v>5.931502772403888</v>
      </c>
      <c r="D31" s="60">
        <f t="shared" si="13"/>
        <v>67672662</v>
      </c>
      <c r="E31" s="56">
        <f t="shared" si="6"/>
        <v>401400582.26895124</v>
      </c>
      <c r="F31" s="56">
        <f t="shared" si="14"/>
        <v>72856643.26895122</v>
      </c>
      <c r="G31" s="57">
        <f aca="true" t="shared" si="16" ref="G31:G34">+F31-D$15</f>
        <v>-87866597.73104878</v>
      </c>
      <c r="H31" s="36">
        <f t="shared" si="15"/>
        <v>0.820295220079557</v>
      </c>
      <c r="I31" s="48">
        <f t="shared" si="10"/>
        <v>-50598965.67051394</v>
      </c>
      <c r="J31" s="49">
        <f t="shared" si="11"/>
        <v>11084882.329486057</v>
      </c>
      <c r="K31" s="72">
        <f t="shared" si="12"/>
        <v>-76781715.40156272</v>
      </c>
      <c r="L31" s="37"/>
      <c r="M31" s="31"/>
    </row>
    <row r="32" spans="2:13" ht="14.25">
      <c r="B32" s="58">
        <v>0.6</v>
      </c>
      <c r="C32" s="59">
        <v>5.799370379332608</v>
      </c>
      <c r="D32" s="60">
        <f t="shared" si="13"/>
        <v>67672662</v>
      </c>
      <c r="E32" s="56">
        <f t="shared" si="6"/>
        <v>392458831.49338734</v>
      </c>
      <c r="F32" s="56">
        <f t="shared" si="14"/>
        <v>63914892.49338736</v>
      </c>
      <c r="G32" s="57">
        <f t="shared" si="16"/>
        <v>-96808348.50661264</v>
      </c>
      <c r="H32" s="36">
        <f t="shared" si="15"/>
        <v>0.802022014348572</v>
      </c>
      <c r="I32" s="48">
        <f t="shared" si="10"/>
        <v>-49471804.02573113</v>
      </c>
      <c r="J32" s="49">
        <f t="shared" si="11"/>
        <v>12212043.974268869</v>
      </c>
      <c r="K32" s="72">
        <f t="shared" si="12"/>
        <v>-84596304.53234378</v>
      </c>
      <c r="L32" s="37"/>
      <c r="M32" s="31"/>
    </row>
    <row r="33" spans="2:13" ht="14.25">
      <c r="B33" s="58">
        <v>0.55</v>
      </c>
      <c r="C33" s="62">
        <v>5.679522969532328</v>
      </c>
      <c r="D33" s="56">
        <f t="shared" si="13"/>
        <v>67672662</v>
      </c>
      <c r="E33" s="56">
        <f t="shared" si="6"/>
        <v>384348438.23839754</v>
      </c>
      <c r="F33" s="56">
        <f t="shared" si="14"/>
        <v>55804499.238397524</v>
      </c>
      <c r="G33" s="57">
        <f t="shared" si="16"/>
        <v>-104918741.76160248</v>
      </c>
      <c r="H33" s="36">
        <f t="shared" si="15"/>
        <v>0.7854477563282487</v>
      </c>
      <c r="I33" s="48">
        <f t="shared" si="10"/>
        <v>-48449440.01329273</v>
      </c>
      <c r="J33" s="49">
        <f t="shared" si="11"/>
        <v>13234407.98670727</v>
      </c>
      <c r="K33" s="72">
        <f t="shared" si="12"/>
        <v>-91684333.7748952</v>
      </c>
      <c r="L33" s="37"/>
      <c r="M33" s="31"/>
    </row>
    <row r="34" spans="2:13" ht="15" thickBot="1">
      <c r="B34" s="67">
        <v>0.5</v>
      </c>
      <c r="C34" s="68">
        <v>5.569309200825461</v>
      </c>
      <c r="D34" s="69">
        <f t="shared" si="13"/>
        <v>67672662</v>
      </c>
      <c r="E34" s="70">
        <f t="shared" si="6"/>
        <v>376889979.12095153</v>
      </c>
      <c r="F34" s="70">
        <f>(C34-C$5)*D34</f>
        <v>48346040.12095153</v>
      </c>
      <c r="G34" s="71">
        <f t="shared" si="16"/>
        <v>-112377200.87904847</v>
      </c>
      <c r="H34" s="146">
        <f t="shared" si="15"/>
        <v>0.7702057795263805</v>
      </c>
      <c r="I34" s="52">
        <f t="shared" si="10"/>
        <v>-47509256.233026765</v>
      </c>
      <c r="J34" s="53">
        <f t="shared" si="11"/>
        <v>14174591.766973235</v>
      </c>
      <c r="K34" s="73">
        <f>+G34+J34</f>
        <v>-98202609.11207524</v>
      </c>
      <c r="L34" s="37"/>
      <c r="M34" s="31"/>
    </row>
    <row r="35" spans="2:13" ht="14.25">
      <c r="B35" s="32"/>
      <c r="C35" s="31"/>
      <c r="D35" s="31"/>
      <c r="E35" s="32"/>
      <c r="F35" s="32"/>
      <c r="G35" s="32"/>
      <c r="H35" s="36"/>
      <c r="I35" s="32"/>
      <c r="J35" s="32"/>
      <c r="K35" s="32"/>
      <c r="L35" s="31"/>
      <c r="M35" s="31"/>
    </row>
    <row r="36" spans="4:8" ht="14.25">
      <c r="D36" s="87"/>
      <c r="E36" s="87"/>
      <c r="F36" s="87"/>
      <c r="H36" s="29"/>
    </row>
    <row r="37" spans="4:8" ht="14.25">
      <c r="D37" s="87"/>
      <c r="E37" s="87"/>
      <c r="F37" s="87"/>
      <c r="G37" s="143"/>
      <c r="H37" s="29"/>
    </row>
    <row r="38" spans="4:8" ht="14.25">
      <c r="D38" s="31"/>
      <c r="E38" s="31"/>
      <c r="F38" s="31"/>
      <c r="G38" s="143"/>
      <c r="H38" s="29"/>
    </row>
    <row r="39" spans="4:8" ht="14.25">
      <c r="D39" s="87"/>
      <c r="E39" s="87"/>
      <c r="F39" s="87"/>
      <c r="G39" s="143"/>
      <c r="H39" s="29"/>
    </row>
    <row r="40" spans="7:8" ht="12.75">
      <c r="G40" s="143"/>
      <c r="H40" s="29"/>
    </row>
    <row r="41" spans="7:8" ht="12.75">
      <c r="G41" s="143"/>
      <c r="H41" s="29"/>
    </row>
    <row r="42" spans="7:8" ht="12.75">
      <c r="G42" s="143"/>
      <c r="H42" s="29"/>
    </row>
  </sheetData>
  <mergeCells count="14">
    <mergeCell ref="B21:H21"/>
    <mergeCell ref="I21:J21"/>
    <mergeCell ref="I22:J22"/>
    <mergeCell ref="B22:H22"/>
    <mergeCell ref="F16:H16"/>
    <mergeCell ref="F18:H18"/>
    <mergeCell ref="B2:K2"/>
    <mergeCell ref="E10:H10"/>
    <mergeCell ref="F15:H15"/>
    <mergeCell ref="E5:H5"/>
    <mergeCell ref="E6:H6"/>
    <mergeCell ref="E7:H7"/>
    <mergeCell ref="E8:H8"/>
    <mergeCell ref="E9:H9"/>
  </mergeCells>
  <printOptions/>
  <pageMargins left="0.7" right="0.7" top="0.75" bottom="0.7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Doug Wheelwright</cp:lastModifiedBy>
  <cp:lastPrinted>2011-05-23T21:17:48Z</cp:lastPrinted>
  <dcterms:created xsi:type="dcterms:W3CDTF">2011-04-11T14:25:07Z</dcterms:created>
  <dcterms:modified xsi:type="dcterms:W3CDTF">2011-05-25T18:45:42Z</dcterms:modified>
  <cp:category/>
  <cp:version/>
  <cp:contentType/>
  <cp:contentStatus/>
</cp:coreProperties>
</file>