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65521" yWindow="65521" windowWidth="19260" windowHeight="5685" activeTab="0"/>
  </bookViews>
  <sheets>
    <sheet name="Exhibit 17.1D COS" sheetId="9" r:id="rId1"/>
    <sheet name="Exhibit 17.2D COS" sheetId="1" r:id="rId2"/>
    <sheet name="Exhibit 17.3D COS" sheetId="4" r:id="rId3"/>
    <sheet name="Exhibit 17.4D COS" sheetId="3" r:id="rId4"/>
    <sheet name="Exhibit 17.5D COS" sheetId="5" r:id="rId5"/>
    <sheet name="Exhibit 17.6D COS" sheetId="6" r:id="rId6"/>
    <sheet name="Exhibit 17.7D COS" sheetId="7" r:id="rId7"/>
    <sheet name="Exhibit 17.8D COS" sheetId="8" r:id="rId8"/>
  </sheets>
  <externalReferences>
    <externalReference r:id="rId11"/>
  </externalReferences>
  <definedNames/>
  <calcPr calcId="125725"/>
</workbook>
</file>

<file path=xl/comments2.xml><?xml version="1.0" encoding="utf-8"?>
<comments xmlns="http://schemas.openxmlformats.org/spreadsheetml/2006/main">
  <authors>
    <author>James Zhang</author>
  </authors>
  <commentList>
    <comment ref="Q24" authorId="0">
      <text>
        <r>
          <rPr>
            <sz val="12"/>
            <rFont val="Tahoma"/>
            <family val="2"/>
          </rPr>
          <t>Sch 1&amp;3</t>
        </r>
      </text>
    </comment>
    <comment ref="Q25" authorId="0">
      <text>
        <r>
          <rPr>
            <sz val="12"/>
            <rFont val="Tahoma"/>
            <family val="2"/>
          </rPr>
          <t>Sch 1&amp;3</t>
        </r>
      </text>
    </comment>
    <comment ref="Q26" authorId="0">
      <text>
        <r>
          <rPr>
            <sz val="12"/>
            <rFont val="Tahoma"/>
            <family val="2"/>
          </rPr>
          <t>Sch 1&amp;3</t>
        </r>
      </text>
    </comment>
    <comment ref="R392" authorId="0">
      <text>
        <r>
          <rPr>
            <sz val="12"/>
            <rFont val="Tahoma"/>
            <family val="2"/>
          </rPr>
          <t>Using Sch23 and 6 To make the Table A Increase match the Total Utah Revenue Requirement</t>
        </r>
      </text>
    </comment>
  </commentList>
</comments>
</file>

<file path=xl/sharedStrings.xml><?xml version="1.0" encoding="utf-8"?>
<sst xmlns="http://schemas.openxmlformats.org/spreadsheetml/2006/main" count="1351" uniqueCount="387">
  <si>
    <t>Rocky Mountain Power - State of Utah</t>
  </si>
  <si>
    <t>Blocking Based on Adjusted Actuals and Forecasted Loads</t>
  </si>
  <si>
    <t>Historical Test Period 12 Months Ending June 2010</t>
  </si>
  <si>
    <t>Forecast Test Period 12 Months Ending June 2012</t>
  </si>
  <si>
    <t>T47</t>
  </si>
  <si>
    <t>T48</t>
  </si>
  <si>
    <t xml:space="preserve">Present </t>
  </si>
  <si>
    <t>Forecasted</t>
  </si>
  <si>
    <t>Proposed</t>
  </si>
  <si>
    <t>Adjusted</t>
  </si>
  <si>
    <t>Revenue</t>
  </si>
  <si>
    <t>Actual Units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</si>
  <si>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</si>
  <si>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</si>
  <si>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</si>
  <si>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</si>
  <si>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</si>
  <si>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</si>
  <si>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</si>
  <si>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</si>
  <si>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</si>
  <si>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</si>
  <si>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</si>
  <si>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</si>
  <si>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</si>
  <si>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</si>
  <si>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</si>
  <si>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</si>
  <si>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</si>
  <si>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>In Rate Change</t>
  </si>
  <si>
    <t xml:space="preserve">  Minimum 3 Phase</t>
  </si>
  <si>
    <t>Target Change</t>
  </si>
  <si>
    <t xml:space="preserve">  Minimum Seasonal</t>
  </si>
  <si>
    <t>Energy %</t>
  </si>
  <si>
    <t xml:space="preserve">  kWh in Minimum</t>
  </si>
  <si>
    <t>Basic Charge</t>
  </si>
  <si>
    <t xml:space="preserve">      kWh in Minimum 1 Phase - Summer</t>
  </si>
  <si>
    <t>Sch 1</t>
  </si>
  <si>
    <t xml:space="preserve">      kWh in Minimum 1 Phase - Winter</t>
  </si>
  <si>
    <t>Sch 1 Net</t>
  </si>
  <si>
    <t xml:space="preserve">      kWh in Minimum 3 Phase - Summer</t>
  </si>
  <si>
    <t xml:space="preserve">Annual Avg Usage </t>
  </si>
  <si>
    <t xml:space="preserve">      kWh in Minimum 3 Phase - Winter</t>
  </si>
  <si>
    <t xml:space="preserve">Summer Avg Usage </t>
  </si>
  <si>
    <t xml:space="preserve">  Unbilled</t>
  </si>
  <si>
    <t xml:space="preserve">Winter Avg Usage </t>
  </si>
  <si>
    <t xml:space="preserve">  Total</t>
  </si>
  <si>
    <t>Adj</t>
  </si>
  <si>
    <t xml:space="preserve">  Schedule 40</t>
  </si>
  <si>
    <t xml:space="preserve">  DSM</t>
  </si>
  <si>
    <t>Schedule No. 3- Residential Service</t>
  </si>
  <si>
    <t>Net Change</t>
  </si>
  <si>
    <t>Schedule No. 2 - Residential Service Optional Time-of-Day</t>
  </si>
  <si>
    <t xml:space="preserve">  On-Peak kWh (May - Sept)</t>
  </si>
  <si>
    <t xml:space="preserve">  Off-Peak kWh (May - Sept)</t>
  </si>
  <si>
    <t>Avg Usage</t>
  </si>
  <si>
    <t xml:space="preserve">  All kWh</t>
  </si>
  <si>
    <t>Schedule No. 25 - Move to Schedule 23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</si>
  <si>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</si>
  <si>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</si>
  <si>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</si>
  <si>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</si>
  <si>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</si>
  <si>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</si>
  <si>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</si>
  <si>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</si>
  <si>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>Schedule No. 25 - Move to Schedule 6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</si>
  <si>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</si>
  <si>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</si>
  <si>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</si>
  <si>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</si>
  <si>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</si>
  <si>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</si>
  <si>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</si>
  <si>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Non-Basic Change</t>
  </si>
  <si>
    <t>Schedule No. 6 - Commercial</t>
  </si>
  <si>
    <t>Schedule No. 6 - Industrial</t>
  </si>
  <si>
    <t>Schedule No. 6 - OSPA</t>
  </si>
  <si>
    <t>Schedule No. 6B - Demand Time-of-Day Option - Commercial</t>
  </si>
  <si>
    <t xml:space="preserve">  All On-peak kW (May - Sept)</t>
  </si>
  <si>
    <t xml:space="preserve">  All On-peak kW (Oct - Apr)</t>
  </si>
  <si>
    <t>Schedule No. 6B - Demand Time-of-Day Option - Industrial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</si>
  <si>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</si>
  <si>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</si>
  <si>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</si>
  <si>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</si>
  <si>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</si>
  <si>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>Summer Ratio</t>
  </si>
  <si>
    <t>Winter Ratio</t>
  </si>
  <si>
    <t>Avg kW</t>
  </si>
  <si>
    <t>Schedule No. 6A - Energy Time-of-Day Option - Commercial</t>
  </si>
  <si>
    <t>Schedule No. 6A - Energy Time-of-Day Option - Industrial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</si>
  <si>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</si>
  <si>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</si>
  <si>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</si>
  <si>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</si>
  <si>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</si>
  <si>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8 - Commercial</t>
  </si>
  <si>
    <t>Schedule No. 8 - Industrial</t>
  </si>
  <si>
    <t>Schedule No. 9 - Composite</t>
  </si>
  <si>
    <t>Sch 9</t>
  </si>
  <si>
    <t xml:space="preserve">  On-Peak kWh (May-Sept)</t>
  </si>
  <si>
    <t xml:space="preserve">  On-Peak kWh (Oct-Apr)</t>
  </si>
  <si>
    <t>Schedule No. 9 - Commercial</t>
  </si>
  <si>
    <t>Schedule No. 9 - Industrial</t>
  </si>
  <si>
    <t>Schedule No. 9 - OSPA</t>
  </si>
  <si>
    <t>Schedule No. 9A - Energy TOD - Commercial</t>
  </si>
  <si>
    <t xml:space="preserve">  Customer Charge (LM)</t>
  </si>
  <si>
    <t xml:space="preserve">  Facilities Charge per kW</t>
  </si>
  <si>
    <t xml:space="preserve">  On-Peak kWh</t>
  </si>
  <si>
    <t>Schedule No. 9A - Energy TOD - Industrial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</si>
  <si>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</si>
  <si>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</si>
  <si>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</si>
  <si>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</si>
  <si>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</si>
  <si>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</si>
  <si>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>Sch 10, 10TOD</t>
  </si>
  <si>
    <t xml:space="preserve">  All add'l kWh</t>
  </si>
  <si>
    <t>Total On Season</t>
  </si>
  <si>
    <t xml:space="preserve">  Post Season</t>
  </si>
  <si>
    <t xml:space="preserve">   Customers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</si>
  <si>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</si>
  <si>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</si>
  <si>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</si>
  <si>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</si>
  <si>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</si>
  <si>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</si>
  <si>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</si>
  <si>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 xml:space="preserve"> </t>
  </si>
  <si>
    <t>Schedule No. 23 - Distribution Voltage - Small Customer - Composite</t>
  </si>
  <si>
    <t>Schedule No. 23 - Distribution Voltage - Small Customer - Commercial</t>
  </si>
  <si>
    <t>Schedule No. 23 - Distribution Voltage - Small Customer - Industrial</t>
  </si>
  <si>
    <t>Schedule No. 23 - Distribution Voltage - Small Customer - OSPA</t>
  </si>
  <si>
    <t>Sch 40</t>
  </si>
  <si>
    <t>Rocky Mountain Power</t>
  </si>
  <si>
    <t>Monthly Billing Comparison</t>
  </si>
  <si>
    <t>Schedule 1 - State of Utah</t>
  </si>
  <si>
    <t>Residential Service</t>
  </si>
  <si>
    <r>
      <t>Monthly Energy Charge</t>
    </r>
    <r>
      <rPr>
        <b/>
        <vertAlign val="superscript"/>
        <sz val="10"/>
        <rFont val="Times New Roman"/>
        <family val="1"/>
      </rPr>
      <t>1</t>
    </r>
  </si>
  <si>
    <t>Monthly Customer Charge</t>
  </si>
  <si>
    <t>Summer</t>
  </si>
  <si>
    <t>Winter</t>
  </si>
  <si>
    <t>kWh</t>
  </si>
  <si>
    <t>Present</t>
  </si>
  <si>
    <t>Change</t>
  </si>
  <si>
    <r>
      <t xml:space="preserve">$ </t>
    </r>
    <r>
      <rPr>
        <sz val="10"/>
        <rFont val="Century Schoolbook"/>
        <family val="1"/>
      </rPr>
      <t>Δ</t>
    </r>
  </si>
  <si>
    <r>
      <t xml:space="preserve">% </t>
    </r>
    <r>
      <rPr>
        <sz val="10"/>
        <rFont val="Century Schoolbook"/>
        <family val="1"/>
      </rPr>
      <t>Δ</t>
    </r>
  </si>
  <si>
    <t>Basic</t>
  </si>
  <si>
    <t>kWh1</t>
  </si>
  <si>
    <t>kWh2</t>
  </si>
  <si>
    <t>kWh3</t>
  </si>
  <si>
    <t>Minimum</t>
  </si>
  <si>
    <t>a</t>
  </si>
  <si>
    <t>HELP</t>
  </si>
  <si>
    <t>b</t>
  </si>
  <si>
    <t>DSM</t>
  </si>
  <si>
    <t>c</t>
  </si>
  <si>
    <t>Table A Price Change</t>
  </si>
  <si>
    <t>Sch 97</t>
  </si>
  <si>
    <t>Sch 98</t>
  </si>
  <si>
    <t>Net</t>
  </si>
  <si>
    <r>
      <t>1</t>
    </r>
    <r>
      <rPr>
        <sz val="10"/>
        <rFont val="Times New Roman"/>
        <family val="1"/>
      </rPr>
      <t xml:space="preserve">  Including HELP, DSM and applicable adjustment.</t>
    </r>
  </si>
  <si>
    <t>a: Winter average usage; b:  Annual average usage; c: Summer average usage.</t>
  </si>
  <si>
    <t>Monthly Average</t>
  </si>
  <si>
    <t xml:space="preserve">Proposed </t>
  </si>
  <si>
    <t>$</t>
  </si>
  <si>
    <t>%</t>
  </si>
  <si>
    <t>¢/kWh</t>
  </si>
  <si>
    <t>Annual</t>
  </si>
  <si>
    <t>09GRC</t>
  </si>
  <si>
    <t>Schedule 6 - State of Utah</t>
  </si>
  <si>
    <t>General Service - Distribution Voltage</t>
  </si>
  <si>
    <t>Sch 6</t>
  </si>
  <si>
    <t>kW</t>
  </si>
  <si>
    <r>
      <t>Monthly Billing</t>
    </r>
    <r>
      <rPr>
        <vertAlign val="superscript"/>
        <sz val="10"/>
        <rFont val="Times New Roman"/>
        <family val="1"/>
      </rPr>
      <t>1</t>
    </r>
  </si>
  <si>
    <t>Load Size</t>
  </si>
  <si>
    <t>Demand</t>
  </si>
  <si>
    <t>Voltage</t>
  </si>
  <si>
    <t>All kWh</t>
  </si>
  <si>
    <t>Schedule 8 - State of Utah</t>
  </si>
  <si>
    <t>General Service - Distribution Voltage &gt; 1 MW</t>
  </si>
  <si>
    <t>Sch 8</t>
  </si>
  <si>
    <t>On-Peak</t>
  </si>
  <si>
    <r>
      <t>Load Size</t>
    </r>
    <r>
      <rPr>
        <vertAlign val="superscript"/>
        <sz val="10"/>
        <rFont val="Times New Roman"/>
        <family val="1"/>
      </rPr>
      <t>2</t>
    </r>
  </si>
  <si>
    <t>kWh %</t>
  </si>
  <si>
    <t>Facilities kW</t>
  </si>
  <si>
    <t>On-Peak kW</t>
  </si>
  <si>
    <t>On-Peak kWh</t>
  </si>
  <si>
    <t>Off-Peak kWh</t>
  </si>
  <si>
    <r>
      <t>2</t>
    </r>
    <r>
      <rPr>
        <sz val="10"/>
        <rFont val="Times New Roman"/>
        <family val="1"/>
      </rPr>
      <t xml:space="preserve">  Assumes customer monthly peak occurs during On-Peak hours.</t>
    </r>
  </si>
  <si>
    <t>Schedule 9 - State of Utah</t>
  </si>
  <si>
    <t>General Service - Transmission Voltage</t>
  </si>
  <si>
    <t>HELP Charge</t>
  </si>
  <si>
    <t>Surcharge</t>
  </si>
  <si>
    <t>Schedule 10 - State of Utah</t>
  </si>
  <si>
    <t>Irrigation and Soil Drainage Pumping Power Service - Distribution Voltage</t>
  </si>
  <si>
    <t>Irrigation Season</t>
  </si>
  <si>
    <t>Post-Irrigation Season</t>
  </si>
  <si>
    <t>Sch 10</t>
  </si>
  <si>
    <t>On-Season</t>
  </si>
  <si>
    <t>1st 30,000 kWh</t>
  </si>
  <si>
    <t>All add'l kWh</t>
  </si>
  <si>
    <t>Off-Season</t>
  </si>
  <si>
    <r>
      <t>1</t>
    </r>
    <r>
      <rPr>
        <sz val="10"/>
        <rFont val="Times New Roman"/>
        <family val="1"/>
      </rPr>
      <t xml:space="preserve">  Including HELP, DSM and applicable adjustment. Not including annual customer service charge.</t>
    </r>
  </si>
  <si>
    <t>Schedule 23 - State of Utah</t>
  </si>
  <si>
    <t>0 to 15</t>
  </si>
  <si>
    <t>Sch 23</t>
  </si>
  <si>
    <t>kWh-1st 1,500</t>
  </si>
  <si>
    <t>All other kWh</t>
  </si>
  <si>
    <t>Docket No. 10-035-124</t>
  </si>
  <si>
    <t>Abdinasir Abdulle</t>
  </si>
  <si>
    <t>Summary of Ave. Installed Costs</t>
  </si>
  <si>
    <t>Service Drops</t>
  </si>
  <si>
    <t>MetersServices! rows 266 - 270</t>
  </si>
  <si>
    <t>Service</t>
  </si>
  <si>
    <t>Installed</t>
  </si>
  <si>
    <t>Residential</t>
  </si>
  <si>
    <t xml:space="preserve">Total Cost </t>
  </si>
  <si>
    <t>Average</t>
  </si>
  <si>
    <t xml:space="preserve">   Load Class</t>
  </si>
  <si>
    <t>Conductor</t>
  </si>
  <si>
    <t>Cost 2010</t>
  </si>
  <si>
    <t>Percent Use</t>
  </si>
  <si>
    <t xml:space="preserve">per Service </t>
  </si>
  <si>
    <t>Customer</t>
  </si>
  <si>
    <t xml:space="preserve">  Residential</t>
  </si>
  <si>
    <t>OH - small load</t>
  </si>
  <si>
    <t>#2 Triplex</t>
  </si>
  <si>
    <t>OH - all electric</t>
  </si>
  <si>
    <t>1/0 Triplex</t>
  </si>
  <si>
    <t>UG - small load</t>
  </si>
  <si>
    <t>1/0 triplexed</t>
  </si>
  <si>
    <t>UG - all electric</t>
  </si>
  <si>
    <t>4/0 triplexed</t>
  </si>
  <si>
    <t>Total Cost Per Service</t>
  </si>
  <si>
    <t>Installed Cost</t>
  </si>
  <si>
    <t>Schedule 6</t>
  </si>
  <si>
    <t>Schedule 8</t>
  </si>
  <si>
    <t>Schedule 10</t>
  </si>
  <si>
    <t>Schedule 23</t>
  </si>
  <si>
    <t xml:space="preserve">  0 - 30 kW</t>
  </si>
  <si>
    <t xml:space="preserve">   kW = 0, 1 Phase</t>
  </si>
  <si>
    <t>OH-1/0 Triplex</t>
  </si>
  <si>
    <t>UG-1/0 triplexed</t>
  </si>
  <si>
    <t>kW = 0, 3 Phase</t>
  </si>
  <si>
    <t>OH-1/0 Quadruplex</t>
  </si>
  <si>
    <t>UG-1/0  quadraplex</t>
  </si>
  <si>
    <t xml:space="preserve">   kW &gt; 1, 1 Phase</t>
  </si>
  <si>
    <t>OH-4/0 Triplex</t>
  </si>
  <si>
    <t>UG-4/0 triplex</t>
  </si>
  <si>
    <t xml:space="preserve">   kW &gt; 1, 3 Phase</t>
  </si>
  <si>
    <t>OH-4/0 Quadruplex</t>
  </si>
  <si>
    <t>UG-4/0  quadraplex</t>
  </si>
  <si>
    <t xml:space="preserve">  30 - 100 kW</t>
  </si>
  <si>
    <t xml:space="preserve">      1 Phase</t>
  </si>
  <si>
    <t>OH - 2-4/0 Triplex</t>
  </si>
  <si>
    <t>UG - 2-4/0 triplex</t>
  </si>
  <si>
    <t xml:space="preserve">      3 Phase</t>
  </si>
  <si>
    <t>OH - 2-4/0 Quadraplex</t>
  </si>
  <si>
    <t>UG - 2-4/0 quadraplex</t>
  </si>
  <si>
    <t xml:space="preserve">      3 Phase W/KVAR</t>
  </si>
  <si>
    <t>OH - 2-4/0 Quadruplex</t>
  </si>
  <si>
    <t xml:space="preserve">  </t>
  </si>
  <si>
    <t>UG - 2-4/0 quadruplex</t>
  </si>
  <si>
    <t xml:space="preserve">  101-1000 kW</t>
  </si>
  <si>
    <t xml:space="preserve">   W/O KVAR, 1 Phase</t>
  </si>
  <si>
    <t>OH - 3-500 &amp; 350N</t>
  </si>
  <si>
    <t>UG - 3-750- &amp; 500N</t>
  </si>
  <si>
    <t xml:space="preserve">   W/O KVAR, 3 Phase</t>
  </si>
  <si>
    <t>OH-3-4/0 Quadruplex</t>
  </si>
  <si>
    <t>UG - 4-350 quadruplex</t>
  </si>
  <si>
    <t xml:space="preserve">   W/KVAR, 3 Phase</t>
  </si>
  <si>
    <t>OH - 3-4/0 Quadruplex</t>
  </si>
  <si>
    <t>UG - 4-350 Quadruplexed</t>
  </si>
  <si>
    <t>&gt; 1000 kW</t>
  </si>
  <si>
    <t xml:space="preserve">      Secondary Volt(1)</t>
  </si>
  <si>
    <t xml:space="preserve"> 3-500 kcmil Quadruplex</t>
  </si>
  <si>
    <t>4-500 kcmil Quaduplex</t>
  </si>
  <si>
    <t>MetersServices! rows 109 - 141</t>
  </si>
  <si>
    <t>Weighted Average Costs</t>
  </si>
  <si>
    <t>% of</t>
  </si>
  <si>
    <t>Service Drop</t>
  </si>
  <si>
    <t>Weighted</t>
  </si>
  <si>
    <t>Load Class</t>
  </si>
  <si>
    <t>Customers</t>
  </si>
  <si>
    <t>Cost</t>
  </si>
  <si>
    <t>Service Cost</t>
  </si>
  <si>
    <t>Secondary Delivery Voltage</t>
  </si>
  <si>
    <t>(E)*(F)</t>
  </si>
  <si>
    <t>0 kW</t>
  </si>
  <si>
    <t xml:space="preserve">     1 Phase (sec)</t>
  </si>
  <si>
    <t xml:space="preserve">     3 Phase (sec)</t>
  </si>
  <si>
    <t>1-30 kW</t>
  </si>
  <si>
    <t>30-100 kW</t>
  </si>
  <si>
    <t>100-1000 kW</t>
  </si>
  <si>
    <t>+1000 kW</t>
  </si>
  <si>
    <t>Total Secondary</t>
  </si>
  <si>
    <t>MetersServices! rows 154 - 166</t>
  </si>
  <si>
    <t>Weighted Meter Cost</t>
  </si>
  <si>
    <t>Secondary Voltage</t>
  </si>
  <si>
    <t>&lt; 1 MW</t>
  </si>
  <si>
    <t>&gt; 1 MW</t>
  </si>
  <si>
    <t>total Secondary</t>
  </si>
  <si>
    <t xml:space="preserve">     1 Phase</t>
  </si>
  <si>
    <t xml:space="preserve">     3 Phase</t>
  </si>
  <si>
    <t>MetersServices! rows 178 - 194</t>
  </si>
  <si>
    <t>Secondary Voltage Delivery</t>
  </si>
  <si>
    <t>31-100 kW</t>
  </si>
  <si>
    <t>101-1000 kW</t>
  </si>
  <si>
    <t>MetersServices! rows 47 - 100</t>
  </si>
  <si>
    <t>Meter &amp; Service Data</t>
  </si>
  <si>
    <t>Total</t>
  </si>
  <si>
    <t>COS</t>
  </si>
  <si>
    <t>Services</t>
  </si>
  <si>
    <t>Class/Schedule</t>
  </si>
  <si>
    <t>Col</t>
  </si>
  <si>
    <t>Avg Custs</t>
  </si>
  <si>
    <t xml:space="preserve"> Sch 001                sec</t>
  </si>
  <si>
    <t xml:space="preserve"> Sch 002               sec</t>
  </si>
  <si>
    <t xml:space="preserve"> Sch 003               sec</t>
  </si>
  <si>
    <t xml:space="preserve"> Sch 046               sec</t>
  </si>
  <si>
    <t xml:space="preserve"> Sch 046               pri</t>
  </si>
  <si>
    <t>total Residential</t>
  </si>
  <si>
    <t>Commercial</t>
  </si>
  <si>
    <t xml:space="preserve"> Sch 006               sec</t>
  </si>
  <si>
    <t xml:space="preserve"> Sch 056               pri</t>
  </si>
  <si>
    <t xml:space="preserve"> Sch 008               sec</t>
  </si>
  <si>
    <t xml:space="preserve"> Sch 008               pri</t>
  </si>
  <si>
    <t xml:space="preserve"> Sch 09                 sub trn</t>
  </si>
  <si>
    <t xml:space="preserve"> Sch 023              sec</t>
  </si>
  <si>
    <t xml:space="preserve"> Sch 023              pri</t>
  </si>
  <si>
    <t>total Commercial</t>
  </si>
  <si>
    <t>Industrial</t>
  </si>
  <si>
    <t xml:space="preserve"> Cust B</t>
  </si>
  <si>
    <t>special contract</t>
  </si>
  <si>
    <t xml:space="preserve"> Cust C</t>
  </si>
  <si>
    <t xml:space="preserve"> Cust A</t>
  </si>
  <si>
    <t>total Industrial</t>
  </si>
  <si>
    <t>Irrigation</t>
  </si>
  <si>
    <t xml:space="preserve"> Sch 010           sec</t>
  </si>
  <si>
    <t xml:space="preserve"> Sch 010           pri</t>
  </si>
  <si>
    <t>total Irrigation</t>
  </si>
  <si>
    <t>Street Lighting</t>
  </si>
  <si>
    <t xml:space="preserve"> Sch 15 - TS     sec</t>
  </si>
  <si>
    <t xml:space="preserve"> Sch 15 - MNL  sec</t>
  </si>
  <si>
    <t>total Street Lighting</t>
  </si>
  <si>
    <t>OSPA</t>
  </si>
  <si>
    <t xml:space="preserve"> Sch 006              pri</t>
  </si>
  <si>
    <t xml:space="preserve"> Sch 009              sub trn</t>
  </si>
  <si>
    <t xml:space="preserve">total Other Sales to Public </t>
  </si>
  <si>
    <t>State of Utah</t>
  </si>
  <si>
    <t>MetersServices! rows 17 - 29</t>
  </si>
  <si>
    <t>General</t>
  </si>
  <si>
    <t>Street</t>
  </si>
  <si>
    <t>Traffic</t>
  </si>
  <si>
    <t>Outdoor</t>
  </si>
  <si>
    <t>Mobile</t>
  </si>
  <si>
    <t>Large Dist.</t>
  </si>
  <si>
    <t>&amp; Area</t>
  </si>
  <si>
    <t>Transmission</t>
  </si>
  <si>
    <t>Signals</t>
  </si>
  <si>
    <t>Lighting</t>
  </si>
  <si>
    <t>Small Dist.</t>
  </si>
  <si>
    <t>HomePark</t>
  </si>
  <si>
    <t>Sch. 8</t>
  </si>
  <si>
    <t>Sch. 7,11,12</t>
  </si>
  <si>
    <t>Sch 12TS</t>
  </si>
  <si>
    <t>Sch 12OL</t>
  </si>
  <si>
    <t>Sch 25</t>
  </si>
  <si>
    <t>Contract A</t>
  </si>
  <si>
    <t>Contract B</t>
  </si>
  <si>
    <t>Contract C</t>
  </si>
  <si>
    <t>(Check)</t>
  </si>
  <si>
    <t>F70</t>
  </si>
  <si>
    <t>Revenue Requirement</t>
  </si>
  <si>
    <t>Company Proposed</t>
  </si>
  <si>
    <t>DPU results of OCS Proposal</t>
  </si>
  <si>
    <t>Difference</t>
  </si>
  <si>
    <t>DPU Exhibit 17.1D COS</t>
  </si>
  <si>
    <t>DPU Exhibit 17.2D COS</t>
  </si>
  <si>
    <t>DPU Exhibit 17.3D COS</t>
  </si>
  <si>
    <t>DPU Exhibit 17.4D COS</t>
  </si>
  <si>
    <t>DPU Exhibit 17.5D COS</t>
  </si>
  <si>
    <t>DPU Exhibit 17.6D COS</t>
  </si>
  <si>
    <t>DPU Exhibit 17.7D COS</t>
  </si>
  <si>
    <t>DPU Exhibit 17.8D COS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</si>
</sst>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#,##0.000_);\(#,##0.000\)"/>
    <numFmt numFmtId="167" formatCode="0.0%"/>
    <numFmt numFmtId="168" formatCode="0.0000_);[Red]\(0.0000\)"/>
    <numFmt numFmtId="169" formatCode="0.0000_)"/>
    <numFmt numFmtId="170" formatCode="_(* #,##0_);_(* \(#,##0\);_(* &quot;-&quot;??_);_(@_)"/>
    <numFmt numFmtId="171" formatCode="#,##0.0000"/>
    <numFmt numFmtId="172" formatCode="#,##0.00000_);\(#,##0.00000\)"/>
    <numFmt numFmtId="173" formatCode="0.000000000000%"/>
    <numFmt numFmtId="174" formatCode="#,##0.0000_);\(#,##0.0000\)"/>
    <numFmt numFmtId="175" formatCode="_(* #,##0.0000_);_(* \(#,##0.0000\);_(* &quot;-&quot;??_);_(@_)"/>
    <numFmt numFmtId="176" formatCode="0.0000"/>
    <numFmt numFmtId="177" formatCode="&quot;$&quot;#,##0.000_);\(&quot;$&quot;#,##0.000\)"/>
    <numFmt numFmtId="178" formatCode="&quot;$&quot;#,##0.00"/>
    <numFmt numFmtId="179" formatCode="0.0%;\-0.0%"/>
    <numFmt numFmtId="180" formatCode="0.00%;\-0.00%"/>
    <numFmt numFmtId="181" formatCode="[$-409]mmmm\ d\,\ yyyy;@"/>
    <numFmt numFmtId="182" formatCode="0.0000%"/>
  </numFmts>
  <fonts count="4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Tahoma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12"/>
      <name val="Times New Roman"/>
      <family val="1"/>
    </font>
    <font>
      <sz val="9"/>
      <name val="Symbol"/>
      <family val="1"/>
    </font>
    <font>
      <sz val="9"/>
      <color indexed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u val="single"/>
      <sz val="10"/>
      <name val="Times New Roman"/>
      <family val="1"/>
    </font>
    <font>
      <sz val="10"/>
      <name val="Century Schoolbook"/>
      <family val="1"/>
    </font>
    <font>
      <b/>
      <i/>
      <u val="single"/>
      <sz val="10"/>
      <name val="Times New Roman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u val="single"/>
      <sz val="13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Times New Roman"/>
      <family val="1"/>
    </font>
    <font>
      <sz val="9"/>
      <color rgb="FF0000FF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double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3" fillId="0" borderId="0">
      <alignment/>
      <protection/>
    </xf>
    <xf numFmtId="0" fontId="8" fillId="0" borderId="0">
      <alignment/>
      <protection/>
    </xf>
    <xf numFmtId="0" fontId="32" fillId="0" borderId="0">
      <alignment/>
      <protection/>
    </xf>
  </cellStyleXfs>
  <cellXfs count="406">
    <xf numFmtId="0" fontId="0" fillId="0" borderId="0" xfId="0"/>
    <xf numFmtId="3" fontId="2" fillId="0" borderId="0" xfId="0" applyNumberFormat="1" applyFont="1" applyAlignment="1">
      <alignment horizontal="centerContinuous"/>
    </xf>
    <xf numFmtId="164" fontId="4" fillId="0" borderId="0" xfId="21" applyNumberFormat="1" applyFont="1" applyFill="1" applyAlignment="1">
      <alignment horizontal="centerContinuous"/>
      <protection/>
    </xf>
    <xf numFmtId="164" fontId="4" fillId="0" borderId="0" xfId="21" applyNumberFormat="1" applyFont="1" applyFill="1" applyBorder="1" applyAlignment="1">
      <alignment horizontal="centerContinuous"/>
      <protection/>
    </xf>
    <xf numFmtId="164" fontId="5" fillId="0" borderId="0" xfId="21" applyNumberFormat="1" applyFont="1" applyFill="1" applyAlignment="1">
      <alignment horizontal="centerContinuous"/>
      <protection/>
    </xf>
    <xf numFmtId="164" fontId="3" fillId="0" borderId="0" xfId="21" applyNumberFormat="1" applyFill="1" applyAlignment="1">
      <alignment horizontal="centerContinuous"/>
      <protection/>
    </xf>
    <xf numFmtId="164" fontId="4" fillId="0" borderId="0" xfId="21" applyNumberFormat="1" applyFont="1" applyFill="1" applyBorder="1" applyAlignment="1">
      <alignment horizontal="center"/>
      <protection/>
    </xf>
    <xf numFmtId="164" fontId="6" fillId="0" borderId="0" xfId="21" applyNumberFormat="1" applyFont="1" applyFill="1" applyBorder="1" applyAlignment="1">
      <alignment horizontal="right"/>
      <protection/>
    </xf>
    <xf numFmtId="9" fontId="6" fillId="0" borderId="0" xfId="21" applyNumberFormat="1" applyFont="1" applyBorder="1" applyAlignment="1">
      <alignment horizontal="right"/>
      <protection/>
    </xf>
    <xf numFmtId="164" fontId="3" fillId="0" borderId="0" xfId="21" applyNumberFormat="1" applyAlignment="1">
      <alignment horizontal="centerContinuous"/>
      <protection/>
    </xf>
    <xf numFmtId="164" fontId="3" fillId="0" borderId="0" xfId="21" applyNumberFormat="1">
      <alignment/>
      <protection/>
    </xf>
    <xf numFmtId="164" fontId="6" fillId="0" borderId="0" xfId="21" applyNumberFormat="1" applyFont="1" applyFill="1" applyBorder="1" applyAlignment="1">
      <alignment horizontal="center"/>
      <protection/>
    </xf>
    <xf numFmtId="164" fontId="6" fillId="0" borderId="0" xfId="21" applyNumberFormat="1" applyFont="1" applyFill="1" applyBorder="1" applyAlignment="1">
      <alignment horizontal="left"/>
      <protection/>
    </xf>
    <xf numFmtId="165" fontId="6" fillId="0" borderId="0" xfId="21" applyNumberFormat="1" applyFont="1" applyBorder="1" applyAlignment="1">
      <alignment horizontal="right"/>
      <protection/>
    </xf>
    <xf numFmtId="164" fontId="7" fillId="0" borderId="0" xfId="21" applyNumberFormat="1" applyFont="1" applyFill="1">
      <alignment/>
      <protection/>
    </xf>
    <xf numFmtId="164" fontId="3" fillId="0" borderId="0" xfId="21" applyNumberFormat="1" applyFill="1">
      <alignment/>
      <protection/>
    </xf>
    <xf numFmtId="37" fontId="3" fillId="0" borderId="0" xfId="21" applyNumberFormat="1" applyFill="1" applyProtection="1">
      <alignment/>
      <protection/>
    </xf>
    <xf numFmtId="164" fontId="3" fillId="0" borderId="0" xfId="21" applyNumberFormat="1" applyFill="1" applyBorder="1">
      <alignment/>
      <protection/>
    </xf>
    <xf numFmtId="164" fontId="6" fillId="0" borderId="0" xfId="21" applyNumberFormat="1" applyFont="1" applyFill="1" applyBorder="1">
      <alignment/>
      <protection/>
    </xf>
    <xf numFmtId="165" fontId="6" fillId="0" borderId="0" xfId="21" applyNumberFormat="1" applyFont="1" applyBorder="1">
      <alignment/>
      <protection/>
    </xf>
    <xf numFmtId="164" fontId="10" fillId="0" borderId="0" xfId="21" applyNumberFormat="1" applyFont="1" applyFill="1">
      <alignment/>
      <protection/>
    </xf>
    <xf numFmtId="164" fontId="11" fillId="0" borderId="0" xfId="21" applyNumberFormat="1" applyFont="1" applyFill="1">
      <alignment/>
      <protection/>
    </xf>
    <xf numFmtId="37" fontId="12" fillId="0" borderId="0" xfId="21" applyNumberFormat="1" applyFont="1" applyFill="1" applyProtection="1">
      <alignment/>
      <protection/>
    </xf>
    <xf numFmtId="164" fontId="11" fillId="0" borderId="0" xfId="21" applyNumberFormat="1" applyFont="1" applyFill="1" applyBorder="1">
      <alignment/>
      <protection/>
    </xf>
    <xf numFmtId="164" fontId="12" fillId="0" borderId="0" xfId="21" applyNumberFormat="1" applyFont="1" applyFill="1" applyBorder="1" applyAlignment="1">
      <alignment horizontal="center"/>
      <protection/>
    </xf>
    <xf numFmtId="164" fontId="12" fillId="0" borderId="0" xfId="21" applyNumberFormat="1" applyFont="1" applyFill="1" applyAlignment="1">
      <alignment horizontal="center"/>
      <protection/>
    </xf>
    <xf numFmtId="164" fontId="11" fillId="0" borderId="0" xfId="21" applyNumberFormat="1" applyFont="1">
      <alignment/>
      <protection/>
    </xf>
    <xf numFmtId="37" fontId="12" fillId="0" borderId="0" xfId="21" applyNumberFormat="1" applyFont="1" applyFill="1" applyAlignment="1" applyProtection="1">
      <alignment horizontal="center"/>
      <protection/>
    </xf>
    <xf numFmtId="164" fontId="13" fillId="0" borderId="0" xfId="21" applyNumberFormat="1" applyFont="1" applyFill="1" applyAlignment="1">
      <alignment horizontal="center"/>
      <protection/>
    </xf>
    <xf numFmtId="5" fontId="11" fillId="0" borderId="0" xfId="21" applyNumberFormat="1" applyFont="1" applyFill="1" applyProtection="1">
      <alignment/>
      <protection/>
    </xf>
    <xf numFmtId="37" fontId="12" fillId="0" borderId="0" xfId="21" applyNumberFormat="1" applyFont="1" applyFill="1" applyBorder="1" applyAlignment="1" applyProtection="1">
      <alignment horizontal="center"/>
      <protection/>
    </xf>
    <xf numFmtId="10" fontId="11" fillId="0" borderId="0" xfId="21" applyNumberFormat="1" applyFont="1" applyFill="1" quotePrefix="1">
      <alignment/>
      <protection/>
    </xf>
    <xf numFmtId="37" fontId="12" fillId="0" borderId="1" xfId="21" applyNumberFormat="1" applyFont="1" applyFill="1" applyBorder="1" applyAlignment="1" applyProtection="1" quotePrefix="1">
      <alignment horizontal="center"/>
      <protection/>
    </xf>
    <xf numFmtId="164" fontId="13" fillId="0" borderId="2" xfId="21" applyNumberFormat="1" applyFont="1" applyFill="1" applyBorder="1" applyAlignment="1" quotePrefix="1">
      <alignment horizontal="center"/>
      <protection/>
    </xf>
    <xf numFmtId="164" fontId="12" fillId="0" borderId="2" xfId="21" applyNumberFormat="1" applyFont="1" applyFill="1" applyBorder="1" applyAlignment="1">
      <alignment horizontal="center"/>
      <protection/>
    </xf>
    <xf numFmtId="10" fontId="14" fillId="0" borderId="0" xfId="15" applyNumberFormat="1" applyFont="1" applyFill="1" quotePrefix="1"/>
    <xf numFmtId="37" fontId="14" fillId="0" borderId="0" xfId="21" applyNumberFormat="1" applyFont="1" applyFill="1" applyProtection="1">
      <alignment/>
      <protection locked="0"/>
    </xf>
    <xf numFmtId="10" fontId="14" fillId="0" borderId="0" xfId="15" applyNumberFormat="1" applyFont="1" applyFill="1"/>
    <xf numFmtId="164" fontId="13" fillId="0" borderId="0" xfId="21" applyNumberFormat="1" applyFont="1" applyFill="1" applyAlignment="1">
      <alignment horizontal="left"/>
      <protection/>
    </xf>
    <xf numFmtId="166" fontId="11" fillId="0" borderId="0" xfId="21" applyNumberFormat="1" applyFont="1" applyFill="1" applyProtection="1">
      <alignment/>
      <protection/>
    </xf>
    <xf numFmtId="37" fontId="11" fillId="0" borderId="0" xfId="21" applyNumberFormat="1" applyFont="1" applyFill="1" applyProtection="1">
      <alignment/>
      <protection/>
    </xf>
    <xf numFmtId="164" fontId="11" fillId="0" borderId="0" xfId="21" applyNumberFormat="1" applyFont="1" applyBorder="1">
      <alignment/>
      <protection/>
    </xf>
    <xf numFmtId="164" fontId="10" fillId="0" borderId="0" xfId="21" applyNumberFormat="1" applyFont="1" applyFill="1" applyAlignment="1">
      <alignment horizontal="left"/>
      <protection/>
    </xf>
    <xf numFmtId="37" fontId="14" fillId="0" borderId="0" xfId="21" applyNumberFormat="1" applyFont="1" applyFill="1" applyProtection="1">
      <alignment/>
      <protection/>
    </xf>
    <xf numFmtId="7" fontId="10" fillId="0" borderId="0" xfId="21" applyNumberFormat="1" applyFont="1" applyFill="1" applyProtection="1">
      <alignment/>
      <protection locked="0"/>
    </xf>
    <xf numFmtId="7" fontId="14" fillId="0" borderId="0" xfId="21" applyNumberFormat="1" applyFont="1" applyFill="1" applyBorder="1" applyProtection="1">
      <alignment/>
      <protection locked="0"/>
    </xf>
    <xf numFmtId="7" fontId="14" fillId="0" borderId="0" xfId="21" applyNumberFormat="1" applyFont="1" applyFill="1" applyProtection="1">
      <alignment/>
      <protection locked="0"/>
    </xf>
    <xf numFmtId="167" fontId="11" fillId="0" borderId="0" xfId="15" applyNumberFormat="1" applyFont="1" applyBorder="1"/>
    <xf numFmtId="37" fontId="14" fillId="0" borderId="0" xfId="21" applyNumberFormat="1" applyFont="1" applyFill="1" applyBorder="1" applyProtection="1">
      <alignment/>
      <protection/>
    </xf>
    <xf numFmtId="168" fontId="10" fillId="0" borderId="0" xfId="21" applyNumberFormat="1" applyFont="1" applyFill="1" applyProtection="1">
      <alignment/>
      <protection locked="0"/>
    </xf>
    <xf numFmtId="0" fontId="34" fillId="0" borderId="0" xfId="0" applyFont="1" applyBorder="1"/>
    <xf numFmtId="164" fontId="11" fillId="0" borderId="3" xfId="21" applyNumberFormat="1" applyFont="1" applyFill="1" applyBorder="1">
      <alignment/>
      <protection/>
    </xf>
    <xf numFmtId="164" fontId="11" fillId="0" borderId="4" xfId="21" applyNumberFormat="1" applyFont="1" applyBorder="1">
      <alignment/>
      <protection/>
    </xf>
    <xf numFmtId="164" fontId="11" fillId="0" borderId="0" xfId="21" applyNumberFormat="1" applyFont="1" applyBorder="1" applyAlignment="1">
      <alignment horizontal="centerContinuous"/>
      <protection/>
    </xf>
    <xf numFmtId="9" fontId="11" fillId="0" borderId="0" xfId="15" applyFont="1" applyBorder="1" applyAlignment="1">
      <alignment horizontal="centerContinuous"/>
    </xf>
    <xf numFmtId="164" fontId="11" fillId="0" borderId="5" xfId="21" applyNumberFormat="1" applyFont="1" applyBorder="1">
      <alignment/>
      <protection/>
    </xf>
    <xf numFmtId="5" fontId="11" fillId="0" borderId="6" xfId="21" applyNumberFormat="1" applyFont="1" applyFill="1" applyBorder="1" applyProtection="1">
      <alignment/>
      <protection/>
    </xf>
    <xf numFmtId="9" fontId="11" fillId="0" borderId="0" xfId="15" applyFont="1" applyBorder="1" applyAlignment="1">
      <alignment horizontal="center"/>
    </xf>
    <xf numFmtId="164" fontId="11" fillId="0" borderId="7" xfId="21" applyNumberFormat="1" applyFont="1" applyBorder="1">
      <alignment/>
      <protection/>
    </xf>
    <xf numFmtId="5" fontId="11" fillId="0" borderId="8" xfId="21" applyNumberFormat="1" applyFont="1" applyFill="1" applyBorder="1" applyProtection="1">
      <alignment/>
      <protection/>
    </xf>
    <xf numFmtId="167" fontId="11" fillId="0" borderId="0" xfId="21" applyNumberFormat="1" applyFont="1" applyBorder="1">
      <alignment/>
      <protection/>
    </xf>
    <xf numFmtId="169" fontId="10" fillId="0" borderId="0" xfId="21" applyNumberFormat="1" applyFont="1" applyFill="1" applyProtection="1">
      <alignment/>
      <protection locked="0"/>
    </xf>
    <xf numFmtId="169" fontId="35" fillId="0" borderId="0" xfId="21" applyNumberFormat="1" applyFont="1" applyFill="1" applyProtection="1">
      <alignment/>
      <protection locked="0"/>
    </xf>
    <xf numFmtId="164" fontId="15" fillId="0" borderId="9" xfId="21" applyNumberFormat="1" applyFont="1" applyBorder="1">
      <alignment/>
      <protection/>
    </xf>
    <xf numFmtId="5" fontId="11" fillId="0" borderId="10" xfId="21" applyNumberFormat="1" applyFont="1" applyFill="1" applyBorder="1" applyProtection="1">
      <alignment/>
      <protection/>
    </xf>
    <xf numFmtId="167" fontId="34" fillId="0" borderId="0" xfId="0" applyNumberFormat="1" applyFont="1" applyBorder="1"/>
    <xf numFmtId="164" fontId="11" fillId="0" borderId="5" xfId="21" applyNumberFormat="1" applyFont="1" applyFill="1" applyBorder="1">
      <alignment/>
      <protection/>
    </xf>
    <xf numFmtId="167" fontId="11" fillId="0" borderId="6" xfId="21" applyNumberFormat="1" applyFont="1" applyBorder="1">
      <alignment/>
      <protection/>
    </xf>
    <xf numFmtId="7" fontId="11" fillId="0" borderId="0" xfId="21" applyNumberFormat="1" applyFont="1" applyFill="1" applyBorder="1" applyProtection="1">
      <alignment/>
      <protection/>
    </xf>
    <xf numFmtId="7" fontId="10" fillId="0" borderId="0" xfId="21" applyNumberFormat="1" applyFont="1" applyFill="1" applyProtection="1">
      <alignment/>
      <protection/>
    </xf>
    <xf numFmtId="164" fontId="11" fillId="0" borderId="7" xfId="21" applyNumberFormat="1" applyFont="1" applyFill="1" applyBorder="1">
      <alignment/>
      <protection/>
    </xf>
    <xf numFmtId="167" fontId="11" fillId="0" borderId="8" xfId="21" applyNumberFormat="1" applyFont="1" applyBorder="1">
      <alignment/>
      <protection/>
    </xf>
    <xf numFmtId="7" fontId="14" fillId="0" borderId="0" xfId="21" applyNumberFormat="1" applyFont="1" applyFill="1" applyBorder="1" applyProtection="1">
      <alignment/>
      <protection/>
    </xf>
    <xf numFmtId="5" fontId="11" fillId="0" borderId="0" xfId="21" applyNumberFormat="1" applyFont="1" applyFill="1" applyBorder="1" applyProtection="1">
      <alignment/>
      <protection/>
    </xf>
    <xf numFmtId="167" fontId="16" fillId="0" borderId="8" xfId="18" applyNumberFormat="1" applyFont="1" applyBorder="1"/>
    <xf numFmtId="164" fontId="10" fillId="0" borderId="0" xfId="21" applyNumberFormat="1" applyFont="1" applyFill="1" applyBorder="1" applyAlignment="1">
      <alignment horizontal="left"/>
      <protection/>
    </xf>
    <xf numFmtId="37" fontId="10" fillId="0" borderId="0" xfId="21" applyNumberFormat="1" applyFont="1" applyFill="1" applyBorder="1" applyProtection="1">
      <alignment/>
      <protection/>
    </xf>
    <xf numFmtId="9" fontId="11" fillId="0" borderId="8" xfId="21" applyNumberFormat="1" applyFont="1" applyBorder="1">
      <alignment/>
      <protection/>
    </xf>
    <xf numFmtId="0" fontId="34" fillId="0" borderId="0" xfId="0" applyFont="1"/>
    <xf numFmtId="3" fontId="34" fillId="0" borderId="6" xfId="0" applyNumberFormat="1" applyFont="1" applyBorder="1"/>
    <xf numFmtId="3" fontId="34" fillId="0" borderId="8" xfId="0" applyNumberFormat="1" applyFont="1" applyBorder="1"/>
    <xf numFmtId="170" fontId="11" fillId="0" borderId="0" xfId="18" applyNumberFormat="1" applyFont="1"/>
    <xf numFmtId="37" fontId="14" fillId="0" borderId="2" xfId="21" applyNumberFormat="1" applyFont="1" applyFill="1" applyBorder="1" applyProtection="1">
      <alignment/>
      <protection/>
    </xf>
    <xf numFmtId="5" fontId="11" fillId="0" borderId="2" xfId="21" applyNumberFormat="1" applyFont="1" applyFill="1" applyBorder="1" applyProtection="1">
      <alignment/>
      <protection/>
    </xf>
    <xf numFmtId="5" fontId="14" fillId="0" borderId="2" xfId="21" applyNumberFormat="1" applyFont="1" applyFill="1" applyBorder="1" applyProtection="1">
      <alignment/>
      <protection/>
    </xf>
    <xf numFmtId="164" fontId="11" fillId="0" borderId="9" xfId="21" applyNumberFormat="1" applyFont="1" applyFill="1" applyBorder="1">
      <alignment/>
      <protection/>
    </xf>
    <xf numFmtId="3" fontId="34" fillId="0" borderId="10" xfId="0" applyNumberFormat="1" applyFont="1" applyBorder="1"/>
    <xf numFmtId="37" fontId="11" fillId="0" borderId="11" xfId="21" applyNumberFormat="1" applyFont="1" applyFill="1" applyBorder="1" applyProtection="1">
      <alignment/>
      <protection/>
    </xf>
    <xf numFmtId="164" fontId="10" fillId="0" borderId="11" xfId="21" applyNumberFormat="1" applyFont="1" applyFill="1" applyBorder="1">
      <alignment/>
      <protection/>
    </xf>
    <xf numFmtId="5" fontId="11" fillId="0" borderId="11" xfId="21" applyNumberFormat="1" applyFont="1" applyFill="1" applyBorder="1" applyProtection="1">
      <alignment/>
      <protection/>
    </xf>
    <xf numFmtId="164" fontId="11" fillId="0" borderId="11" xfId="21" applyNumberFormat="1" applyFont="1" applyFill="1" applyBorder="1">
      <alignment/>
      <protection/>
    </xf>
    <xf numFmtId="171" fontId="14" fillId="0" borderId="10" xfId="21" applyNumberFormat="1" applyFont="1" applyBorder="1">
      <alignment/>
      <protection/>
    </xf>
    <xf numFmtId="10" fontId="10" fillId="0" borderId="0" xfId="15" applyNumberFormat="1" applyFont="1" applyFill="1"/>
    <xf numFmtId="10" fontId="14" fillId="0" borderId="0" xfId="15" applyNumberFormat="1" applyFont="1" applyFill="1" applyBorder="1"/>
    <xf numFmtId="43" fontId="11" fillId="0" borderId="0" xfId="18" applyFont="1"/>
    <xf numFmtId="172" fontId="11" fillId="0" borderId="0" xfId="21" applyNumberFormat="1" applyFont="1" applyFill="1" applyProtection="1">
      <alignment/>
      <protection/>
    </xf>
    <xf numFmtId="7" fontId="11" fillId="0" borderId="0" xfId="21" applyNumberFormat="1" applyFont="1" applyFill="1" applyBorder="1" applyProtection="1">
      <alignment/>
      <protection locked="0"/>
    </xf>
    <xf numFmtId="7" fontId="11" fillId="0" borderId="0" xfId="21" applyNumberFormat="1" applyFont="1" applyFill="1" applyProtection="1">
      <alignment/>
      <protection locked="0"/>
    </xf>
    <xf numFmtId="167" fontId="11" fillId="0" borderId="0" xfId="15" applyNumberFormat="1" applyFont="1"/>
    <xf numFmtId="169" fontId="11" fillId="0" borderId="0" xfId="21" applyNumberFormat="1" applyFont="1" applyFill="1" applyProtection="1">
      <alignment/>
      <protection locked="0"/>
    </xf>
    <xf numFmtId="167" fontId="14" fillId="0" borderId="0" xfId="21" applyNumberFormat="1" applyFont="1" applyBorder="1">
      <alignment/>
      <protection/>
    </xf>
    <xf numFmtId="164" fontId="10" fillId="0" borderId="0" xfId="21" applyNumberFormat="1" applyFont="1" applyFill="1" applyBorder="1">
      <alignment/>
      <protection/>
    </xf>
    <xf numFmtId="169" fontId="10" fillId="0" borderId="0" xfId="21" applyNumberFormat="1" applyFont="1" applyFill="1" applyBorder="1" applyProtection="1">
      <alignment/>
      <protection locked="0"/>
    </xf>
    <xf numFmtId="169" fontId="11" fillId="0" borderId="0" xfId="21" applyNumberFormat="1" applyFont="1" applyFill="1" applyBorder="1" applyProtection="1">
      <alignment/>
      <protection locked="0"/>
    </xf>
    <xf numFmtId="10" fontId="11" fillId="0" borderId="0" xfId="21" applyNumberFormat="1" applyFont="1">
      <alignment/>
      <protection/>
    </xf>
    <xf numFmtId="173" fontId="10" fillId="0" borderId="0" xfId="15" applyNumberFormat="1" applyFont="1" applyFill="1"/>
    <xf numFmtId="3" fontId="34" fillId="0" borderId="0" xfId="0" applyNumberFormat="1" applyFont="1"/>
    <xf numFmtId="174" fontId="10" fillId="0" borderId="0" xfId="21" applyNumberFormat="1" applyFont="1" applyFill="1" applyProtection="1">
      <alignment/>
      <protection locked="0"/>
    </xf>
    <xf numFmtId="174" fontId="14" fillId="0" borderId="0" xfId="21" applyNumberFormat="1" applyFont="1" applyFill="1" applyProtection="1">
      <alignment/>
      <protection locked="0"/>
    </xf>
    <xf numFmtId="10" fontId="11" fillId="0" borderId="0" xfId="15" applyNumberFormat="1" applyFont="1"/>
    <xf numFmtId="164" fontId="10" fillId="0" borderId="12" xfId="21" applyNumberFormat="1" applyFont="1" applyFill="1" applyBorder="1">
      <alignment/>
      <protection/>
    </xf>
    <xf numFmtId="5" fontId="11" fillId="0" borderId="12" xfId="21" applyNumberFormat="1" applyFont="1" applyFill="1" applyBorder="1" applyProtection="1">
      <alignment/>
      <protection/>
    </xf>
    <xf numFmtId="164" fontId="11" fillId="0" borderId="12" xfId="21" applyNumberFormat="1" applyFont="1" applyFill="1" applyBorder="1">
      <alignment/>
      <protection/>
    </xf>
    <xf numFmtId="9" fontId="11" fillId="0" borderId="0" xfId="15" applyFont="1"/>
    <xf numFmtId="10" fontId="11" fillId="0" borderId="0" xfId="15" applyNumberFormat="1" applyFont="1" applyFill="1" applyBorder="1"/>
    <xf numFmtId="10" fontId="11" fillId="0" borderId="0" xfId="15" applyNumberFormat="1" applyFont="1" applyFill="1"/>
    <xf numFmtId="37" fontId="11" fillId="0" borderId="0" xfId="21" applyNumberFormat="1" applyFont="1" applyFill="1" applyBorder="1" applyProtection="1">
      <alignment/>
      <protection/>
    </xf>
    <xf numFmtId="10" fontId="11" fillId="0" borderId="0" xfId="21" applyNumberFormat="1" applyFont="1" applyBorder="1">
      <alignment/>
      <protection/>
    </xf>
    <xf numFmtId="37" fontId="11" fillId="0" borderId="12" xfId="21" applyNumberFormat="1" applyFont="1" applyFill="1" applyBorder="1" applyProtection="1">
      <alignment/>
      <protection/>
    </xf>
    <xf numFmtId="169" fontId="11" fillId="0" borderId="0" xfId="21" applyNumberFormat="1" applyFont="1" applyFill="1" applyBorder="1" applyProtection="1">
      <alignment/>
      <protection/>
    </xf>
    <xf numFmtId="169" fontId="10" fillId="0" borderId="0" xfId="21" applyNumberFormat="1" applyFont="1" applyFill="1" applyProtection="1">
      <alignment/>
      <protection/>
    </xf>
    <xf numFmtId="169" fontId="11" fillId="0" borderId="0" xfId="21" applyNumberFormat="1" applyFont="1" applyFill="1" applyProtection="1">
      <alignment/>
      <protection/>
    </xf>
    <xf numFmtId="7" fontId="11" fillId="0" borderId="0" xfId="21" applyNumberFormat="1" applyFont="1" applyFill="1" applyProtection="1">
      <alignment/>
      <protection/>
    </xf>
    <xf numFmtId="164" fontId="12" fillId="0" borderId="0" xfId="21" applyNumberFormat="1" applyFont="1" applyFill="1">
      <alignment/>
      <protection/>
    </xf>
    <xf numFmtId="175" fontId="11" fillId="0" borderId="0" xfId="18" applyNumberFormat="1" applyFont="1"/>
    <xf numFmtId="10" fontId="11" fillId="0" borderId="0" xfId="15" applyNumberFormat="1" applyFont="1" applyFill="1" applyProtection="1">
      <protection/>
    </xf>
    <xf numFmtId="10" fontId="36" fillId="0" borderId="0" xfId="15" applyNumberFormat="1" applyFont="1" applyFill="1"/>
    <xf numFmtId="37" fontId="10" fillId="0" borderId="0" xfId="21" applyNumberFormat="1" applyFont="1" applyFill="1" applyProtection="1">
      <alignment/>
      <protection/>
    </xf>
    <xf numFmtId="165" fontId="11" fillId="0" borderId="0" xfId="21" applyNumberFormat="1" applyFont="1" applyFill="1" applyAlignment="1">
      <alignment horizontal="right"/>
      <protection/>
    </xf>
    <xf numFmtId="5" fontId="11" fillId="0" borderId="0" xfId="21" applyNumberFormat="1" applyFont="1" applyFill="1" applyAlignment="1" applyProtection="1">
      <alignment horizontal="right"/>
      <protection locked="0"/>
    </xf>
    <xf numFmtId="169" fontId="16" fillId="0" borderId="0" xfId="21" applyNumberFormat="1" applyFont="1" applyFill="1" applyProtection="1">
      <alignment/>
      <protection/>
    </xf>
    <xf numFmtId="10" fontId="11" fillId="0" borderId="6" xfId="21" applyNumberFormat="1" applyFont="1" applyBorder="1">
      <alignment/>
      <protection/>
    </xf>
    <xf numFmtId="10" fontId="11" fillId="0" borderId="8" xfId="21" applyNumberFormat="1" applyFont="1" applyBorder="1">
      <alignment/>
      <protection/>
    </xf>
    <xf numFmtId="37" fontId="11" fillId="0" borderId="2" xfId="21" applyNumberFormat="1" applyFont="1" applyFill="1" applyBorder="1" applyProtection="1">
      <alignment/>
      <protection/>
    </xf>
    <xf numFmtId="164" fontId="10" fillId="0" borderId="9" xfId="21" applyNumberFormat="1" applyFont="1" applyFill="1" applyBorder="1">
      <alignment/>
      <protection/>
    </xf>
    <xf numFmtId="10" fontId="11" fillId="0" borderId="10" xfId="21" applyNumberFormat="1" applyFont="1" applyBorder="1">
      <alignment/>
      <protection/>
    </xf>
    <xf numFmtId="7" fontId="10" fillId="0" borderId="0" xfId="21" applyNumberFormat="1" applyFont="1" applyFill="1" applyBorder="1" applyProtection="1">
      <alignment/>
      <protection locked="0"/>
    </xf>
    <xf numFmtId="49" fontId="10" fillId="0" borderId="0" xfId="21" applyNumberFormat="1" applyFont="1" applyFill="1" applyAlignment="1">
      <alignment horizontal="left"/>
      <protection/>
    </xf>
    <xf numFmtId="164" fontId="14" fillId="0" borderId="0" xfId="21" applyNumberFormat="1" applyFont="1">
      <alignment/>
      <protection/>
    </xf>
    <xf numFmtId="164" fontId="10" fillId="0" borderId="5" xfId="21" applyNumberFormat="1" applyFont="1" applyFill="1" applyBorder="1">
      <alignment/>
      <protection/>
    </xf>
    <xf numFmtId="174" fontId="16" fillId="0" borderId="0" xfId="21" applyNumberFormat="1" applyFont="1" applyFill="1" applyProtection="1">
      <alignment/>
      <protection locked="0"/>
    </xf>
    <xf numFmtId="37" fontId="11" fillId="0" borderId="8" xfId="21" applyNumberFormat="1" applyFont="1" applyFill="1" applyBorder="1" applyProtection="1">
      <alignment/>
      <protection/>
    </xf>
    <xf numFmtId="37" fontId="11" fillId="0" borderId="10" xfId="21" applyNumberFormat="1" applyFont="1" applyFill="1" applyBorder="1" applyProtection="1">
      <alignment/>
      <protection/>
    </xf>
    <xf numFmtId="174" fontId="10" fillId="0" borderId="0" xfId="21" applyNumberFormat="1" applyFont="1" applyFill="1" applyProtection="1">
      <alignment/>
      <protection/>
    </xf>
    <xf numFmtId="174" fontId="11" fillId="0" borderId="0" xfId="21" applyNumberFormat="1" applyFont="1" applyFill="1" applyProtection="1">
      <alignment/>
      <protection/>
    </xf>
    <xf numFmtId="0" fontId="17" fillId="0" borderId="0" xfId="22" applyFont="1">
      <alignment/>
      <protection/>
    </xf>
    <xf numFmtId="10" fontId="11" fillId="0" borderId="4" xfId="21" applyNumberFormat="1" applyFont="1" applyBorder="1">
      <alignment/>
      <protection/>
    </xf>
    <xf numFmtId="5" fontId="11" fillId="0" borderId="1" xfId="21" applyNumberFormat="1" applyFont="1" applyFill="1" applyBorder="1" applyProtection="1">
      <alignment/>
      <protection/>
    </xf>
    <xf numFmtId="171" fontId="10" fillId="0" borderId="0" xfId="21" applyNumberFormat="1" applyFont="1" applyFill="1" applyProtection="1">
      <alignment/>
      <protection locked="0"/>
    </xf>
    <xf numFmtId="167" fontId="11" fillId="0" borderId="10" xfId="21" applyNumberFormat="1" applyFont="1" applyBorder="1">
      <alignment/>
      <protection/>
    </xf>
    <xf numFmtId="164" fontId="14" fillId="0" borderId="0" xfId="21" applyNumberFormat="1" applyFont="1" applyBorder="1">
      <alignment/>
      <protection/>
    </xf>
    <xf numFmtId="9" fontId="11" fillId="0" borderId="0" xfId="15" applyFont="1" applyBorder="1"/>
    <xf numFmtId="169" fontId="14" fillId="0" borderId="0" xfId="21" applyNumberFormat="1" applyFont="1" applyFill="1" applyBorder="1" applyProtection="1">
      <alignment/>
      <protection/>
    </xf>
    <xf numFmtId="169" fontId="14" fillId="0" borderId="0" xfId="21" applyNumberFormat="1" applyFont="1" applyFill="1" applyProtection="1">
      <alignment/>
      <protection/>
    </xf>
    <xf numFmtId="164" fontId="14" fillId="0" borderId="0" xfId="21" applyNumberFormat="1" applyFont="1" applyFill="1" applyBorder="1">
      <alignment/>
      <protection/>
    </xf>
    <xf numFmtId="164" fontId="14" fillId="0" borderId="0" xfId="21" applyNumberFormat="1" applyFont="1" applyFill="1">
      <alignment/>
      <protection/>
    </xf>
    <xf numFmtId="0" fontId="18" fillId="0" borderId="0" xfId="22" applyFont="1">
      <alignment/>
      <protection/>
    </xf>
    <xf numFmtId="0" fontId="17" fillId="0" borderId="0" xfId="22" applyFont="1" applyFill="1">
      <alignment/>
      <protection/>
    </xf>
    <xf numFmtId="0" fontId="17" fillId="0" borderId="0" xfId="22" applyFont="1" applyBorder="1">
      <alignment/>
      <protection/>
    </xf>
    <xf numFmtId="164" fontId="10" fillId="0" borderId="0" xfId="21" applyNumberFormat="1" applyFont="1" applyFill="1" applyProtection="1">
      <alignment/>
      <protection locked="0"/>
    </xf>
    <xf numFmtId="176" fontId="10" fillId="0" borderId="0" xfId="21" applyNumberFormat="1" applyFont="1" applyFill="1" applyProtection="1">
      <alignment/>
      <protection locked="0"/>
    </xf>
    <xf numFmtId="167" fontId="14" fillId="0" borderId="10" xfId="21" applyNumberFormat="1" applyFont="1" applyBorder="1">
      <alignment/>
      <protection/>
    </xf>
    <xf numFmtId="167" fontId="11" fillId="0" borderId="0" xfId="15" applyNumberFormat="1" applyFont="1" applyFill="1"/>
    <xf numFmtId="37" fontId="11" fillId="0" borderId="13" xfId="21" applyNumberFormat="1" applyFont="1" applyFill="1" applyBorder="1" applyProtection="1">
      <alignment/>
      <protection/>
    </xf>
    <xf numFmtId="164" fontId="10" fillId="0" borderId="2" xfId="21" applyNumberFormat="1" applyFont="1" applyFill="1" applyBorder="1">
      <alignment/>
      <protection/>
    </xf>
    <xf numFmtId="165" fontId="11" fillId="0" borderId="10" xfId="21" applyNumberFormat="1" applyFont="1" applyFill="1" applyBorder="1" applyProtection="1">
      <alignment/>
      <protection/>
    </xf>
    <xf numFmtId="7" fontId="10" fillId="0" borderId="0" xfId="21" applyNumberFormat="1" applyFont="1" applyFill="1" applyBorder="1" applyProtection="1">
      <alignment/>
      <protection/>
    </xf>
    <xf numFmtId="164" fontId="11" fillId="0" borderId="2" xfId="21" applyNumberFormat="1" applyFont="1" applyFill="1" applyBorder="1">
      <alignment/>
      <protection/>
    </xf>
    <xf numFmtId="9" fontId="11" fillId="0" borderId="0" xfId="15" applyNumberFormat="1" applyFont="1"/>
    <xf numFmtId="7" fontId="36" fillId="0" borderId="0" xfId="21" applyNumberFormat="1" applyFont="1" applyFill="1" applyProtection="1">
      <alignment/>
      <protection locked="0"/>
    </xf>
    <xf numFmtId="7" fontId="37" fillId="0" borderId="0" xfId="21" applyNumberFormat="1" applyFont="1" applyFill="1" applyProtection="1">
      <alignment/>
      <protection locked="0"/>
    </xf>
    <xf numFmtId="170" fontId="11" fillId="0" borderId="0" xfId="18" applyNumberFormat="1" applyFont="1" applyFill="1"/>
    <xf numFmtId="10" fontId="11" fillId="0" borderId="0" xfId="21" applyNumberFormat="1" applyFont="1" applyFill="1">
      <alignment/>
      <protection/>
    </xf>
    <xf numFmtId="164" fontId="16" fillId="0" borderId="14" xfId="21" applyNumberFormat="1" applyFont="1" applyFill="1" applyBorder="1">
      <alignment/>
      <protection/>
    </xf>
    <xf numFmtId="164" fontId="16" fillId="0" borderId="0" xfId="21" applyNumberFormat="1" applyFont="1" applyFill="1" applyBorder="1">
      <alignment/>
      <protection/>
    </xf>
    <xf numFmtId="177" fontId="11" fillId="0" borderId="0" xfId="21" applyNumberFormat="1" applyFont="1" applyFill="1" applyBorder="1" applyProtection="1">
      <alignment/>
      <protection/>
    </xf>
    <xf numFmtId="10" fontId="11" fillId="0" borderId="0" xfId="21" applyNumberFormat="1" applyFont="1" applyFill="1" applyBorder="1">
      <alignment/>
      <protection/>
    </xf>
    <xf numFmtId="3" fontId="19" fillId="0" borderId="0" xfId="20" applyNumberFormat="1" applyFont="1" applyAlignment="1">
      <alignment horizontal="centerContinuous"/>
      <protection/>
    </xf>
    <xf numFmtId="0" fontId="20" fillId="0" borderId="0" xfId="20" applyFont="1" applyAlignment="1">
      <alignment horizontal="centerContinuous"/>
      <protection/>
    </xf>
    <xf numFmtId="178" fontId="20" fillId="0" borderId="0" xfId="20" applyNumberFormat="1" applyFont="1" applyAlignment="1">
      <alignment horizontal="centerContinuous"/>
      <protection/>
    </xf>
    <xf numFmtId="7" fontId="20" fillId="0" borderId="0" xfId="20" applyNumberFormat="1" applyFont="1" applyAlignment="1">
      <alignment horizontal="centerContinuous"/>
      <protection/>
    </xf>
    <xf numFmtId="0" fontId="20" fillId="0" borderId="0" xfId="20" applyFont="1" applyBorder="1" applyAlignment="1">
      <alignment horizontal="centerContinuous"/>
      <protection/>
    </xf>
    <xf numFmtId="0" fontId="20" fillId="0" borderId="0" xfId="20" applyFont="1" applyBorder="1">
      <alignment/>
      <protection/>
    </xf>
    <xf numFmtId="164" fontId="6" fillId="0" borderId="0" xfId="21" applyFont="1" applyFill="1" applyBorder="1" applyAlignment="1">
      <alignment horizontal="right"/>
      <protection/>
    </xf>
    <xf numFmtId="0" fontId="20" fillId="0" borderId="0" xfId="20" applyFont="1">
      <alignment/>
      <protection/>
    </xf>
    <xf numFmtId="10" fontId="6" fillId="0" borderId="0" xfId="21" applyNumberFormat="1" applyFont="1" applyBorder="1" applyAlignment="1">
      <alignment horizontal="right"/>
      <protection/>
    </xf>
    <xf numFmtId="164" fontId="6" fillId="0" borderId="0" xfId="21" applyFont="1" applyFill="1" applyBorder="1">
      <alignment/>
      <protection/>
    </xf>
    <xf numFmtId="3" fontId="20" fillId="0" borderId="0" xfId="20" applyNumberFormat="1" applyFont="1" applyAlignment="1">
      <alignment horizontal="centerContinuous"/>
      <protection/>
    </xf>
    <xf numFmtId="3" fontId="21" fillId="0" borderId="0" xfId="20" applyNumberFormat="1" applyFont="1" applyBorder="1" applyAlignment="1">
      <alignment horizontal="left"/>
      <protection/>
    </xf>
    <xf numFmtId="178" fontId="20" fillId="0" borderId="0" xfId="20" applyNumberFormat="1" applyFont="1" applyBorder="1">
      <alignment/>
      <protection/>
    </xf>
    <xf numFmtId="0" fontId="22" fillId="0" borderId="0" xfId="20" applyFont="1" applyBorder="1" applyAlignment="1">
      <alignment horizontal="centerContinuous"/>
      <protection/>
    </xf>
    <xf numFmtId="178" fontId="22" fillId="0" borderId="0" xfId="20" applyNumberFormat="1" applyFont="1" applyBorder="1" applyAlignment="1">
      <alignment horizontal="centerContinuous"/>
      <protection/>
    </xf>
    <xf numFmtId="0" fontId="22" fillId="0" borderId="0" xfId="20" applyFont="1" applyAlignment="1">
      <alignment horizontal="centerContinuous"/>
      <protection/>
    </xf>
    <xf numFmtId="178" fontId="22" fillId="0" borderId="0" xfId="20" applyNumberFormat="1" applyFont="1" applyAlignment="1">
      <alignment horizontal="centerContinuous"/>
      <protection/>
    </xf>
    <xf numFmtId="3" fontId="20" fillId="0" borderId="0" xfId="20" applyNumberFormat="1" applyFont="1">
      <alignment/>
      <protection/>
    </xf>
    <xf numFmtId="178" fontId="20" fillId="0" borderId="0" xfId="20" applyNumberFormat="1" applyFont="1">
      <alignment/>
      <protection/>
    </xf>
    <xf numFmtId="7" fontId="20" fillId="0" borderId="0" xfId="20" applyNumberFormat="1" applyFont="1">
      <alignment/>
      <protection/>
    </xf>
    <xf numFmtId="178" fontId="22" fillId="0" borderId="1" xfId="20" applyNumberFormat="1" applyFont="1" applyBorder="1" applyAlignment="1">
      <alignment horizontal="centerContinuous"/>
      <protection/>
    </xf>
    <xf numFmtId="0" fontId="20" fillId="0" borderId="1" xfId="20" applyFont="1" applyBorder="1" applyAlignment="1">
      <alignment horizontal="centerContinuous"/>
      <protection/>
    </xf>
    <xf numFmtId="178" fontId="20" fillId="0" borderId="1" xfId="20" applyNumberFormat="1" applyFont="1" applyBorder="1" applyAlignment="1">
      <alignment horizontal="centerContinuous"/>
      <protection/>
    </xf>
    <xf numFmtId="7" fontId="22" fillId="0" borderId="1" xfId="20" applyNumberFormat="1" applyFont="1" applyBorder="1" applyAlignment="1">
      <alignment horizontal="centerContinuous"/>
      <protection/>
    </xf>
    <xf numFmtId="178" fontId="22" fillId="0" borderId="15" xfId="20" applyNumberFormat="1" applyFont="1" applyBorder="1" applyAlignment="1">
      <alignment horizontal="centerContinuous"/>
      <protection/>
    </xf>
    <xf numFmtId="0" fontId="1" fillId="0" borderId="15" xfId="20" applyBorder="1" applyAlignment="1">
      <alignment horizontal="centerContinuous"/>
      <protection/>
    </xf>
    <xf numFmtId="178" fontId="20" fillId="0" borderId="15" xfId="20" applyNumberFormat="1" applyFont="1" applyBorder="1" applyAlignment="1">
      <alignment horizontal="centerContinuous"/>
      <protection/>
    </xf>
    <xf numFmtId="0" fontId="20" fillId="0" borderId="15" xfId="20" applyFont="1" applyBorder="1" applyAlignment="1">
      <alignment horizontal="centerContinuous"/>
      <protection/>
    </xf>
    <xf numFmtId="7" fontId="20" fillId="0" borderId="15" xfId="20" applyNumberFormat="1" applyFont="1" applyBorder="1" applyAlignment="1">
      <alignment horizontal="centerContinuous"/>
      <protection/>
    </xf>
    <xf numFmtId="0" fontId="1" fillId="0" borderId="1" xfId="20" applyBorder="1" applyAlignment="1">
      <alignment horizontal="centerContinuous"/>
      <protection/>
    </xf>
    <xf numFmtId="7" fontId="20" fillId="0" borderId="1" xfId="20" applyNumberFormat="1" applyFont="1" applyBorder="1" applyAlignment="1">
      <alignment horizontal="centerContinuous"/>
      <protection/>
    </xf>
    <xf numFmtId="3" fontId="24" fillId="0" borderId="0" xfId="20" applyNumberFormat="1" applyFont="1" applyAlignment="1">
      <alignment horizontal="center"/>
      <protection/>
    </xf>
    <xf numFmtId="178" fontId="20" fillId="0" borderId="1" xfId="20" applyNumberFormat="1" applyFont="1" applyBorder="1" applyAlignment="1">
      <alignment horizontal="centerContinuous" wrapText="1"/>
      <protection/>
    </xf>
    <xf numFmtId="0" fontId="20" fillId="0" borderId="1" xfId="20" applyFont="1" applyBorder="1">
      <alignment/>
      <protection/>
    </xf>
    <xf numFmtId="7" fontId="20" fillId="0" borderId="1" xfId="20" applyNumberFormat="1" applyFont="1" applyBorder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7" fontId="20" fillId="0" borderId="0" xfId="15" applyNumberFormat="1" applyFont="1"/>
    <xf numFmtId="167" fontId="20" fillId="0" borderId="0" xfId="15" applyNumberFormat="1" applyFont="1"/>
    <xf numFmtId="0" fontId="22" fillId="0" borderId="3" xfId="20" applyFont="1" applyBorder="1">
      <alignment/>
      <protection/>
    </xf>
    <xf numFmtId="0" fontId="22" fillId="0" borderId="15" xfId="20" applyFont="1" applyBorder="1" applyAlignment="1">
      <alignment horizontal="center"/>
      <protection/>
    </xf>
    <xf numFmtId="0" fontId="22" fillId="0" borderId="4" xfId="20" applyFont="1" applyBorder="1" applyAlignment="1">
      <alignment horizontal="center"/>
      <protection/>
    </xf>
    <xf numFmtId="39" fontId="20" fillId="0" borderId="0" xfId="20" applyNumberFormat="1" applyFont="1">
      <alignment/>
      <protection/>
    </xf>
    <xf numFmtId="0" fontId="26" fillId="0" borderId="7" xfId="20" applyFont="1" applyBorder="1">
      <alignment/>
      <protection/>
    </xf>
    <xf numFmtId="0" fontId="20" fillId="0" borderId="8" xfId="20" applyFont="1" applyBorder="1">
      <alignment/>
      <protection/>
    </xf>
    <xf numFmtId="0" fontId="20" fillId="0" borderId="7" xfId="20" applyFont="1" applyBorder="1">
      <alignment/>
      <protection/>
    </xf>
    <xf numFmtId="7" fontId="27" fillId="0" borderId="0" xfId="20" applyNumberFormat="1" applyFont="1" applyBorder="1">
      <alignment/>
      <protection/>
    </xf>
    <xf numFmtId="7" fontId="27" fillId="0" borderId="8" xfId="20" applyNumberFormat="1" applyFont="1" applyBorder="1">
      <alignment/>
      <protection/>
    </xf>
    <xf numFmtId="171" fontId="27" fillId="0" borderId="0" xfId="20" applyNumberFormat="1" applyFont="1" applyBorder="1">
      <alignment/>
      <protection/>
    </xf>
    <xf numFmtId="171" fontId="27" fillId="0" borderId="8" xfId="20" applyNumberFormat="1" applyFont="1" applyBorder="1">
      <alignment/>
      <protection/>
    </xf>
    <xf numFmtId="10" fontId="27" fillId="0" borderId="0" xfId="15" applyNumberFormat="1" applyFont="1" applyBorder="1"/>
    <xf numFmtId="10" fontId="27" fillId="0" borderId="8" xfId="15" applyNumberFormat="1" applyFont="1" applyBorder="1"/>
    <xf numFmtId="7" fontId="20" fillId="0" borderId="0" xfId="20" applyNumberFormat="1" applyFont="1" applyBorder="1">
      <alignment/>
      <protection/>
    </xf>
    <xf numFmtId="7" fontId="20" fillId="0" borderId="8" xfId="20" applyNumberFormat="1" applyFont="1" applyBorder="1">
      <alignment/>
      <protection/>
    </xf>
    <xf numFmtId="176" fontId="20" fillId="0" borderId="0" xfId="20" applyNumberFormat="1" applyFont="1" applyBorder="1">
      <alignment/>
      <protection/>
    </xf>
    <xf numFmtId="176" fontId="20" fillId="0" borderId="8" xfId="20" applyNumberFormat="1" applyFont="1" applyBorder="1">
      <alignment/>
      <protection/>
    </xf>
    <xf numFmtId="0" fontId="20" fillId="0" borderId="9" xfId="20" applyFont="1" applyBorder="1">
      <alignment/>
      <protection/>
    </xf>
    <xf numFmtId="10" fontId="20" fillId="0" borderId="1" xfId="15" applyNumberFormat="1" applyFont="1" applyBorder="1"/>
    <xf numFmtId="10" fontId="20" fillId="0" borderId="10" xfId="15" applyNumberFormat="1" applyFont="1" applyBorder="1"/>
    <xf numFmtId="10" fontId="20" fillId="0" borderId="0" xfId="20" applyNumberFormat="1" applyFont="1" applyBorder="1">
      <alignment/>
      <protection/>
    </xf>
    <xf numFmtId="10" fontId="20" fillId="0" borderId="0" xfId="20" applyNumberFormat="1" applyFont="1">
      <alignment/>
      <protection/>
    </xf>
    <xf numFmtId="9" fontId="20" fillId="0" borderId="0" xfId="20" applyNumberFormat="1" applyFont="1">
      <alignment/>
      <protection/>
    </xf>
    <xf numFmtId="0" fontId="20" fillId="0" borderId="0" xfId="20" applyFont="1" applyBorder="1" applyAlignment="1">
      <alignment horizontal="right"/>
      <protection/>
    </xf>
    <xf numFmtId="3" fontId="28" fillId="0" borderId="0" xfId="20" applyNumberFormat="1" applyFont="1">
      <alignment/>
      <protection/>
    </xf>
    <xf numFmtId="39" fontId="20" fillId="0" borderId="0" xfId="20" applyNumberFormat="1" applyFont="1" applyBorder="1">
      <alignment/>
      <protection/>
    </xf>
    <xf numFmtId="0" fontId="20" fillId="0" borderId="5" xfId="20" applyFont="1" applyBorder="1" applyAlignment="1">
      <alignment horizontal="centerContinuous"/>
      <protection/>
    </xf>
    <xf numFmtId="0" fontId="20" fillId="0" borderId="14" xfId="20" applyFont="1" applyBorder="1" applyAlignment="1">
      <alignment horizontal="centerContinuous"/>
      <protection/>
    </xf>
    <xf numFmtId="0" fontId="20" fillId="0" borderId="3" xfId="20" applyFont="1" applyBorder="1" applyAlignment="1">
      <alignment horizontal="centerContinuous"/>
      <protection/>
    </xf>
    <xf numFmtId="0" fontId="20" fillId="0" borderId="4" xfId="20" applyFont="1" applyBorder="1" applyAlignment="1">
      <alignment horizontal="centerContinuous"/>
      <protection/>
    </xf>
    <xf numFmtId="0" fontId="20" fillId="0" borderId="16" xfId="20" applyFont="1" applyBorder="1" applyAlignment="1">
      <alignment horizontal="centerContinuous"/>
      <protection/>
    </xf>
    <xf numFmtId="3" fontId="20" fillId="0" borderId="0" xfId="20" applyNumberFormat="1" applyFont="1" applyBorder="1">
      <alignment/>
      <protection/>
    </xf>
    <xf numFmtId="0" fontId="20" fillId="0" borderId="3" xfId="20" applyFont="1" applyBorder="1" applyAlignment="1">
      <alignment horizontal="center"/>
      <protection/>
    </xf>
    <xf numFmtId="0" fontId="20" fillId="0" borderId="9" xfId="20" applyFont="1" applyBorder="1" applyAlignment="1">
      <alignment horizontal="center"/>
      <protection/>
    </xf>
    <xf numFmtId="0" fontId="20" fillId="0" borderId="17" xfId="20" applyFont="1" applyBorder="1" applyAlignment="1">
      <alignment horizontal="center"/>
      <protection/>
    </xf>
    <xf numFmtId="0" fontId="20" fillId="0" borderId="16" xfId="20" applyFont="1" applyBorder="1" applyAlignment="1">
      <alignment horizontal="center"/>
      <protection/>
    </xf>
    <xf numFmtId="0" fontId="1" fillId="0" borderId="0" xfId="20" applyBorder="1" applyAlignment="1">
      <alignment horizontal="centerContinuous"/>
      <protection/>
    </xf>
    <xf numFmtId="178" fontId="20" fillId="0" borderId="0" xfId="20" applyNumberFormat="1" applyFont="1" applyBorder="1" applyAlignment="1">
      <alignment horizontal="centerContinuous"/>
      <protection/>
    </xf>
    <xf numFmtId="7" fontId="20" fillId="0" borderId="0" xfId="20" applyNumberFormat="1" applyFont="1" applyBorder="1" applyAlignment="1">
      <alignment horizontal="centerContinuous"/>
      <protection/>
    </xf>
    <xf numFmtId="0" fontId="20" fillId="0" borderId="18" xfId="20" applyFont="1" applyBorder="1">
      <alignment/>
      <protection/>
    </xf>
    <xf numFmtId="1" fontId="20" fillId="0" borderId="0" xfId="20" applyNumberFormat="1" applyFont="1" applyBorder="1">
      <alignment/>
      <protection/>
    </xf>
    <xf numFmtId="178" fontId="20" fillId="0" borderId="7" xfId="20" applyNumberFormat="1" applyFont="1" applyBorder="1">
      <alignment/>
      <protection/>
    </xf>
    <xf numFmtId="167" fontId="20" fillId="0" borderId="18" xfId="15" applyNumberFormat="1" applyFont="1" applyBorder="1"/>
    <xf numFmtId="0" fontId="20" fillId="0" borderId="19" xfId="20" applyFont="1" applyBorder="1">
      <alignment/>
      <protection/>
    </xf>
    <xf numFmtId="167" fontId="20" fillId="0" borderId="19" xfId="15" applyNumberFormat="1" applyFont="1" applyBorder="1"/>
    <xf numFmtId="2" fontId="20" fillId="0" borderId="19" xfId="20" applyNumberFormat="1" applyFont="1" applyBorder="1">
      <alignment/>
      <protection/>
    </xf>
    <xf numFmtId="3" fontId="24" fillId="0" borderId="0" xfId="20" applyNumberFormat="1" applyFont="1" applyBorder="1" applyAlignment="1">
      <alignment horizontal="center"/>
      <protection/>
    </xf>
    <xf numFmtId="178" fontId="20" fillId="0" borderId="0" xfId="20" applyNumberFormat="1" applyFont="1" applyBorder="1" applyAlignment="1">
      <alignment horizontal="centerContinuous" wrapText="1"/>
      <protection/>
    </xf>
    <xf numFmtId="7" fontId="20" fillId="0" borderId="0" xfId="20" applyNumberFormat="1" applyFont="1" applyBorder="1" applyAlignment="1">
      <alignment horizontal="center"/>
      <protection/>
    </xf>
    <xf numFmtId="0" fontId="20" fillId="0" borderId="0" xfId="20" applyFont="1" applyBorder="1" applyAlignment="1">
      <alignment horizontal="center"/>
      <protection/>
    </xf>
    <xf numFmtId="0" fontId="20" fillId="0" borderId="17" xfId="20" applyFont="1" applyBorder="1">
      <alignment/>
      <protection/>
    </xf>
    <xf numFmtId="3" fontId="20" fillId="0" borderId="1" xfId="20" applyNumberFormat="1" applyFont="1" applyBorder="1">
      <alignment/>
      <protection/>
    </xf>
    <xf numFmtId="178" fontId="20" fillId="0" borderId="9" xfId="20" applyNumberFormat="1" applyFont="1" applyBorder="1">
      <alignment/>
      <protection/>
    </xf>
    <xf numFmtId="167" fontId="20" fillId="0" borderId="17" xfId="15" applyNumberFormat="1" applyFont="1" applyBorder="1"/>
    <xf numFmtId="7" fontId="20" fillId="0" borderId="0" xfId="15" applyNumberFormat="1" applyFont="1" applyBorder="1"/>
    <xf numFmtId="167" fontId="20" fillId="0" borderId="0" xfId="15" applyNumberFormat="1" applyFont="1" applyBorder="1"/>
    <xf numFmtId="3" fontId="29" fillId="0" borderId="0" xfId="20" applyNumberFormat="1" applyFont="1" applyAlignment="1">
      <alignment horizontal="left"/>
      <protection/>
    </xf>
    <xf numFmtId="3" fontId="29" fillId="0" borderId="0" xfId="20" applyNumberFormat="1" applyFont="1" applyAlignment="1">
      <alignment horizontal="centerContinuous"/>
      <protection/>
    </xf>
    <xf numFmtId="0" fontId="24" fillId="0" borderId="0" xfId="20" applyFont="1" applyAlignment="1">
      <alignment horizontal="centerContinuous"/>
      <protection/>
    </xf>
    <xf numFmtId="178" fontId="24" fillId="0" borderId="0" xfId="20" applyNumberFormat="1" applyFont="1" applyAlignment="1">
      <alignment horizontal="centerContinuous"/>
      <protection/>
    </xf>
    <xf numFmtId="178" fontId="22" fillId="0" borderId="3" xfId="20" applyNumberFormat="1" applyFont="1" applyBorder="1" applyAlignment="1">
      <alignment horizontal="left"/>
      <protection/>
    </xf>
    <xf numFmtId="0" fontId="22" fillId="0" borderId="15" xfId="20" applyFont="1" applyBorder="1">
      <alignment/>
      <protection/>
    </xf>
    <xf numFmtId="0" fontId="22" fillId="0" borderId="4" xfId="20" applyFont="1" applyBorder="1">
      <alignment/>
      <protection/>
    </xf>
    <xf numFmtId="3" fontId="20" fillId="0" borderId="0" xfId="20" applyNumberFormat="1" applyFont="1" applyAlignment="1">
      <alignment horizontal="center"/>
      <protection/>
    </xf>
    <xf numFmtId="0" fontId="26" fillId="0" borderId="7" xfId="20" applyFont="1" applyBorder="1" applyAlignment="1">
      <alignment horizontal="left"/>
      <protection/>
    </xf>
    <xf numFmtId="0" fontId="20" fillId="0" borderId="1" xfId="20" applyFont="1" applyBorder="1" applyAlignment="1">
      <alignment horizontal="center"/>
      <protection/>
    </xf>
    <xf numFmtId="3" fontId="24" fillId="0" borderId="0" xfId="20" applyNumberFormat="1" applyFont="1">
      <alignment/>
      <protection/>
    </xf>
    <xf numFmtId="3" fontId="20" fillId="0" borderId="1" xfId="20" applyNumberFormat="1" applyFont="1" applyBorder="1" applyAlignment="1">
      <alignment horizontal="center"/>
      <protection/>
    </xf>
    <xf numFmtId="178" fontId="20" fillId="0" borderId="15" xfId="20" applyNumberFormat="1" applyFont="1" applyBorder="1" applyAlignment="1">
      <alignment horizontal="centerContinuous" wrapText="1"/>
      <protection/>
    </xf>
    <xf numFmtId="5" fontId="20" fillId="0" borderId="0" xfId="20" applyNumberFormat="1" applyFont="1">
      <alignment/>
      <protection/>
    </xf>
    <xf numFmtId="3" fontId="30" fillId="0" borderId="0" xfId="20" applyNumberFormat="1" applyFont="1" applyProtection="1">
      <alignment/>
      <protection hidden="1" locked="0"/>
    </xf>
    <xf numFmtId="0" fontId="27" fillId="0" borderId="0" xfId="20" applyFont="1" applyBorder="1">
      <alignment/>
      <protection/>
    </xf>
    <xf numFmtId="0" fontId="27" fillId="0" borderId="8" xfId="20" applyFont="1" applyBorder="1">
      <alignment/>
      <protection/>
    </xf>
    <xf numFmtId="7" fontId="31" fillId="0" borderId="8" xfId="20" applyNumberFormat="1" applyFont="1" applyBorder="1">
      <alignment/>
      <protection/>
    </xf>
    <xf numFmtId="10" fontId="27" fillId="0" borderId="0" xfId="20" applyNumberFormat="1" applyFont="1" applyBorder="1">
      <alignment/>
      <protection/>
    </xf>
    <xf numFmtId="10" fontId="31" fillId="0" borderId="8" xfId="20" applyNumberFormat="1" applyFont="1" applyBorder="1">
      <alignment/>
      <protection/>
    </xf>
    <xf numFmtId="10" fontId="20" fillId="0" borderId="1" xfId="20" applyNumberFormat="1" applyFont="1" applyBorder="1">
      <alignment/>
      <protection/>
    </xf>
    <xf numFmtId="10" fontId="20" fillId="0" borderId="10" xfId="20" applyNumberFormat="1" applyFont="1" applyBorder="1">
      <alignment/>
      <protection/>
    </xf>
    <xf numFmtId="0" fontId="26" fillId="0" borderId="5" xfId="20" applyFont="1" applyBorder="1" applyAlignment="1">
      <alignment horizontal="left"/>
      <protection/>
    </xf>
    <xf numFmtId="0" fontId="20" fillId="0" borderId="14" xfId="20" applyFont="1" applyBorder="1">
      <alignment/>
      <protection/>
    </xf>
    <xf numFmtId="0" fontId="20" fillId="0" borderId="6" xfId="20" applyFont="1" applyBorder="1">
      <alignment/>
      <protection/>
    </xf>
    <xf numFmtId="179" fontId="20" fillId="0" borderId="0" xfId="15" applyNumberFormat="1" applyFont="1"/>
    <xf numFmtId="3" fontId="30" fillId="0" borderId="0" xfId="20" applyNumberFormat="1" applyFont="1">
      <alignment/>
      <protection/>
    </xf>
    <xf numFmtId="0" fontId="31" fillId="0" borderId="8" xfId="20" applyFont="1" applyBorder="1">
      <alignment/>
      <protection/>
    </xf>
    <xf numFmtId="180" fontId="20" fillId="0" borderId="0" xfId="15" applyNumberFormat="1" applyFont="1"/>
    <xf numFmtId="0" fontId="1" fillId="0" borderId="1" xfId="20" applyFont="1" applyBorder="1" applyAlignment="1">
      <alignment horizontal="centerContinuous"/>
      <protection/>
    </xf>
    <xf numFmtId="0" fontId="20" fillId="0" borderId="1" xfId="20" applyFont="1" applyBorder="1" applyAlignment="1">
      <alignment horizontal="center" wrapText="1"/>
      <protection/>
    </xf>
    <xf numFmtId="0" fontId="20" fillId="0" borderId="0" xfId="23" applyFont="1">
      <alignment/>
      <protection/>
    </xf>
    <xf numFmtId="37" fontId="20" fillId="0" borderId="0" xfId="23" applyNumberFormat="1" applyFont="1" applyProtection="1">
      <alignment/>
      <protection/>
    </xf>
    <xf numFmtId="0" fontId="30" fillId="0" borderId="0" xfId="23" applyFont="1">
      <alignment/>
      <protection/>
    </xf>
    <xf numFmtId="0" fontId="31" fillId="0" borderId="0" xfId="20" applyFont="1" applyBorder="1">
      <alignment/>
      <protection/>
    </xf>
    <xf numFmtId="0" fontId="1" fillId="0" borderId="0" xfId="20">
      <alignment/>
      <protection/>
    </xf>
    <xf numFmtId="3" fontId="20" fillId="0" borderId="0" xfId="20" applyNumberFormat="1" applyFont="1" applyAlignment="1">
      <alignment horizontal="right"/>
      <protection/>
    </xf>
    <xf numFmtId="10" fontId="20" fillId="0" borderId="0" xfId="15" applyNumberFormat="1" applyFont="1"/>
    <xf numFmtId="3" fontId="33" fillId="0" borderId="0" xfId="20" applyNumberFormat="1" applyFont="1">
      <alignment/>
      <protection/>
    </xf>
    <xf numFmtId="10" fontId="27" fillId="0" borderId="8" xfId="20" applyNumberFormat="1" applyFont="1" applyBorder="1">
      <alignment/>
      <protection/>
    </xf>
    <xf numFmtId="0" fontId="30" fillId="0" borderId="0" xfId="20" applyFont="1">
      <alignment/>
      <protection/>
    </xf>
    <xf numFmtId="167" fontId="20" fillId="0" borderId="0" xfId="20" applyNumberFormat="1" applyFont="1">
      <alignment/>
      <protection/>
    </xf>
    <xf numFmtId="0" fontId="38" fillId="0" borderId="0" xfId="0" applyFont="1"/>
    <xf numFmtId="181" fontId="38" fillId="0" borderId="0" xfId="0" applyNumberFormat="1" applyFont="1" applyAlignment="1">
      <alignment horizontal="left"/>
    </xf>
    <xf numFmtId="0" fontId="0" fillId="0" borderId="16" xfId="0" applyBorder="1"/>
    <xf numFmtId="0" fontId="20" fillId="0" borderId="16" xfId="20" applyFont="1" applyBorder="1">
      <alignment/>
      <protection/>
    </xf>
    <xf numFmtId="3" fontId="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9" fillId="0" borderId="0" xfId="0" applyFont="1"/>
    <xf numFmtId="3" fontId="2" fillId="0" borderId="0" xfId="0" applyNumberFormat="1" applyFont="1" applyAlignment="1">
      <alignment horizontal="left"/>
    </xf>
    <xf numFmtId="0" fontId="40" fillId="0" borderId="0" xfId="0" applyFont="1"/>
    <xf numFmtId="0" fontId="40" fillId="0" borderId="0" xfId="0" applyFont="1" applyAlignment="1">
      <alignment horizontal="center"/>
    </xf>
    <xf numFmtId="178" fontId="40" fillId="0" borderId="0" xfId="0" applyNumberFormat="1" applyFont="1" applyAlignment="1">
      <alignment horizontal="center"/>
    </xf>
    <xf numFmtId="10" fontId="40" fillId="0" borderId="0" xfId="15" applyNumberFormat="1" applyFont="1" applyAlignment="1">
      <alignment horizontal="center"/>
    </xf>
    <xf numFmtId="178" fontId="40" fillId="0" borderId="0" xfId="16" applyNumberFormat="1" applyFont="1" applyAlignment="1">
      <alignment horizontal="center"/>
    </xf>
    <xf numFmtId="0" fontId="41" fillId="0" borderId="0" xfId="0" applyFont="1"/>
    <xf numFmtId="178" fontId="41" fillId="0" borderId="0" xfId="16" applyNumberFormat="1" applyFont="1" applyAlignment="1">
      <alignment horizontal="center"/>
    </xf>
    <xf numFmtId="0" fontId="0" fillId="0" borderId="0" xfId="0" applyAlignment="1">
      <alignment horizontal="center"/>
    </xf>
    <xf numFmtId="41" fontId="42" fillId="2" borderId="20" xfId="0" applyNumberFormat="1" applyFont="1" applyFill="1" applyBorder="1" applyAlignment="1">
      <alignment horizontal="left"/>
    </xf>
    <xf numFmtId="41" fontId="43" fillId="2" borderId="20" xfId="0" applyNumberFormat="1" applyFont="1" applyFill="1" applyBorder="1" applyAlignment="1">
      <alignment horizontal="center"/>
    </xf>
    <xf numFmtId="41" fontId="43" fillId="2" borderId="20" xfId="0" applyNumberFormat="1" applyFont="1" applyFill="1" applyBorder="1" applyAlignment="1">
      <alignment/>
    </xf>
    <xf numFmtId="41" fontId="43" fillId="2" borderId="20" xfId="0" applyNumberFormat="1" applyFont="1" applyFill="1" applyBorder="1" applyAlignment="1">
      <alignment horizontal="left"/>
    </xf>
    <xf numFmtId="7" fontId="43" fillId="2" borderId="20" xfId="0" applyNumberFormat="1" applyFont="1" applyFill="1" applyBorder="1" applyAlignment="1">
      <alignment/>
    </xf>
    <xf numFmtId="10" fontId="43" fillId="2" borderId="20" xfId="0" applyNumberFormat="1" applyFont="1" applyFill="1" applyBorder="1" applyAlignment="1">
      <alignment horizontal="center"/>
    </xf>
    <xf numFmtId="10" fontId="43" fillId="2" borderId="20" xfId="15" applyNumberFormat="1" applyFont="1" applyFill="1" applyBorder="1" applyAlignment="1">
      <alignment horizontal="center"/>
    </xf>
    <xf numFmtId="0" fontId="41" fillId="0" borderId="0" xfId="0" applyFont="1" applyAlignment="1">
      <alignment horizontal="left"/>
    </xf>
    <xf numFmtId="178" fontId="42" fillId="2" borderId="20" xfId="0" applyNumberFormat="1" applyFont="1" applyFill="1" applyBorder="1" applyAlignment="1">
      <alignment horizontal="center"/>
    </xf>
    <xf numFmtId="10" fontId="44" fillId="2" borderId="20" xfId="0" applyNumberFormat="1" applyFont="1" applyFill="1" applyBorder="1" applyAlignment="1">
      <alignment horizontal="center"/>
    </xf>
    <xf numFmtId="41" fontId="43" fillId="2" borderId="21" xfId="0" applyNumberFormat="1" applyFont="1" applyFill="1" applyBorder="1" applyAlignment="1">
      <alignment horizontal="center"/>
    </xf>
    <xf numFmtId="7" fontId="43" fillId="2" borderId="21" xfId="0" applyNumberFormat="1" applyFont="1" applyFill="1" applyBorder="1" applyAlignment="1">
      <alignment/>
    </xf>
    <xf numFmtId="178" fontId="42" fillId="2" borderId="22" xfId="0" applyNumberFormat="1" applyFont="1" applyFill="1" applyBorder="1" applyAlignment="1">
      <alignment horizontal="center"/>
    </xf>
    <xf numFmtId="41" fontId="43" fillId="2" borderId="23" xfId="0" applyNumberFormat="1" applyFont="1" applyFill="1" applyBorder="1" applyAlignment="1">
      <alignment horizontal="left"/>
    </xf>
    <xf numFmtId="41" fontId="43" fillId="2" borderId="23" xfId="0" applyNumberFormat="1" applyFont="1" applyFill="1" applyBorder="1" applyAlignment="1">
      <alignment horizontal="center"/>
    </xf>
    <xf numFmtId="7" fontId="43" fillId="2" borderId="23" xfId="0" applyNumberFormat="1" applyFont="1" applyFill="1" applyBorder="1" applyAlignment="1">
      <alignment/>
    </xf>
    <xf numFmtId="10" fontId="44" fillId="2" borderId="23" xfId="0" applyNumberFormat="1" applyFont="1" applyFill="1" applyBorder="1" applyAlignment="1">
      <alignment horizontal="center"/>
    </xf>
    <xf numFmtId="10" fontId="43" fillId="2" borderId="23" xfId="15" applyNumberFormat="1" applyFont="1" applyFill="1" applyBorder="1" applyAlignment="1">
      <alignment horizontal="center"/>
    </xf>
    <xf numFmtId="7" fontId="44" fillId="2" borderId="21" xfId="0" applyNumberFormat="1" applyFont="1" applyFill="1" applyBorder="1" applyAlignment="1">
      <alignment/>
    </xf>
    <xf numFmtId="0" fontId="40" fillId="0" borderId="5" xfId="0" applyFont="1" applyBorder="1"/>
    <xf numFmtId="0" fontId="40" fillId="0" borderId="14" xfId="0" applyFont="1" applyBorder="1"/>
    <xf numFmtId="0" fontId="40" fillId="0" borderId="14" xfId="0" applyFont="1" applyBorder="1" applyAlignment="1">
      <alignment horizontal="center"/>
    </xf>
    <xf numFmtId="0" fontId="0" fillId="0" borderId="6" xfId="0" applyBorder="1"/>
    <xf numFmtId="0" fontId="40" fillId="0" borderId="9" xfId="0" applyFont="1" applyBorder="1"/>
    <xf numFmtId="0" fontId="40" fillId="0" borderId="1" xfId="0" applyFont="1" applyBorder="1"/>
    <xf numFmtId="0" fontId="40" fillId="0" borderId="1" xfId="0" applyFont="1" applyBorder="1" applyAlignment="1">
      <alignment horizontal="center"/>
    </xf>
    <xf numFmtId="0" fontId="0" fillId="0" borderId="10" xfId="0" applyBorder="1"/>
    <xf numFmtId="178" fontId="0" fillId="0" borderId="0" xfId="0" applyNumberFormat="1"/>
    <xf numFmtId="0" fontId="45" fillId="0" borderId="14" xfId="0" applyFont="1" applyBorder="1"/>
    <xf numFmtId="0" fontId="41" fillId="0" borderId="14" xfId="0" applyFont="1" applyBorder="1"/>
    <xf numFmtId="10" fontId="41" fillId="0" borderId="14" xfId="15" applyNumberFormat="1" applyFont="1" applyBorder="1"/>
    <xf numFmtId="10" fontId="41" fillId="0" borderId="14" xfId="0" applyNumberFormat="1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178" fontId="45" fillId="0" borderId="14" xfId="0" applyNumberFormat="1" applyFont="1" applyBorder="1"/>
    <xf numFmtId="0" fontId="0" fillId="0" borderId="14" xfId="0" applyBorder="1"/>
    <xf numFmtId="10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178" fontId="45" fillId="0" borderId="0" xfId="0" applyNumberFormat="1" applyFont="1"/>
    <xf numFmtId="170" fontId="40" fillId="0" borderId="0" xfId="18" applyNumberFormat="1" applyFont="1"/>
    <xf numFmtId="0" fontId="40" fillId="0" borderId="0" xfId="0" applyFont="1" quotePrefix="1"/>
    <xf numFmtId="170" fontId="41" fillId="0" borderId="0" xfId="18" applyNumberFormat="1" applyFont="1"/>
    <xf numFmtId="0" fontId="40" fillId="0" borderId="6" xfId="0" applyFont="1" applyBorder="1"/>
    <xf numFmtId="0" fontId="40" fillId="0" borderId="7" xfId="0" applyFont="1" applyBorder="1"/>
    <xf numFmtId="0" fontId="40" fillId="0" borderId="0" xfId="0" applyFont="1" applyBorder="1"/>
    <xf numFmtId="0" fontId="40" fillId="0" borderId="8" xfId="0" applyFont="1" applyBorder="1"/>
    <xf numFmtId="0" fontId="40" fillId="0" borderId="10" xfId="0" applyFont="1" applyBorder="1"/>
    <xf numFmtId="178" fontId="40" fillId="0" borderId="0" xfId="0" applyNumberFormat="1" applyFont="1"/>
    <xf numFmtId="165" fontId="40" fillId="0" borderId="0" xfId="0" applyNumberFormat="1" applyFont="1"/>
    <xf numFmtId="0" fontId="40" fillId="0" borderId="15" xfId="0" applyFont="1" applyBorder="1"/>
    <xf numFmtId="170" fontId="40" fillId="0" borderId="15" xfId="18" applyNumberFormat="1" applyFont="1" applyBorder="1"/>
    <xf numFmtId="165" fontId="40" fillId="0" borderId="15" xfId="0" applyNumberFormat="1" applyFont="1" applyBorder="1"/>
    <xf numFmtId="170" fontId="40" fillId="0" borderId="0" xfId="0" applyNumberFormat="1" applyFont="1"/>
    <xf numFmtId="178" fontId="40" fillId="0" borderId="15" xfId="0" applyNumberFormat="1" applyFont="1" applyBorder="1"/>
    <xf numFmtId="170" fontId="40" fillId="0" borderId="15" xfId="0" applyNumberFormat="1" applyFont="1" applyBorder="1"/>
    <xf numFmtId="0" fontId="41" fillId="0" borderId="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65" fontId="40" fillId="0" borderId="0" xfId="0" applyNumberFormat="1" applyFont="1" applyBorder="1"/>
    <xf numFmtId="178" fontId="40" fillId="0" borderId="0" xfId="0" applyNumberFormat="1" applyFont="1" applyBorder="1"/>
    <xf numFmtId="165" fontId="40" fillId="0" borderId="8" xfId="0" applyNumberFormat="1" applyFont="1" applyBorder="1"/>
    <xf numFmtId="0" fontId="40" fillId="3" borderId="7" xfId="0" applyFont="1" applyFill="1" applyBorder="1"/>
    <xf numFmtId="182" fontId="40" fillId="3" borderId="0" xfId="15" applyNumberFormat="1" applyFont="1" applyFill="1" applyBorder="1"/>
    <xf numFmtId="182" fontId="40" fillId="3" borderId="8" xfId="15" applyNumberFormat="1" applyFont="1" applyFill="1" applyBorder="1"/>
    <xf numFmtId="0" fontId="40" fillId="4" borderId="7" xfId="0" applyFont="1" applyFill="1" applyBorder="1"/>
    <xf numFmtId="182" fontId="40" fillId="4" borderId="0" xfId="15" applyNumberFormat="1" applyFont="1" applyFill="1" applyBorder="1"/>
    <xf numFmtId="182" fontId="40" fillId="4" borderId="8" xfId="15" applyNumberFormat="1" applyFon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182" fontId="0" fillId="0" borderId="0" xfId="0" applyNumberFormat="1" applyBorder="1"/>
    <xf numFmtId="165" fontId="40" fillId="0" borderId="7" xfId="0" applyNumberFormat="1" applyFont="1" applyBorder="1" applyAlignment="1">
      <alignment horizontal="center"/>
    </xf>
    <xf numFmtId="0" fontId="40" fillId="5" borderId="9" xfId="0" applyFont="1" applyFill="1" applyBorder="1"/>
    <xf numFmtId="165" fontId="40" fillId="5" borderId="1" xfId="0" applyNumberFormat="1" applyFont="1" applyFill="1" applyBorder="1"/>
    <xf numFmtId="165" fontId="40" fillId="5" borderId="10" xfId="0" applyNumberFormat="1" applyFont="1" applyFill="1" applyBorder="1"/>
    <xf numFmtId="7" fontId="22" fillId="0" borderId="0" xfId="20" applyNumberFormat="1" applyFont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ill Comp Settlement with New DSM" xfId="20"/>
    <cellStyle name="Normal_Blocking 09-00" xfId="21"/>
    <cellStyle name="Normal_Book4" xfId="22"/>
    <cellStyle name="Normal_OR UE179 Blocking Stipulation FINAL IMPL JAN07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Salter\LOCALS~1\Temp\XPgrpwise\10-035-124%20Griffith%20Prefiled%20Direct%20Testimony%20for%20RMP%20-%2002-04-2011%20-%20Griffith%20Exhibits%20Workpaper%20UT%202011%20G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RMP-(WRG-1)"/>
      <sheetName val="Exhibit RMP-(WRG-2a)"/>
      <sheetName val="Exhibit RMP-(WRG-2b)"/>
      <sheetName val="Exhibit RMP-(WRG-5)"/>
      <sheetName val="Exhibit RMP-(WRG-6)-Sch1"/>
      <sheetName val="Exhibit RMP-(WRG-6)-Sch23"/>
      <sheetName val="Exhibit RMP-(WRG-6)-Sch6"/>
      <sheetName val="Exhibit RMP-(WRG-6)-Sch8"/>
      <sheetName val="Exhibit RMP-(WRG-6)-Sch9"/>
      <sheetName val="Exhibit RMP-(WRG-6)-Sch10"/>
      <sheetName val="RateSpread"/>
      <sheetName val="MPA"/>
    </sheetNames>
    <sheetDataSet>
      <sheetData sheetId="0">
        <row r="24">
          <cell r="S24">
            <v>0.1457654315095987</v>
          </cell>
        </row>
        <row r="32">
          <cell r="S32">
            <v>0.1257746893498831</v>
          </cell>
        </row>
      </sheetData>
      <sheetData sheetId="1"/>
      <sheetData sheetId="2"/>
      <sheetData sheetId="3">
        <row r="24">
          <cell r="R24">
            <v>792.1185278091956</v>
          </cell>
        </row>
        <row r="25">
          <cell r="R25">
            <v>841.2432070319929</v>
          </cell>
        </row>
        <row r="26">
          <cell r="R26">
            <v>757.0294712214834</v>
          </cell>
        </row>
        <row r="29">
          <cell r="M29">
            <v>0.0391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workbookViewId="0" topLeftCell="A1">
      <selection activeCell="G3" sqref="G3"/>
    </sheetView>
  </sheetViews>
  <sheetFormatPr defaultColWidth="9.140625" defaultRowHeight="15"/>
  <cols>
    <col min="1" max="1" width="3.140625" style="0" customWidth="1"/>
    <col min="2" max="2" width="26.57421875" style="0" customWidth="1"/>
    <col min="3" max="3" width="20.140625" style="0" customWidth="1"/>
    <col min="4" max="4" width="11.00390625" style="0" customWidth="1"/>
    <col min="5" max="5" width="15.7109375" style="0" customWidth="1"/>
    <col min="6" max="6" width="13.28125" style="0" customWidth="1"/>
    <col min="7" max="7" width="11.28125" style="0" customWidth="1"/>
    <col min="8" max="8" width="10.7109375" style="0" customWidth="1"/>
    <col min="10" max="10" width="9.140625" style="0" customWidth="1"/>
    <col min="11" max="11" width="11.140625" style="0" customWidth="1"/>
    <col min="16" max="16" width="10.421875" style="0" bestFit="1" customWidth="1"/>
  </cols>
  <sheetData>
    <row r="1" spans="1:7" ht="18.75">
      <c r="A1" s="317" t="s">
        <v>0</v>
      </c>
      <c r="B1" s="318"/>
      <c r="C1" s="318"/>
      <c r="D1" s="318"/>
      <c r="E1" s="318"/>
      <c r="F1" s="318"/>
      <c r="G1" s="313" t="s">
        <v>210</v>
      </c>
    </row>
    <row r="2" spans="1:7" ht="18.75">
      <c r="A2" s="319" t="s">
        <v>212</v>
      </c>
      <c r="B2" s="318"/>
      <c r="C2" s="318"/>
      <c r="D2" s="318"/>
      <c r="E2" s="318"/>
      <c r="F2" s="318"/>
      <c r="G2" s="313" t="s">
        <v>211</v>
      </c>
    </row>
    <row r="3" spans="1:7" ht="18.75">
      <c r="A3" s="319" t="s">
        <v>213</v>
      </c>
      <c r="B3" s="318"/>
      <c r="C3" s="318"/>
      <c r="D3" s="318"/>
      <c r="E3" s="318"/>
      <c r="F3" s="318"/>
      <c r="G3" s="313" t="s">
        <v>379</v>
      </c>
    </row>
    <row r="4" spans="1:7" ht="16.5">
      <c r="A4" s="320"/>
      <c r="B4" s="318"/>
      <c r="C4" s="318"/>
      <c r="D4" s="318"/>
      <c r="E4" s="318"/>
      <c r="F4" s="318"/>
      <c r="G4" s="314">
        <v>40696</v>
      </c>
    </row>
    <row r="5" spans="1:7" ht="15">
      <c r="A5" s="318"/>
      <c r="B5" s="318"/>
      <c r="C5" s="318"/>
      <c r="D5" s="318"/>
      <c r="E5" s="318"/>
      <c r="F5" s="318"/>
      <c r="G5" s="318"/>
    </row>
    <row r="6" spans="2:7" ht="15">
      <c r="B6" s="321" t="s">
        <v>212</v>
      </c>
      <c r="C6" s="321"/>
      <c r="D6" s="321"/>
      <c r="E6" s="321"/>
      <c r="F6" s="321"/>
      <c r="G6" s="321"/>
    </row>
    <row r="7" spans="2:7" ht="15">
      <c r="B7" s="321" t="s">
        <v>213</v>
      </c>
      <c r="C7" s="321"/>
      <c r="D7" s="321" t="s">
        <v>214</v>
      </c>
      <c r="E7" s="321"/>
      <c r="F7" s="321"/>
      <c r="G7" s="321"/>
    </row>
    <row r="8" spans="2:7" ht="15">
      <c r="B8" s="321"/>
      <c r="C8" s="321"/>
      <c r="D8" s="321"/>
      <c r="E8" s="321"/>
      <c r="F8" s="321"/>
      <c r="G8" s="321"/>
    </row>
    <row r="9" spans="2:7" ht="15">
      <c r="B9" s="321"/>
      <c r="C9" s="322" t="s">
        <v>215</v>
      </c>
      <c r="D9" s="322" t="s">
        <v>216</v>
      </c>
      <c r="E9" s="322" t="s">
        <v>217</v>
      </c>
      <c r="F9" s="322" t="s">
        <v>218</v>
      </c>
      <c r="G9" s="322" t="s">
        <v>219</v>
      </c>
    </row>
    <row r="10" spans="2:7" ht="15">
      <c r="B10" s="321" t="s">
        <v>220</v>
      </c>
      <c r="C10" s="322" t="s">
        <v>221</v>
      </c>
      <c r="D10" s="322" t="s">
        <v>222</v>
      </c>
      <c r="E10" s="322" t="s">
        <v>223</v>
      </c>
      <c r="F10" s="322" t="s">
        <v>224</v>
      </c>
      <c r="G10" s="322" t="s">
        <v>225</v>
      </c>
    </row>
    <row r="11" spans="2:6" ht="15">
      <c r="B11" s="321"/>
      <c r="C11" s="322"/>
      <c r="D11" s="322"/>
      <c r="E11" s="322"/>
      <c r="F11" s="322"/>
    </row>
    <row r="12" spans="2:6" ht="15">
      <c r="B12" s="321" t="s">
        <v>226</v>
      </c>
      <c r="C12" s="322"/>
      <c r="D12" s="322"/>
      <c r="E12" s="322"/>
      <c r="F12" s="322"/>
    </row>
    <row r="13" spans="2:6" ht="15">
      <c r="B13" s="321" t="s">
        <v>227</v>
      </c>
      <c r="C13" s="322" t="s">
        <v>228</v>
      </c>
      <c r="D13" s="323">
        <v>450</v>
      </c>
      <c r="E13" s="324">
        <v>0.344509062527861</v>
      </c>
      <c r="F13" s="325">
        <f>D13*E13</f>
        <v>155.02907813753745</v>
      </c>
    </row>
    <row r="14" spans="2:6" ht="15">
      <c r="B14" s="321" t="s">
        <v>229</v>
      </c>
      <c r="C14" s="322" t="s">
        <v>230</v>
      </c>
      <c r="D14" s="323">
        <v>531</v>
      </c>
      <c r="E14" s="324">
        <v>0.0279921834692359</v>
      </c>
      <c r="F14" s="325">
        <f>D14*E14</f>
        <v>14.863849422164263</v>
      </c>
    </row>
    <row r="15" spans="2:6" ht="15">
      <c r="B15" s="321" t="s">
        <v>231</v>
      </c>
      <c r="C15" s="322" t="s">
        <v>232</v>
      </c>
      <c r="D15" s="323">
        <v>449</v>
      </c>
      <c r="E15" s="324">
        <v>0.578543126115368</v>
      </c>
      <c r="F15" s="325">
        <f>D15*E15</f>
        <v>259.7658636258002</v>
      </c>
    </row>
    <row r="16" spans="2:6" ht="15">
      <c r="B16" s="321" t="s">
        <v>233</v>
      </c>
      <c r="C16" s="322" t="s">
        <v>234</v>
      </c>
      <c r="D16" s="323">
        <v>477</v>
      </c>
      <c r="E16" s="324">
        <v>0.0489556278875343</v>
      </c>
      <c r="F16" s="325">
        <f>D16*E16</f>
        <v>23.35183450235386</v>
      </c>
    </row>
    <row r="17" spans="2:6" ht="15">
      <c r="B17" s="326" t="s">
        <v>235</v>
      </c>
      <c r="C17" s="322"/>
      <c r="D17" s="322"/>
      <c r="E17" s="322"/>
      <c r="F17" s="327">
        <f>SUM(F13:F16)</f>
        <v>453.0106256878558</v>
      </c>
    </row>
    <row r="18" spans="2:6" ht="15">
      <c r="B18" s="321"/>
      <c r="C18" s="321"/>
      <c r="D18" s="321"/>
      <c r="E18" s="321"/>
      <c r="F18" s="321"/>
    </row>
    <row r="21" spans="2:9" ht="15">
      <c r="B21" s="321"/>
      <c r="C21" s="322" t="s">
        <v>215</v>
      </c>
      <c r="D21" s="322" t="s">
        <v>236</v>
      </c>
      <c r="E21" s="322" t="s">
        <v>237</v>
      </c>
      <c r="F21" s="322" t="s">
        <v>238</v>
      </c>
      <c r="G21" s="322" t="s">
        <v>239</v>
      </c>
      <c r="H21" s="322" t="s">
        <v>240</v>
      </c>
      <c r="I21" s="328"/>
    </row>
    <row r="22" spans="2:9" ht="15">
      <c r="B22" s="321"/>
      <c r="C22" s="322" t="s">
        <v>221</v>
      </c>
      <c r="D22" s="322">
        <v>2010</v>
      </c>
      <c r="E22" s="322" t="s">
        <v>223</v>
      </c>
      <c r="F22" s="322" t="s">
        <v>223</v>
      </c>
      <c r="G22" s="322" t="s">
        <v>223</v>
      </c>
      <c r="H22" s="322" t="s">
        <v>223</v>
      </c>
      <c r="I22" s="328"/>
    </row>
    <row r="23" spans="2:8" ht="15">
      <c r="B23" s="329" t="s">
        <v>241</v>
      </c>
      <c r="C23" s="330"/>
      <c r="D23" s="331"/>
      <c r="E23" s="331"/>
      <c r="F23" s="331"/>
      <c r="G23" s="321"/>
      <c r="H23" s="321"/>
    </row>
    <row r="24" spans="2:8" ht="15">
      <c r="B24" s="332" t="s">
        <v>242</v>
      </c>
      <c r="C24" s="330" t="s">
        <v>243</v>
      </c>
      <c r="D24" s="333">
        <v>596</v>
      </c>
      <c r="E24" s="334">
        <v>0.204201506461198</v>
      </c>
      <c r="F24" s="335">
        <v>0.210332103321033</v>
      </c>
      <c r="G24" s="324">
        <v>0.625186289120715</v>
      </c>
      <c r="H24" s="324">
        <v>0.359968989672453</v>
      </c>
    </row>
    <row r="25" spans="2:8" ht="15">
      <c r="B25" s="332"/>
      <c r="C25" s="330" t="s">
        <v>244</v>
      </c>
      <c r="D25" s="333">
        <v>579</v>
      </c>
      <c r="E25" s="335">
        <v>0.795798493538802</v>
      </c>
      <c r="F25" s="335">
        <v>0.789668796678967</v>
      </c>
      <c r="G25" s="324">
        <v>0.374813710879285</v>
      </c>
      <c r="H25" s="324">
        <v>0.640031010327547</v>
      </c>
    </row>
    <row r="26" spans="2:8" ht="15">
      <c r="B26" s="336" t="s">
        <v>235</v>
      </c>
      <c r="C26" s="330"/>
      <c r="D26" s="331"/>
      <c r="E26" s="337">
        <f>$D24*E24+$D25*E25</f>
        <v>582.4714256098405</v>
      </c>
      <c r="F26" s="337">
        <f>$D24*F24+$D25*F25</f>
        <v>582.5761668564576</v>
      </c>
      <c r="G26" s="337">
        <f>$D24*G24+$D25*G25</f>
        <v>589.6281669150521</v>
      </c>
      <c r="H26" s="337">
        <f>$D24*H24+$D25*H25</f>
        <v>585.1194728244317</v>
      </c>
    </row>
    <row r="27" spans="2:8" ht="15">
      <c r="B27" s="332"/>
      <c r="C27" s="330"/>
      <c r="D27" s="331"/>
      <c r="E27" s="338"/>
      <c r="F27" s="335"/>
      <c r="G27" s="324"/>
      <c r="H27" s="324"/>
    </row>
    <row r="28" spans="2:8" ht="15">
      <c r="B28" s="332" t="s">
        <v>245</v>
      </c>
      <c r="C28" s="330" t="s">
        <v>246</v>
      </c>
      <c r="D28" s="333">
        <v>777</v>
      </c>
      <c r="E28" s="334">
        <v>0.204201506461198</v>
      </c>
      <c r="F28" s="335">
        <v>0.210332103321033</v>
      </c>
      <c r="G28" s="324">
        <v>0.625186289120715</v>
      </c>
      <c r="H28" s="324">
        <v>0.359968989672453</v>
      </c>
    </row>
    <row r="29" spans="2:8" ht="15">
      <c r="B29" s="332"/>
      <c r="C29" s="330" t="s">
        <v>247</v>
      </c>
      <c r="D29" s="333">
        <v>826</v>
      </c>
      <c r="E29" s="335">
        <v>0.795798493538802</v>
      </c>
      <c r="F29" s="335">
        <v>0.789668796678967</v>
      </c>
      <c r="G29" s="324">
        <v>0.374813710879285</v>
      </c>
      <c r="H29" s="324">
        <v>0.640031010327547</v>
      </c>
    </row>
    <row r="30" spans="2:8" ht="15">
      <c r="B30" s="336" t="s">
        <v>235</v>
      </c>
      <c r="C30" s="330"/>
      <c r="D30" s="333"/>
      <c r="E30" s="337">
        <f>$D28*E28+$D29*E29</f>
        <v>815.9941261834014</v>
      </c>
      <c r="F30" s="337">
        <f>$D28*F28+$D29*F29</f>
        <v>815.6944703372694</v>
      </c>
      <c r="G30" s="337">
        <f>$D28*G28+$D29*G29</f>
        <v>795.3658718330851</v>
      </c>
      <c r="H30" s="337">
        <f>$D28*H28+$D29*H29</f>
        <v>808.3615195060497</v>
      </c>
    </row>
    <row r="31" spans="2:8" ht="15">
      <c r="B31" s="332"/>
      <c r="C31" s="330"/>
      <c r="D31" s="333"/>
      <c r="E31" s="338"/>
      <c r="F31" s="335"/>
      <c r="G31" s="324"/>
      <c r="H31" s="324"/>
    </row>
    <row r="32" spans="2:8" ht="15">
      <c r="B32" s="332" t="s">
        <v>248</v>
      </c>
      <c r="C32" s="330" t="s">
        <v>249</v>
      </c>
      <c r="D32" s="333">
        <v>827</v>
      </c>
      <c r="E32" s="334">
        <v>0.204201506461198</v>
      </c>
      <c r="F32" s="335">
        <v>0.210332103321033</v>
      </c>
      <c r="G32" s="324">
        <v>0.625186289120715</v>
      </c>
      <c r="H32" s="324">
        <v>0.359968989672453</v>
      </c>
    </row>
    <row r="33" spans="2:8" ht="15">
      <c r="B33" s="332"/>
      <c r="C33" s="330" t="s">
        <v>250</v>
      </c>
      <c r="D33" s="333">
        <v>607</v>
      </c>
      <c r="E33" s="335">
        <v>0.795798493538802</v>
      </c>
      <c r="F33" s="335">
        <v>0.789668796678967</v>
      </c>
      <c r="G33" s="324">
        <v>0.374813710879285</v>
      </c>
      <c r="H33" s="324">
        <v>0.640031010327547</v>
      </c>
    </row>
    <row r="34" spans="2:8" ht="15">
      <c r="B34" s="336" t="s">
        <v>235</v>
      </c>
      <c r="C34" s="330"/>
      <c r="D34" s="333"/>
      <c r="E34" s="337">
        <f>$D32*E32+$D33*E33</f>
        <v>651.9243314214636</v>
      </c>
      <c r="F34" s="337">
        <f>$D32*F32+$D33*F33</f>
        <v>653.2736090306273</v>
      </c>
      <c r="G34" s="337">
        <f>$D32*G32+$D33*G33</f>
        <v>744.5409836065573</v>
      </c>
      <c r="H34" s="337">
        <f>$D32*H32+$D33*H33</f>
        <v>686.1931777279397</v>
      </c>
    </row>
    <row r="35" spans="2:8" ht="15">
      <c r="B35" s="332"/>
      <c r="C35" s="330"/>
      <c r="D35" s="333"/>
      <c r="E35" s="338"/>
      <c r="F35" s="335"/>
      <c r="G35" s="324"/>
      <c r="H35" s="324"/>
    </row>
    <row r="36" spans="2:8" ht="15">
      <c r="B36" s="332" t="s">
        <v>251</v>
      </c>
      <c r="C36" s="330" t="s">
        <v>252</v>
      </c>
      <c r="D36" s="333">
        <v>984</v>
      </c>
      <c r="E36" s="334">
        <v>0.204201506461198</v>
      </c>
      <c r="F36" s="335">
        <v>0.210332103321033</v>
      </c>
      <c r="G36" s="324">
        <v>0.625186289120715</v>
      </c>
      <c r="H36" s="324">
        <v>0.359968989672453</v>
      </c>
    </row>
    <row r="37" spans="2:8" ht="15">
      <c r="B37" s="332"/>
      <c r="C37" s="330" t="s">
        <v>253</v>
      </c>
      <c r="D37" s="333">
        <v>871</v>
      </c>
      <c r="E37" s="335">
        <v>0.795798493538802</v>
      </c>
      <c r="F37" s="335">
        <v>0.789668796678967</v>
      </c>
      <c r="G37" s="324">
        <v>0.374813710879285</v>
      </c>
      <c r="H37" s="324">
        <v>0.640031010327547</v>
      </c>
    </row>
    <row r="38" spans="2:8" ht="15">
      <c r="B38" s="336" t="s">
        <v>235</v>
      </c>
      <c r="C38" s="339"/>
      <c r="D38" s="340"/>
      <c r="E38" s="341">
        <f>$D36*E36+$D37*E37</f>
        <v>894.0747702301154</v>
      </c>
      <c r="F38" s="341">
        <f>$D36*F36+$D37*F37</f>
        <v>894.7683115752768</v>
      </c>
      <c r="G38" s="341">
        <f>$D36*G36+$D37*G37</f>
        <v>941.6460506706409</v>
      </c>
      <c r="H38" s="341">
        <f>$D36*H36+$D37*H37</f>
        <v>911.6764958329873</v>
      </c>
    </row>
    <row r="39" spans="2:8" ht="15">
      <c r="B39" s="342"/>
      <c r="C39" s="343"/>
      <c r="D39" s="344"/>
      <c r="E39" s="345"/>
      <c r="F39" s="346"/>
      <c r="G39" s="324"/>
      <c r="H39" s="324"/>
    </row>
    <row r="40" spans="2:8" ht="15">
      <c r="B40" s="329" t="s">
        <v>254</v>
      </c>
      <c r="C40" s="330"/>
      <c r="D40" s="333"/>
      <c r="E40" s="338"/>
      <c r="F40" s="335"/>
      <c r="G40" s="324"/>
      <c r="H40" s="324"/>
    </row>
    <row r="41" spans="2:8" ht="15">
      <c r="B41" s="332" t="s">
        <v>255</v>
      </c>
      <c r="C41" s="330" t="s">
        <v>256</v>
      </c>
      <c r="D41" s="333">
        <v>1529</v>
      </c>
      <c r="E41" s="334">
        <v>0.204201506461198</v>
      </c>
      <c r="F41" s="335">
        <v>0.210332103321033</v>
      </c>
      <c r="G41" s="324">
        <v>0.625186289120715</v>
      </c>
      <c r="H41" s="324">
        <v>0.359968989672453</v>
      </c>
    </row>
    <row r="42" spans="2:8" ht="15">
      <c r="B42" s="332"/>
      <c r="C42" s="330" t="s">
        <v>257</v>
      </c>
      <c r="D42" s="333">
        <v>1085</v>
      </c>
      <c r="E42" s="335">
        <v>0.795798493538802</v>
      </c>
      <c r="F42" s="335">
        <v>0.789668796678967</v>
      </c>
      <c r="G42" s="324">
        <v>0.374813710879285</v>
      </c>
      <c r="H42" s="324">
        <v>0.640031010327547</v>
      </c>
    </row>
    <row r="43" spans="2:8" ht="15">
      <c r="B43" s="336" t="s">
        <v>235</v>
      </c>
      <c r="C43" s="330"/>
      <c r="D43" s="333"/>
      <c r="E43" s="337">
        <f>$D41*E41+$D42*E42</f>
        <v>1175.665468868772</v>
      </c>
      <c r="F43" s="337">
        <f>$D41*F41+$D42*F42</f>
        <v>1178.3884303745388</v>
      </c>
      <c r="G43" s="337">
        <f>$D41*G41+$D42*G42</f>
        <v>1362.5827123695976</v>
      </c>
      <c r="H43" s="337">
        <f>$D41*H41+$D42*H42</f>
        <v>1244.826231414569</v>
      </c>
    </row>
    <row r="44" spans="2:8" ht="15">
      <c r="B44" s="332"/>
      <c r="C44" s="330"/>
      <c r="D44" s="333"/>
      <c r="E44" s="338"/>
      <c r="F44" s="335"/>
      <c r="G44" s="324"/>
      <c r="H44" s="324"/>
    </row>
    <row r="45" spans="2:8" ht="15">
      <c r="B45" s="332" t="s">
        <v>258</v>
      </c>
      <c r="C45" s="330" t="s">
        <v>259</v>
      </c>
      <c r="D45" s="333">
        <v>1814</v>
      </c>
      <c r="E45" s="334">
        <v>0.204201506461198</v>
      </c>
      <c r="F45" s="335">
        <v>0.210332103321033</v>
      </c>
      <c r="G45" s="324">
        <v>0.625186289120715</v>
      </c>
      <c r="H45" s="324">
        <v>0.359968989672453</v>
      </c>
    </row>
    <row r="46" spans="2:8" ht="15">
      <c r="B46" s="332"/>
      <c r="C46" s="330" t="s">
        <v>260</v>
      </c>
      <c r="D46" s="333">
        <v>1611</v>
      </c>
      <c r="E46" s="335">
        <v>0.795798493538802</v>
      </c>
      <c r="F46" s="335">
        <v>0.789668796678967</v>
      </c>
      <c r="G46" s="324">
        <v>0.374813710879285</v>
      </c>
      <c r="H46" s="324">
        <v>0.640031010327547</v>
      </c>
    </row>
    <row r="47" spans="2:8" ht="15">
      <c r="B47" s="336" t="s">
        <v>235</v>
      </c>
      <c r="C47" s="330"/>
      <c r="D47" s="333"/>
      <c r="E47" s="337">
        <f>$D45*E45+$D46*E46</f>
        <v>1652.4529058116234</v>
      </c>
      <c r="F47" s="337">
        <f>$D45*F45+$D46*F46</f>
        <v>1653.6988668741699</v>
      </c>
      <c r="G47" s="337">
        <f>$D45*G45+$D46*G46</f>
        <v>1737.9128166915052</v>
      </c>
      <c r="H47" s="337">
        <f>$D45*H45+$D46*H46</f>
        <v>1684.0737049035079</v>
      </c>
    </row>
    <row r="48" spans="2:8" ht="15">
      <c r="B48" s="332"/>
      <c r="C48" s="330"/>
      <c r="D48" s="333"/>
      <c r="E48" s="338"/>
      <c r="F48" s="335"/>
      <c r="G48" s="324"/>
      <c r="H48" s="324"/>
    </row>
    <row r="49" spans="2:8" ht="15">
      <c r="B49" s="332" t="s">
        <v>261</v>
      </c>
      <c r="C49" s="330" t="s">
        <v>262</v>
      </c>
      <c r="D49" s="333">
        <v>1814</v>
      </c>
      <c r="E49" s="334">
        <v>0.204201506461198</v>
      </c>
      <c r="F49" s="335">
        <v>0.210332103321033</v>
      </c>
      <c r="G49" s="324">
        <v>0.625186289120715</v>
      </c>
      <c r="H49" s="324">
        <v>0.359968989672453</v>
      </c>
    </row>
    <row r="50" spans="2:8" ht="15">
      <c r="B50" s="332" t="s">
        <v>263</v>
      </c>
      <c r="C50" s="330" t="s">
        <v>264</v>
      </c>
      <c r="D50" s="333">
        <v>1611</v>
      </c>
      <c r="E50" s="335">
        <v>0.795798493538802</v>
      </c>
      <c r="F50" s="335">
        <v>0.789668796678967</v>
      </c>
      <c r="G50" s="324">
        <v>0.374813710879285</v>
      </c>
      <c r="H50" s="324">
        <v>0.640031010327547</v>
      </c>
    </row>
    <row r="51" spans="2:8" ht="15">
      <c r="B51" s="336" t="s">
        <v>235</v>
      </c>
      <c r="C51" s="339"/>
      <c r="D51" s="340"/>
      <c r="E51" s="341">
        <f>$D49*E49+$D50*E50</f>
        <v>1652.4529058116234</v>
      </c>
      <c r="F51" s="341">
        <f>$D49*F49+$D50*F50</f>
        <v>1653.6988668741699</v>
      </c>
      <c r="G51" s="341">
        <f>$D49*G49+$D50*G50</f>
        <v>1737.9128166915052</v>
      </c>
      <c r="H51" s="341">
        <f>$D49*H49+$D50*H50</f>
        <v>1684.0737049035079</v>
      </c>
    </row>
    <row r="52" spans="2:8" ht="15">
      <c r="B52" s="342"/>
      <c r="C52" s="343"/>
      <c r="D52" s="344"/>
      <c r="E52" s="345"/>
      <c r="F52" s="346"/>
      <c r="G52" s="324"/>
      <c r="H52" s="324"/>
    </row>
    <row r="53" spans="2:8" ht="15">
      <c r="B53" s="329" t="s">
        <v>265</v>
      </c>
      <c r="C53" s="330"/>
      <c r="D53" s="333"/>
      <c r="E53" s="338"/>
      <c r="F53" s="335"/>
      <c r="G53" s="324"/>
      <c r="H53" s="324"/>
    </row>
    <row r="54" spans="2:8" ht="15">
      <c r="B54" s="332" t="s">
        <v>266</v>
      </c>
      <c r="C54" s="330" t="s">
        <v>267</v>
      </c>
      <c r="D54" s="333">
        <v>3781</v>
      </c>
      <c r="E54" s="334">
        <v>0.204201506461198</v>
      </c>
      <c r="F54" s="335">
        <v>0.210332103321033</v>
      </c>
      <c r="G54" s="324">
        <v>0.625186289120715</v>
      </c>
      <c r="H54" s="324">
        <v>0.359968989672453</v>
      </c>
    </row>
    <row r="55" spans="2:8" ht="15">
      <c r="B55" s="332"/>
      <c r="C55" s="330" t="s">
        <v>268</v>
      </c>
      <c r="D55" s="333">
        <v>3702</v>
      </c>
      <c r="E55" s="335">
        <v>0.795798493538802</v>
      </c>
      <c r="F55" s="335">
        <v>0.789668796678967</v>
      </c>
      <c r="G55" s="324">
        <v>0.374813710879285</v>
      </c>
      <c r="H55" s="324">
        <v>0.640031010327547</v>
      </c>
    </row>
    <row r="56" spans="2:8" ht="15">
      <c r="B56" s="336" t="s">
        <v>235</v>
      </c>
      <c r="C56" s="330"/>
      <c r="D56" s="333"/>
      <c r="E56" s="337">
        <f>$D54*E54+$D55*E55</f>
        <v>3718.131919010435</v>
      </c>
      <c r="F56" s="337">
        <f>$D54*F54+$D55*F55</f>
        <v>3718.619567962362</v>
      </c>
      <c r="G56" s="337">
        <f>$D54*G54+$D55*G55</f>
        <v>3751.3897168405365</v>
      </c>
      <c r="H56" s="337">
        <f>$D54*H54+$D55*H55</f>
        <v>3730.437550184123</v>
      </c>
    </row>
    <row r="57" spans="2:8" ht="15">
      <c r="B57" s="332"/>
      <c r="C57" s="330"/>
      <c r="D57" s="333"/>
      <c r="E57" s="338"/>
      <c r="F57" s="335"/>
      <c r="G57" s="324"/>
      <c r="H57" s="324"/>
    </row>
    <row r="58" spans="2:8" ht="15">
      <c r="B58" s="332" t="s">
        <v>269</v>
      </c>
      <c r="C58" s="330" t="s">
        <v>270</v>
      </c>
      <c r="D58" s="333">
        <v>3486</v>
      </c>
      <c r="E58" s="334">
        <v>0.204201506461198</v>
      </c>
      <c r="F58" s="335">
        <v>0.210332103321033</v>
      </c>
      <c r="G58" s="324">
        <v>0.625186289120715</v>
      </c>
      <c r="H58" s="324">
        <v>0.359968989672453</v>
      </c>
    </row>
    <row r="59" spans="2:8" ht="15">
      <c r="B59" s="332"/>
      <c r="C59" s="330" t="s">
        <v>271</v>
      </c>
      <c r="D59" s="333">
        <v>3432</v>
      </c>
      <c r="E59" s="335">
        <v>0.795798493538802</v>
      </c>
      <c r="F59" s="335">
        <v>0.789668796678967</v>
      </c>
      <c r="G59" s="324">
        <v>0.374813710879285</v>
      </c>
      <c r="H59" s="324">
        <v>0.640031010327547</v>
      </c>
    </row>
    <row r="60" spans="2:8" ht="15">
      <c r="B60" s="336" t="s">
        <v>235</v>
      </c>
      <c r="C60" s="330"/>
      <c r="D60" s="333"/>
      <c r="E60" s="337">
        <f>$D58*E58+$D59*E59</f>
        <v>3443.0268813489047</v>
      </c>
      <c r="F60" s="337">
        <f>$D58*F58+$D59*F59</f>
        <v>3443.3610223793357</v>
      </c>
      <c r="G60" s="337">
        <f>$D58*G58+$D59*G59</f>
        <v>3465.760059612519</v>
      </c>
      <c r="H60" s="337">
        <f>$D58*H58+$D59*H59</f>
        <v>3451.438325442312</v>
      </c>
    </row>
    <row r="61" spans="2:8" ht="15">
      <c r="B61" s="332"/>
      <c r="C61" s="330"/>
      <c r="D61" s="333"/>
      <c r="E61" s="338"/>
      <c r="F61" s="335"/>
      <c r="G61" s="324"/>
      <c r="H61" s="324"/>
    </row>
    <row r="62" spans="2:8" ht="15">
      <c r="B62" s="332" t="s">
        <v>272</v>
      </c>
      <c r="C62" s="330" t="s">
        <v>273</v>
      </c>
      <c r="D62" s="333">
        <v>3486</v>
      </c>
      <c r="E62" s="334">
        <v>0.204201506461198</v>
      </c>
      <c r="F62" s="335">
        <v>0.210332103321033</v>
      </c>
      <c r="G62" s="324">
        <v>0.625186289120715</v>
      </c>
      <c r="H62" s="324">
        <v>0.359968989672453</v>
      </c>
    </row>
    <row r="63" spans="2:8" ht="15">
      <c r="B63" s="332" t="s">
        <v>263</v>
      </c>
      <c r="C63" s="330" t="s">
        <v>274</v>
      </c>
      <c r="D63" s="333">
        <v>3432</v>
      </c>
      <c r="E63" s="335">
        <v>0.795798493538802</v>
      </c>
      <c r="F63" s="335">
        <v>0.789668796678967</v>
      </c>
      <c r="G63" s="324">
        <v>0.374813710879285</v>
      </c>
      <c r="H63" s="324">
        <v>0.640031010327547</v>
      </c>
    </row>
    <row r="64" spans="2:8" ht="15">
      <c r="B64" s="336" t="s">
        <v>235</v>
      </c>
      <c r="C64" s="339"/>
      <c r="D64" s="340"/>
      <c r="E64" s="341">
        <f>$D62*E62+$D63*E63</f>
        <v>3443.0268813489047</v>
      </c>
      <c r="F64" s="341">
        <f>$D62*F62+$D63*F63</f>
        <v>3443.3610223793357</v>
      </c>
      <c r="G64" s="341">
        <f>$D62*G62+$D63*G63</f>
        <v>3465.760059612519</v>
      </c>
      <c r="H64" s="341">
        <f>$D62*H62+$D63*H63</f>
        <v>3451.438325442312</v>
      </c>
    </row>
    <row r="65" spans="2:8" ht="15">
      <c r="B65" s="342"/>
      <c r="C65" s="343"/>
      <c r="D65" s="344"/>
      <c r="E65" s="345"/>
      <c r="F65" s="346"/>
      <c r="G65" s="324"/>
      <c r="H65" s="324"/>
    </row>
    <row r="66" spans="2:8" ht="15">
      <c r="B66" s="329" t="s">
        <v>275</v>
      </c>
      <c r="C66" s="330"/>
      <c r="D66" s="333"/>
      <c r="E66" s="338"/>
      <c r="F66" s="335"/>
      <c r="G66" s="324"/>
      <c r="H66" s="324"/>
    </row>
    <row r="67" spans="2:8" ht="15">
      <c r="B67" s="332" t="s">
        <v>276</v>
      </c>
      <c r="C67" s="330" t="s">
        <v>277</v>
      </c>
      <c r="D67" s="333">
        <v>5742</v>
      </c>
      <c r="E67" s="334">
        <v>0.204201506461198</v>
      </c>
      <c r="F67" s="335">
        <v>0.210332103321033</v>
      </c>
      <c r="G67" s="324">
        <v>0.625186289120715</v>
      </c>
      <c r="H67" s="324">
        <v>0.359968989672453</v>
      </c>
    </row>
    <row r="68" spans="2:8" ht="15">
      <c r="B68" s="332"/>
      <c r="C68" s="330" t="s">
        <v>278</v>
      </c>
      <c r="D68" s="333">
        <v>6772</v>
      </c>
      <c r="E68" s="335">
        <v>0.795798493538802</v>
      </c>
      <c r="F68" s="335">
        <v>0.789668796678967</v>
      </c>
      <c r="G68" s="324">
        <v>0.374813710879285</v>
      </c>
      <c r="H68" s="324">
        <v>0.640031010327547</v>
      </c>
    </row>
    <row r="69" spans="2:8" ht="15">
      <c r="B69" s="336" t="s">
        <v>235</v>
      </c>
      <c r="C69" s="339"/>
      <c r="D69" s="347"/>
      <c r="E69" s="341">
        <f>$D67*E67+$D68*E68</f>
        <v>6561.672448344967</v>
      </c>
      <c r="F69" s="341">
        <f>$D67*F67+$D68*F68</f>
        <v>6555.364028379337</v>
      </c>
      <c r="G69" s="341">
        <f>$D67*G67+$D68*G68</f>
        <v>6128.058122205664</v>
      </c>
      <c r="H69" s="341">
        <f>$D67*H67+$D68*H68</f>
        <v>6401.231940637373</v>
      </c>
    </row>
    <row r="70" spans="2:8" ht="15">
      <c r="B70" s="321"/>
      <c r="C70" s="321"/>
      <c r="D70" s="321"/>
      <c r="E70" s="322"/>
      <c r="F70" s="346"/>
      <c r="G70" s="322"/>
      <c r="H70" s="322"/>
    </row>
    <row r="71" spans="2:8" ht="15">
      <c r="B71" s="321"/>
      <c r="C71" s="321"/>
      <c r="D71" s="321"/>
      <c r="E71" s="322"/>
      <c r="F71" s="335"/>
      <c r="G71" s="322"/>
      <c r="H71" s="322"/>
    </row>
    <row r="72" spans="2:8" ht="15">
      <c r="B72" s="321"/>
      <c r="C72" s="321"/>
      <c r="D72" s="321"/>
      <c r="E72" s="322"/>
      <c r="F72" s="335"/>
      <c r="G72" s="322"/>
      <c r="H72" s="322"/>
    </row>
    <row r="73" spans="2:8" ht="15">
      <c r="B73" s="326" t="s">
        <v>237</v>
      </c>
      <c r="C73" s="321"/>
      <c r="D73" s="321" t="s">
        <v>279</v>
      </c>
      <c r="E73" s="322"/>
      <c r="F73" s="335"/>
      <c r="G73" s="322"/>
      <c r="H73" s="322"/>
    </row>
    <row r="74" spans="2:6" ht="15">
      <c r="B74" s="321" t="s">
        <v>280</v>
      </c>
      <c r="C74" s="321"/>
      <c r="D74" s="321"/>
      <c r="E74" s="322"/>
      <c r="F74" s="322"/>
    </row>
    <row r="75" spans="2:7" ht="15">
      <c r="B75" s="348"/>
      <c r="C75" s="349"/>
      <c r="D75" s="349"/>
      <c r="E75" s="350" t="s">
        <v>281</v>
      </c>
      <c r="F75" s="350" t="s">
        <v>282</v>
      </c>
      <c r="G75" s="351" t="s">
        <v>283</v>
      </c>
    </row>
    <row r="76" spans="2:7" ht="15">
      <c r="B76" s="352" t="s">
        <v>284</v>
      </c>
      <c r="C76" s="353"/>
      <c r="D76" s="353" t="s">
        <v>285</v>
      </c>
      <c r="E76" s="354" t="s">
        <v>285</v>
      </c>
      <c r="F76" s="354" t="s">
        <v>286</v>
      </c>
      <c r="G76" s="355" t="s">
        <v>287</v>
      </c>
    </row>
    <row r="77" spans="2:7" ht="15">
      <c r="B77" s="321" t="s">
        <v>288</v>
      </c>
      <c r="C77" s="321"/>
      <c r="D77" s="321"/>
      <c r="E77" s="322"/>
      <c r="F77" s="322"/>
      <c r="G77" t="s">
        <v>289</v>
      </c>
    </row>
    <row r="78" spans="2:6" ht="15">
      <c r="B78" s="321" t="s">
        <v>290</v>
      </c>
      <c r="C78" s="321"/>
      <c r="D78" s="321"/>
      <c r="E78" s="322"/>
      <c r="F78" s="322"/>
    </row>
    <row r="79" spans="2:7" ht="15">
      <c r="B79" s="321" t="s">
        <v>291</v>
      </c>
      <c r="C79" s="321"/>
      <c r="D79" s="321">
        <v>6</v>
      </c>
      <c r="E79" s="324">
        <f>D79/$D$92</f>
        <v>0.0003970091973797393</v>
      </c>
      <c r="F79" s="323">
        <f>E26</f>
        <v>582.4714256098405</v>
      </c>
      <c r="G79" s="356">
        <f>E79*F79</f>
        <v>0.2312465131779953</v>
      </c>
    </row>
    <row r="80" spans="2:7" ht="15">
      <c r="B80" s="321" t="s">
        <v>292</v>
      </c>
      <c r="C80" s="321"/>
      <c r="D80" s="321">
        <v>12</v>
      </c>
      <c r="E80" s="324">
        <f>D80/$D$92</f>
        <v>0.0007940183947594786</v>
      </c>
      <c r="F80" s="323">
        <f>E30</f>
        <v>815.9941261834014</v>
      </c>
      <c r="G80" s="356">
        <f aca="true" t="shared" si="0" ref="G80:G91">E80*F80</f>
        <v>0.6479143462053079</v>
      </c>
    </row>
    <row r="81" spans="2:7" ht="15">
      <c r="B81" s="321" t="s">
        <v>293</v>
      </c>
      <c r="C81" s="321"/>
      <c r="D81" s="321"/>
      <c r="E81" s="324"/>
      <c r="F81" s="322"/>
      <c r="G81" s="356"/>
    </row>
    <row r="82" spans="2:7" ht="15">
      <c r="B82" s="321" t="s">
        <v>291</v>
      </c>
      <c r="C82" s="321"/>
      <c r="D82" s="321">
        <v>510</v>
      </c>
      <c r="E82" s="324">
        <f>D82/$D$92</f>
        <v>0.03374578177727784</v>
      </c>
      <c r="F82" s="323">
        <f>E34</f>
        <v>651.9243314214636</v>
      </c>
      <c r="G82" s="356">
        <f t="shared" si="0"/>
        <v>21.999696223446467</v>
      </c>
    </row>
    <row r="83" spans="2:7" ht="15">
      <c r="B83" s="321" t="s">
        <v>292</v>
      </c>
      <c r="C83" s="321"/>
      <c r="D83" s="321">
        <v>310</v>
      </c>
      <c r="E83" s="324">
        <f>D83/$D$92</f>
        <v>0.020512141864619863</v>
      </c>
      <c r="F83" s="323">
        <f>E38</f>
        <v>894.0747702301154</v>
      </c>
      <c r="G83" s="356">
        <f t="shared" si="0"/>
        <v>18.339388524537537</v>
      </c>
    </row>
    <row r="84" spans="2:7" ht="15">
      <c r="B84" s="321" t="s">
        <v>294</v>
      </c>
      <c r="C84" s="321"/>
      <c r="D84" s="321"/>
      <c r="E84" s="324"/>
      <c r="F84" s="322"/>
      <c r="G84" s="356"/>
    </row>
    <row r="85" spans="2:7" ht="15">
      <c r="B85" s="321" t="s">
        <v>291</v>
      </c>
      <c r="C85" s="321"/>
      <c r="D85" s="321">
        <v>1077</v>
      </c>
      <c r="E85" s="324">
        <f>D85/$D$92</f>
        <v>0.0712631509296632</v>
      </c>
      <c r="F85" s="323">
        <f>E43</f>
        <v>1175.665468868772</v>
      </c>
      <c r="G85" s="356">
        <f t="shared" si="0"/>
        <v>83.78162575078855</v>
      </c>
    </row>
    <row r="86" spans="2:7" ht="15">
      <c r="B86" s="321" t="s">
        <v>292</v>
      </c>
      <c r="C86" s="321"/>
      <c r="D86" s="321">
        <v>7962</v>
      </c>
      <c r="E86" s="324">
        <f>D86/$D$92</f>
        <v>0.526831204922914</v>
      </c>
      <c r="F86" s="323">
        <f>E47</f>
        <v>1652.4529058116234</v>
      </c>
      <c r="G86" s="356">
        <f t="shared" si="0"/>
        <v>870.5637554471081</v>
      </c>
    </row>
    <row r="87" spans="2:7" ht="15">
      <c r="B87" s="321" t="s">
        <v>295</v>
      </c>
      <c r="C87" s="321"/>
      <c r="D87" s="321"/>
      <c r="E87" s="324"/>
      <c r="F87" s="322"/>
      <c r="G87" s="356"/>
    </row>
    <row r="88" spans="2:7" ht="15">
      <c r="B88" s="321" t="s">
        <v>291</v>
      </c>
      <c r="C88" s="321"/>
      <c r="D88" s="321">
        <v>58</v>
      </c>
      <c r="E88" s="324">
        <f>D88/$D$92</f>
        <v>0.003837755574670813</v>
      </c>
      <c r="F88" s="323">
        <f>E56</f>
        <v>3718.131919010435</v>
      </c>
      <c r="G88" s="356">
        <f t="shared" si="0"/>
        <v>14.269281499543785</v>
      </c>
    </row>
    <row r="89" spans="2:7" ht="15">
      <c r="B89" s="321" t="s">
        <v>292</v>
      </c>
      <c r="C89" s="321"/>
      <c r="D89" s="321">
        <v>5164</v>
      </c>
      <c r="E89" s="324">
        <f>D89/$D$92</f>
        <v>0.341692582544829</v>
      </c>
      <c r="F89" s="323">
        <f>E60</f>
        <v>3443.0268813489047</v>
      </c>
      <c r="G89" s="356">
        <f t="shared" si="0"/>
        <v>1176.4567468593757</v>
      </c>
    </row>
    <row r="90" spans="2:7" ht="15">
      <c r="B90" s="321" t="s">
        <v>296</v>
      </c>
      <c r="C90" s="321"/>
      <c r="D90" s="321"/>
      <c r="E90" s="324"/>
      <c r="F90" s="322"/>
      <c r="G90" s="356"/>
    </row>
    <row r="91" spans="2:7" ht="15">
      <c r="B91" s="321" t="s">
        <v>292</v>
      </c>
      <c r="C91" s="321"/>
      <c r="D91" s="321">
        <v>14</v>
      </c>
      <c r="E91" s="324">
        <f>D91/$D$92</f>
        <v>0.0009263547938860583</v>
      </c>
      <c r="F91" s="323">
        <f>E69</f>
        <v>6561.672448344967</v>
      </c>
      <c r="G91" s="356">
        <f t="shared" si="0"/>
        <v>6.07843672843443</v>
      </c>
    </row>
    <row r="92" spans="1:16" ht="15">
      <c r="A92" s="357"/>
      <c r="B92" s="358" t="s">
        <v>297</v>
      </c>
      <c r="C92" s="359">
        <v>0.9915928345081808</v>
      </c>
      <c r="D92" s="358">
        <f>SUM(D79:D91)</f>
        <v>15113</v>
      </c>
      <c r="E92" s="360">
        <f>SUM(E79:E91)</f>
        <v>1</v>
      </c>
      <c r="F92" s="361"/>
      <c r="G92" s="362">
        <f>SUM(G79:G91)</f>
        <v>2192.368091892618</v>
      </c>
      <c r="H92" s="363"/>
      <c r="I92" s="363"/>
      <c r="J92" s="363"/>
      <c r="K92" s="363"/>
      <c r="L92" s="363"/>
      <c r="M92" s="363"/>
      <c r="N92" s="363"/>
      <c r="O92" s="363"/>
      <c r="P92" s="363"/>
    </row>
    <row r="93" spans="2:6" ht="15">
      <c r="B93" s="321"/>
      <c r="C93" s="321"/>
      <c r="D93" s="321"/>
      <c r="E93" s="322"/>
      <c r="F93" s="322"/>
    </row>
    <row r="94" spans="2:6" ht="15">
      <c r="B94" s="321"/>
      <c r="C94" s="321"/>
      <c r="D94" s="321"/>
      <c r="E94" s="322"/>
      <c r="F94" s="322"/>
    </row>
    <row r="95" spans="2:6" ht="15">
      <c r="B95" s="321"/>
      <c r="C95" s="321"/>
      <c r="D95" s="321"/>
      <c r="E95" s="322"/>
      <c r="F95" s="322"/>
    </row>
    <row r="96" spans="2:6" ht="15">
      <c r="B96" s="326" t="s">
        <v>238</v>
      </c>
      <c r="C96" s="321"/>
      <c r="D96" s="321" t="s">
        <v>298</v>
      </c>
      <c r="E96" s="322"/>
      <c r="F96" s="322"/>
    </row>
    <row r="97" spans="2:6" ht="15">
      <c r="B97" s="321" t="s">
        <v>299</v>
      </c>
      <c r="C97" s="321"/>
      <c r="D97" s="321"/>
      <c r="E97" s="322"/>
      <c r="F97" s="322"/>
    </row>
    <row r="98" spans="2:7" ht="15">
      <c r="B98" s="348"/>
      <c r="C98" s="349"/>
      <c r="D98" s="349"/>
      <c r="E98" s="350" t="s">
        <v>281</v>
      </c>
      <c r="F98" s="350" t="s">
        <v>282</v>
      </c>
      <c r="G98" s="351" t="s">
        <v>283</v>
      </c>
    </row>
    <row r="99" spans="2:7" ht="15">
      <c r="B99" s="352" t="s">
        <v>284</v>
      </c>
      <c r="C99" s="353"/>
      <c r="D99" s="353" t="s">
        <v>285</v>
      </c>
      <c r="E99" s="354" t="s">
        <v>285</v>
      </c>
      <c r="F99" s="354" t="s">
        <v>286</v>
      </c>
      <c r="G99" s="355" t="s">
        <v>287</v>
      </c>
    </row>
    <row r="100" spans="2:7" ht="15">
      <c r="B100" s="321"/>
      <c r="C100" s="321"/>
      <c r="D100" s="321"/>
      <c r="E100" s="322"/>
      <c r="F100" s="322"/>
      <c r="G100" t="s">
        <v>289</v>
      </c>
    </row>
    <row r="101" spans="2:6" ht="15">
      <c r="B101" s="321" t="s">
        <v>300</v>
      </c>
      <c r="C101" s="321"/>
      <c r="D101" s="321"/>
      <c r="E101" s="322"/>
      <c r="F101" s="322"/>
    </row>
    <row r="102" spans="2:6" ht="15">
      <c r="B102" s="321" t="s">
        <v>301</v>
      </c>
      <c r="C102" s="321"/>
      <c r="D102" s="321"/>
      <c r="E102" s="322"/>
      <c r="F102" s="322"/>
    </row>
    <row r="103" spans="2:7" ht="15">
      <c r="B103" s="321" t="s">
        <v>291</v>
      </c>
      <c r="C103" s="321"/>
      <c r="D103" s="321">
        <v>0</v>
      </c>
      <c r="E103" s="324">
        <f>D103/$D$109</f>
        <v>0</v>
      </c>
      <c r="F103" s="323">
        <f>F56</f>
        <v>3718.619567962362</v>
      </c>
      <c r="G103" s="356">
        <f>F103*E103</f>
        <v>0</v>
      </c>
    </row>
    <row r="104" spans="2:7" ht="15">
      <c r="B104" s="321" t="s">
        <v>292</v>
      </c>
      <c r="C104" s="321"/>
      <c r="D104" s="321">
        <v>25</v>
      </c>
      <c r="E104" s="324">
        <f>D104/$D$109</f>
        <v>0.12315270935960591</v>
      </c>
      <c r="F104" s="323">
        <f>F60</f>
        <v>3443.3610223793357</v>
      </c>
      <c r="G104" s="356">
        <f>F104*E104</f>
        <v>424.0592392092778</v>
      </c>
    </row>
    <row r="105" spans="2:7" ht="15">
      <c r="B105" s="321" t="s">
        <v>302</v>
      </c>
      <c r="C105" s="321"/>
      <c r="D105" s="321"/>
      <c r="E105" s="324"/>
      <c r="F105" s="322"/>
      <c r="G105" s="356"/>
    </row>
    <row r="106" spans="2:7" ht="15">
      <c r="B106" s="321" t="s">
        <v>291</v>
      </c>
      <c r="C106" s="321"/>
      <c r="D106" s="321">
        <v>0</v>
      </c>
      <c r="E106" s="324">
        <f>D106/$D$109</f>
        <v>0</v>
      </c>
      <c r="F106" s="323">
        <f>F69</f>
        <v>6555.364028379337</v>
      </c>
      <c r="G106" s="356">
        <f>F106*E106</f>
        <v>0</v>
      </c>
    </row>
    <row r="107" spans="2:7" ht="15">
      <c r="B107" s="321" t="s">
        <v>292</v>
      </c>
      <c r="C107" s="321"/>
      <c r="D107" s="321">
        <v>178</v>
      </c>
      <c r="E107" s="324">
        <f>D107/$D$109</f>
        <v>0.8768472906403941</v>
      </c>
      <c r="F107" s="323">
        <f>F69</f>
        <v>6555.364028379337</v>
      </c>
      <c r="G107" s="356">
        <f>F107*E107</f>
        <v>5748.053187445921</v>
      </c>
    </row>
    <row r="108" spans="2:6" ht="15">
      <c r="B108" s="321"/>
      <c r="C108" s="321"/>
      <c r="D108" s="321"/>
      <c r="E108" s="322"/>
      <c r="F108" s="322"/>
    </row>
    <row r="109" spans="2:7" ht="15">
      <c r="B109" s="326" t="s">
        <v>303</v>
      </c>
      <c r="C109" s="326">
        <v>0.718978102189781</v>
      </c>
      <c r="D109" s="326">
        <f>SUM(D103:D107)</f>
        <v>203</v>
      </c>
      <c r="E109" s="364">
        <f>SUM(E103:E107)</f>
        <v>1</v>
      </c>
      <c r="F109" s="365"/>
      <c r="G109" s="366">
        <f>SUM(G103:G107)</f>
        <v>6172.112426655199</v>
      </c>
    </row>
    <row r="110" spans="2:6" ht="15">
      <c r="B110" s="321"/>
      <c r="C110" s="321"/>
      <c r="D110" s="321"/>
      <c r="E110" s="322"/>
      <c r="F110" s="322"/>
    </row>
    <row r="111" spans="2:6" ht="15">
      <c r="B111" s="321"/>
      <c r="C111" s="321"/>
      <c r="D111" s="321"/>
      <c r="E111" s="322"/>
      <c r="F111" s="322"/>
    </row>
    <row r="112" spans="2:6" ht="15">
      <c r="B112" s="326" t="s">
        <v>239</v>
      </c>
      <c r="C112" s="321"/>
      <c r="D112" s="321" t="s">
        <v>298</v>
      </c>
      <c r="E112" s="322"/>
      <c r="F112" s="322"/>
    </row>
    <row r="113" spans="2:6" ht="15">
      <c r="B113" s="321" t="s">
        <v>299</v>
      </c>
      <c r="C113" s="321"/>
      <c r="D113" s="321"/>
      <c r="E113" s="322"/>
      <c r="F113" s="322"/>
    </row>
    <row r="114" spans="2:7" ht="15">
      <c r="B114" s="348"/>
      <c r="C114" s="349"/>
      <c r="D114" s="349"/>
      <c r="E114" s="350" t="s">
        <v>281</v>
      </c>
      <c r="F114" s="350" t="s">
        <v>282</v>
      </c>
      <c r="G114" s="351" t="s">
        <v>283</v>
      </c>
    </row>
    <row r="115" spans="2:7" ht="15">
      <c r="B115" s="352" t="s">
        <v>284</v>
      </c>
      <c r="C115" s="353"/>
      <c r="D115" s="353" t="s">
        <v>285</v>
      </c>
      <c r="E115" s="354" t="s">
        <v>285</v>
      </c>
      <c r="F115" s="354" t="s">
        <v>286</v>
      </c>
      <c r="G115" s="355" t="s">
        <v>287</v>
      </c>
    </row>
    <row r="116" spans="2:7" ht="15">
      <c r="B116" s="321"/>
      <c r="C116" s="321"/>
      <c r="D116" s="321"/>
      <c r="E116" s="322"/>
      <c r="F116" s="322"/>
      <c r="G116" t="s">
        <v>289</v>
      </c>
    </row>
    <row r="117" spans="2:6" ht="15">
      <c r="B117" s="321" t="s">
        <v>300</v>
      </c>
      <c r="C117" s="321"/>
      <c r="D117" s="321"/>
      <c r="E117" s="322"/>
      <c r="F117" s="322"/>
    </row>
    <row r="118" spans="2:6" ht="15">
      <c r="B118" s="321" t="s">
        <v>290</v>
      </c>
      <c r="C118" s="321"/>
      <c r="D118" s="321"/>
      <c r="E118" s="322"/>
      <c r="F118" s="322"/>
    </row>
    <row r="119" spans="2:7" ht="15">
      <c r="B119" s="321" t="s">
        <v>304</v>
      </c>
      <c r="C119" s="321"/>
      <c r="D119" s="367">
        <v>208</v>
      </c>
      <c r="E119" s="324">
        <f>D119/$D$133</f>
        <v>0.0726764500349406</v>
      </c>
      <c r="F119" s="323">
        <f>G26</f>
        <v>589.6281669150521</v>
      </c>
      <c r="G119" s="356">
        <f>E119*F119</f>
        <v>42.8520820119954</v>
      </c>
    </row>
    <row r="120" spans="2:7" ht="15">
      <c r="B120" s="321" t="s">
        <v>305</v>
      </c>
      <c r="C120" s="321"/>
      <c r="D120" s="367">
        <v>169</v>
      </c>
      <c r="E120" s="324">
        <f aca="true" t="shared" si="1" ref="E120:E132">D120/$D$133</f>
        <v>0.05904961565338924</v>
      </c>
      <c r="F120" s="323">
        <f>G30</f>
        <v>795.3658718330851</v>
      </c>
      <c r="G120" s="356">
        <f aca="true" t="shared" si="2" ref="G120:G132">E120*F120</f>
        <v>46.96604903556652</v>
      </c>
    </row>
    <row r="121" spans="2:7" ht="15">
      <c r="B121" s="321" t="s">
        <v>293</v>
      </c>
      <c r="C121" s="321"/>
      <c r="D121" s="367"/>
      <c r="E121" s="324"/>
      <c r="F121" s="322"/>
      <c r="G121" s="356"/>
    </row>
    <row r="122" spans="2:7" ht="15">
      <c r="B122" s="321" t="s">
        <v>304</v>
      </c>
      <c r="C122" s="321"/>
      <c r="D122" s="367">
        <v>488</v>
      </c>
      <c r="E122" s="324">
        <f t="shared" si="1"/>
        <v>0.17051013277428373</v>
      </c>
      <c r="F122" s="323">
        <f>G34</f>
        <v>744.5409836065573</v>
      </c>
      <c r="G122" s="356">
        <f t="shared" si="2"/>
        <v>126.9517819706499</v>
      </c>
    </row>
    <row r="123" spans="2:7" ht="15">
      <c r="B123" s="321" t="s">
        <v>305</v>
      </c>
      <c r="C123" s="321"/>
      <c r="D123" s="367">
        <v>887</v>
      </c>
      <c r="E123" s="324">
        <f t="shared" si="1"/>
        <v>0.30992313067784766</v>
      </c>
      <c r="F123" s="323">
        <f>G38</f>
        <v>941.6460506706409</v>
      </c>
      <c r="G123" s="356">
        <f t="shared" si="2"/>
        <v>291.8378920142762</v>
      </c>
    </row>
    <row r="124" spans="2:7" ht="15">
      <c r="B124" s="321" t="s">
        <v>294</v>
      </c>
      <c r="C124" s="321"/>
      <c r="D124" s="367"/>
      <c r="E124" s="324"/>
      <c r="F124" s="323"/>
      <c r="G124" s="356"/>
    </row>
    <row r="125" spans="2:7" ht="15">
      <c r="B125" s="321" t="s">
        <v>304</v>
      </c>
      <c r="C125" s="321"/>
      <c r="D125" s="367">
        <v>19</v>
      </c>
      <c r="E125" s="324">
        <f t="shared" si="1"/>
        <v>0.006638714185883997</v>
      </c>
      <c r="F125" s="323">
        <f>G43</f>
        <v>1362.5827123695976</v>
      </c>
      <c r="G125" s="356">
        <f t="shared" si="2"/>
        <v>9.045797182048341</v>
      </c>
    </row>
    <row r="126" spans="2:7" ht="15">
      <c r="B126" s="321" t="s">
        <v>305</v>
      </c>
      <c r="C126" s="321"/>
      <c r="D126" s="367">
        <v>729</v>
      </c>
      <c r="E126" s="324">
        <f t="shared" si="1"/>
        <v>0.25471698113207547</v>
      </c>
      <c r="F126" s="323">
        <f>G47</f>
        <v>1737.9128166915052</v>
      </c>
      <c r="G126" s="356">
        <f t="shared" si="2"/>
        <v>442.6759061384023</v>
      </c>
    </row>
    <row r="127" spans="2:7" ht="15">
      <c r="B127" s="321" t="s">
        <v>295</v>
      </c>
      <c r="C127" s="321"/>
      <c r="D127" s="367"/>
      <c r="E127" s="324"/>
      <c r="F127" s="323"/>
      <c r="G127" s="356"/>
    </row>
    <row r="128" spans="2:7" ht="15">
      <c r="B128" s="321" t="s">
        <v>304</v>
      </c>
      <c r="C128" s="321"/>
      <c r="D128" s="367">
        <v>1</v>
      </c>
      <c r="E128" s="324">
        <f t="shared" si="1"/>
        <v>0.00034940600978336826</v>
      </c>
      <c r="F128" s="323">
        <f>G56</f>
        <v>3751.3897168405365</v>
      </c>
      <c r="G128" s="356">
        <f t="shared" si="2"/>
        <v>1.3107581121036116</v>
      </c>
    </row>
    <row r="129" spans="2:7" ht="15">
      <c r="B129" s="321" t="s">
        <v>305</v>
      </c>
      <c r="C129" s="321"/>
      <c r="D129" s="367">
        <v>359</v>
      </c>
      <c r="E129" s="324">
        <f t="shared" si="1"/>
        <v>0.1254367575122292</v>
      </c>
      <c r="F129" s="323">
        <f>G60</f>
        <v>3465.760059612519</v>
      </c>
      <c r="G129" s="356">
        <f t="shared" si="2"/>
        <v>434.7337041931846</v>
      </c>
    </row>
    <row r="130" spans="2:7" ht="15">
      <c r="B130" s="368" t="s">
        <v>296</v>
      </c>
      <c r="C130" s="321"/>
      <c r="D130" s="367"/>
      <c r="E130" s="324"/>
      <c r="F130" s="323"/>
      <c r="G130" s="356"/>
    </row>
    <row r="131" spans="2:7" ht="15">
      <c r="B131" s="321" t="s">
        <v>304</v>
      </c>
      <c r="C131" s="321"/>
      <c r="D131" s="367">
        <v>0</v>
      </c>
      <c r="E131" s="324">
        <f t="shared" si="1"/>
        <v>0</v>
      </c>
      <c r="F131" s="323">
        <f>G69</f>
        <v>6128.058122205664</v>
      </c>
      <c r="G131" s="356">
        <f t="shared" si="2"/>
        <v>0</v>
      </c>
    </row>
    <row r="132" spans="2:7" ht="15">
      <c r="B132" s="321" t="s">
        <v>305</v>
      </c>
      <c r="C132" s="321"/>
      <c r="D132" s="367">
        <v>2</v>
      </c>
      <c r="E132" s="324">
        <f t="shared" si="1"/>
        <v>0.0006988120195667365</v>
      </c>
      <c r="F132" s="323">
        <f>G69</f>
        <v>6128.058122205664</v>
      </c>
      <c r="G132" s="356">
        <f t="shared" si="2"/>
        <v>4.282360672400883</v>
      </c>
    </row>
    <row r="133" spans="2:7" ht="15">
      <c r="B133" s="326" t="s">
        <v>303</v>
      </c>
      <c r="C133" s="326">
        <v>0.718978102189781</v>
      </c>
      <c r="D133" s="369">
        <f>SUM(D119:D132)</f>
        <v>2862</v>
      </c>
      <c r="E133" s="364">
        <f>SUM(E119:E132)</f>
        <v>1</v>
      </c>
      <c r="F133" s="365"/>
      <c r="G133" s="366">
        <f>SUM(G119:G132)</f>
        <v>1400.6563313306278</v>
      </c>
    </row>
    <row r="134" spans="2:6" ht="15">
      <c r="B134" s="321"/>
      <c r="C134" s="321"/>
      <c r="D134" s="321"/>
      <c r="E134" s="322"/>
      <c r="F134" s="322"/>
    </row>
    <row r="135" spans="2:6" ht="15">
      <c r="B135" s="321"/>
      <c r="C135" s="321"/>
      <c r="D135" s="321"/>
      <c r="E135" s="322"/>
      <c r="F135" s="322"/>
    </row>
    <row r="136" spans="2:6" ht="15">
      <c r="B136" s="321"/>
      <c r="C136" s="321"/>
      <c r="D136" s="321"/>
      <c r="E136" s="322"/>
      <c r="F136" s="322"/>
    </row>
    <row r="137" spans="2:6" ht="15">
      <c r="B137" s="326" t="s">
        <v>240</v>
      </c>
      <c r="C137" s="321"/>
      <c r="D137" s="321" t="s">
        <v>306</v>
      </c>
      <c r="E137" s="322"/>
      <c r="F137" s="322"/>
    </row>
    <row r="138" spans="2:6" ht="15">
      <c r="B138" s="321" t="s">
        <v>299</v>
      </c>
      <c r="C138" s="321"/>
      <c r="D138" s="321"/>
      <c r="E138" s="322"/>
      <c r="F138" s="322"/>
    </row>
    <row r="139" spans="2:7" ht="15">
      <c r="B139" s="348"/>
      <c r="C139" s="349"/>
      <c r="D139" s="349"/>
      <c r="E139" s="350" t="s">
        <v>281</v>
      </c>
      <c r="F139" s="350" t="s">
        <v>282</v>
      </c>
      <c r="G139" s="351" t="s">
        <v>283</v>
      </c>
    </row>
    <row r="140" spans="2:7" ht="15">
      <c r="B140" s="352" t="s">
        <v>284</v>
      </c>
      <c r="C140" s="353"/>
      <c r="D140" s="353" t="s">
        <v>285</v>
      </c>
      <c r="E140" s="354" t="s">
        <v>285</v>
      </c>
      <c r="F140" s="354" t="s">
        <v>286</v>
      </c>
      <c r="G140" s="355" t="s">
        <v>287</v>
      </c>
    </row>
    <row r="141" spans="2:7" ht="15">
      <c r="B141" s="321" t="s">
        <v>307</v>
      </c>
      <c r="C141" s="321"/>
      <c r="D141" s="321"/>
      <c r="E141" s="322"/>
      <c r="F141" s="322"/>
      <c r="G141" t="s">
        <v>289</v>
      </c>
    </row>
    <row r="142" spans="2:6" ht="15">
      <c r="B142" s="321" t="s">
        <v>290</v>
      </c>
      <c r="C142" s="321"/>
      <c r="D142" s="321"/>
      <c r="E142" s="322"/>
      <c r="F142" s="322"/>
    </row>
    <row r="143" spans="2:7" ht="15">
      <c r="B143" s="321" t="s">
        <v>304</v>
      </c>
      <c r="C143" s="321"/>
      <c r="D143" s="367">
        <v>46956</v>
      </c>
      <c r="E143" s="324">
        <f>D143/$D$154</f>
        <v>0.5880010518802359</v>
      </c>
      <c r="F143" s="323">
        <f>H26</f>
        <v>585.1194728244317</v>
      </c>
      <c r="G143" s="356">
        <f>F143*E143</f>
        <v>344.0508654963749</v>
      </c>
    </row>
    <row r="144" spans="2:7" ht="15">
      <c r="B144" s="321" t="s">
        <v>305</v>
      </c>
      <c r="C144" s="321"/>
      <c r="D144" s="367">
        <v>18563</v>
      </c>
      <c r="E144" s="324">
        <f aca="true" t="shared" si="3" ref="E144:E153">D144/$D$154</f>
        <v>0.23245300975493696</v>
      </c>
      <c r="F144" s="323">
        <f>H30</f>
        <v>808.3615195060497</v>
      </c>
      <c r="G144" s="356">
        <f aca="true" t="shared" si="4" ref="G144:G153">F144*E144</f>
        <v>187.90606817925544</v>
      </c>
    </row>
    <row r="145" spans="2:7" ht="15">
      <c r="B145" s="321" t="s">
        <v>293</v>
      </c>
      <c r="C145" s="321"/>
      <c r="D145" s="367"/>
      <c r="E145" s="324"/>
      <c r="F145" s="322"/>
      <c r="G145" s="356"/>
    </row>
    <row r="146" spans="2:7" ht="15">
      <c r="B146" s="321" t="s">
        <v>304</v>
      </c>
      <c r="C146" s="321"/>
      <c r="D146" s="367">
        <v>4362</v>
      </c>
      <c r="E146" s="324">
        <f t="shared" si="3"/>
        <v>0.05462263796536309</v>
      </c>
      <c r="F146" s="323">
        <f>H34</f>
        <v>686.1931777279397</v>
      </c>
      <c r="G146" s="356">
        <f t="shared" si="4"/>
        <v>37.4816815213353</v>
      </c>
    </row>
    <row r="147" spans="2:7" ht="15">
      <c r="B147" s="321" t="s">
        <v>305</v>
      </c>
      <c r="C147" s="321"/>
      <c r="D147" s="367">
        <v>9881</v>
      </c>
      <c r="E147" s="324">
        <f t="shared" si="3"/>
        <v>0.12373367394217163</v>
      </c>
      <c r="F147" s="323">
        <f>H38</f>
        <v>911.6764958329873</v>
      </c>
      <c r="G147" s="356">
        <f t="shared" si="4"/>
        <v>112.80508227614044</v>
      </c>
    </row>
    <row r="148" spans="2:7" ht="15">
      <c r="B148" s="321" t="s">
        <v>308</v>
      </c>
      <c r="C148" s="321"/>
      <c r="D148" s="367"/>
      <c r="E148" s="324"/>
      <c r="G148" s="356"/>
    </row>
    <row r="149" spans="2:7" ht="15">
      <c r="B149" s="321" t="s">
        <v>304</v>
      </c>
      <c r="C149" s="321"/>
      <c r="D149" s="367">
        <v>4</v>
      </c>
      <c r="E149" s="324">
        <f t="shared" si="3"/>
        <v>5.0089535043890955E-05</v>
      </c>
      <c r="F149" s="323">
        <f>H43</f>
        <v>1244.826231414569</v>
      </c>
      <c r="G149" s="356">
        <f t="shared" si="4"/>
        <v>0.06235276714199477</v>
      </c>
    </row>
    <row r="150" spans="2:7" ht="15">
      <c r="B150" s="321" t="s">
        <v>305</v>
      </c>
      <c r="C150" s="321"/>
      <c r="D150" s="367">
        <v>66</v>
      </c>
      <c r="E150" s="324">
        <f t="shared" si="3"/>
        <v>0.0008264773282242008</v>
      </c>
      <c r="F150" s="323">
        <f>H47</f>
        <v>1684.0737049035079</v>
      </c>
      <c r="G150" s="356">
        <f t="shared" si="4"/>
        <v>1.3918487361612824</v>
      </c>
    </row>
    <row r="151" spans="2:7" ht="15">
      <c r="B151" s="321" t="s">
        <v>309</v>
      </c>
      <c r="C151" s="321"/>
      <c r="D151" s="367"/>
      <c r="E151" s="324"/>
      <c r="F151" s="322"/>
      <c r="G151" s="356"/>
    </row>
    <row r="152" spans="2:7" ht="15">
      <c r="B152" s="321" t="s">
        <v>304</v>
      </c>
      <c r="C152" s="321"/>
      <c r="D152" s="367">
        <v>0</v>
      </c>
      <c r="E152" s="324">
        <f t="shared" si="3"/>
        <v>0</v>
      </c>
      <c r="F152" s="323">
        <f>H56</f>
        <v>3730.437550184123</v>
      </c>
      <c r="G152" s="356">
        <f t="shared" si="4"/>
        <v>0</v>
      </c>
    </row>
    <row r="153" spans="2:7" ht="15">
      <c r="B153" s="321" t="s">
        <v>305</v>
      </c>
      <c r="C153" s="321"/>
      <c r="D153" s="367">
        <v>25</v>
      </c>
      <c r="E153" s="324">
        <f t="shared" si="3"/>
        <v>0.0003130595940243185</v>
      </c>
      <c r="F153" s="323">
        <f>H60</f>
        <v>3451.438325442312</v>
      </c>
      <c r="G153" s="356">
        <f t="shared" si="4"/>
        <v>1.0805058809629438</v>
      </c>
    </row>
    <row r="154" spans="2:7" ht="15">
      <c r="B154" s="326" t="s">
        <v>297</v>
      </c>
      <c r="C154" s="326">
        <v>0.9995755011076768</v>
      </c>
      <c r="D154" s="369">
        <f>SUM(D143:D153)</f>
        <v>79857</v>
      </c>
      <c r="E154" s="364">
        <f>SUM(E143:E153)</f>
        <v>0.9999999999999999</v>
      </c>
      <c r="F154" s="365"/>
      <c r="G154" s="366">
        <f>SUM(G143:G153)</f>
        <v>684.7784048573723</v>
      </c>
    </row>
    <row r="155" spans="2:6" ht="15">
      <c r="B155" s="321"/>
      <c r="C155" s="321"/>
      <c r="D155" s="321"/>
      <c r="E155" s="322"/>
      <c r="F155" s="322"/>
    </row>
    <row r="156" spans="2:5" ht="15">
      <c r="B156" s="321"/>
      <c r="C156" s="321"/>
      <c r="D156" s="321"/>
      <c r="E156" s="322"/>
    </row>
    <row r="159" spans="2:8" ht="15">
      <c r="B159" s="321"/>
      <c r="C159" s="321"/>
      <c r="D159" s="321" t="s">
        <v>310</v>
      </c>
      <c r="E159" s="321"/>
      <c r="F159" s="321"/>
      <c r="G159" s="321"/>
      <c r="H159" s="321"/>
    </row>
    <row r="160" spans="2:8" ht="15">
      <c r="B160" s="321" t="s">
        <v>311</v>
      </c>
      <c r="C160" s="321"/>
      <c r="D160" s="321"/>
      <c r="E160" s="321"/>
      <c r="F160" s="321"/>
      <c r="G160" s="321"/>
      <c r="H160" s="321"/>
    </row>
    <row r="161" spans="2:6" ht="15">
      <c r="B161" s="348"/>
      <c r="C161" s="349"/>
      <c r="D161" s="349"/>
      <c r="E161" s="349" t="s">
        <v>219</v>
      </c>
      <c r="F161" s="370" t="s">
        <v>312</v>
      </c>
    </row>
    <row r="162" spans="2:6" ht="15">
      <c r="B162" s="371"/>
      <c r="C162" s="372" t="s">
        <v>313</v>
      </c>
      <c r="D162" s="372"/>
      <c r="E162" s="372" t="s">
        <v>314</v>
      </c>
      <c r="F162" s="373" t="s">
        <v>314</v>
      </c>
    </row>
    <row r="163" spans="2:6" ht="15">
      <c r="B163" s="352" t="s">
        <v>315</v>
      </c>
      <c r="C163" s="353" t="s">
        <v>316</v>
      </c>
      <c r="D163" s="353" t="s">
        <v>317</v>
      </c>
      <c r="E163" s="353" t="s">
        <v>286</v>
      </c>
      <c r="F163" s="374" t="s">
        <v>286</v>
      </c>
    </row>
    <row r="164" spans="2:6" ht="15">
      <c r="B164" s="321"/>
      <c r="C164" s="321"/>
      <c r="D164" s="321"/>
      <c r="E164" s="321"/>
      <c r="F164" s="321"/>
    </row>
    <row r="165" spans="2:6" ht="15">
      <c r="B165" s="321" t="s">
        <v>217</v>
      </c>
      <c r="C165" s="321"/>
      <c r="D165" s="321"/>
      <c r="E165" s="321"/>
      <c r="F165" s="321"/>
    </row>
    <row r="166" spans="2:6" ht="15">
      <c r="B166" s="321" t="s">
        <v>318</v>
      </c>
      <c r="C166" s="321">
        <v>1</v>
      </c>
      <c r="D166" s="367">
        <v>688023.73805045</v>
      </c>
      <c r="E166" s="375">
        <f>F17</f>
        <v>453.0106256878558</v>
      </c>
      <c r="F166" s="376">
        <f>D166*E166</f>
        <v>311682064.06233174</v>
      </c>
    </row>
    <row r="167" spans="2:6" ht="15">
      <c r="B167" s="321" t="s">
        <v>319</v>
      </c>
      <c r="C167" s="321">
        <v>1</v>
      </c>
      <c r="D167" s="367">
        <v>367.09528288001</v>
      </c>
      <c r="E167" s="375">
        <f>E166</f>
        <v>453.0106256878558</v>
      </c>
      <c r="F167" s="376">
        <f>D167*E167</f>
        <v>166298.06378453376</v>
      </c>
    </row>
    <row r="168" spans="2:6" ht="15">
      <c r="B168" s="321" t="s">
        <v>320</v>
      </c>
      <c r="C168" s="321">
        <v>1</v>
      </c>
      <c r="D168" s="367">
        <v>31441</v>
      </c>
      <c r="E168" s="375">
        <f>E166</f>
        <v>453.0106256878558</v>
      </c>
      <c r="F168" s="376">
        <f>D168*E168</f>
        <v>14243107.082251875</v>
      </c>
    </row>
    <row r="169" spans="2:6" ht="15">
      <c r="B169" s="321" t="s">
        <v>321</v>
      </c>
      <c r="C169" s="321">
        <v>25</v>
      </c>
      <c r="D169" s="367">
        <v>8</v>
      </c>
      <c r="E169" s="321">
        <v>0</v>
      </c>
      <c r="F169" s="376">
        <f>D169*E169</f>
        <v>0</v>
      </c>
    </row>
    <row r="170" spans="2:6" ht="15">
      <c r="B170" s="321" t="s">
        <v>322</v>
      </c>
      <c r="C170" s="321">
        <v>25</v>
      </c>
      <c r="D170" s="367">
        <v>3</v>
      </c>
      <c r="E170" s="321">
        <v>0</v>
      </c>
      <c r="F170" s="376">
        <f>D170*E170</f>
        <v>0</v>
      </c>
    </row>
    <row r="171" spans="2:6" ht="15">
      <c r="B171" s="377" t="s">
        <v>323</v>
      </c>
      <c r="C171" s="377"/>
      <c r="D171" s="378">
        <f>SUM(D166:D170)</f>
        <v>719842.83333333</v>
      </c>
      <c r="E171" s="377"/>
      <c r="F171" s="379">
        <f>SUM(F166:F170)</f>
        <v>326091469.2083681</v>
      </c>
    </row>
    <row r="172" spans="2:6" ht="15">
      <c r="B172" s="321"/>
      <c r="C172" s="321"/>
      <c r="D172" s="367"/>
      <c r="E172" s="321"/>
      <c r="F172" s="321"/>
    </row>
    <row r="173" spans="2:6" ht="15">
      <c r="B173" s="321" t="s">
        <v>324</v>
      </c>
      <c r="C173" s="321"/>
      <c r="D173" s="321"/>
      <c r="E173" s="321"/>
      <c r="F173" s="321"/>
    </row>
    <row r="174" spans="2:6" ht="15">
      <c r="B174" s="321" t="s">
        <v>325</v>
      </c>
      <c r="C174" s="321">
        <v>6</v>
      </c>
      <c r="D174" s="367">
        <v>13710.0595970169</v>
      </c>
      <c r="E174" s="375">
        <f>G92</f>
        <v>2192.368091892618</v>
      </c>
      <c r="F174" s="376">
        <f>D174*E174</f>
        <v>30057497.198446013</v>
      </c>
    </row>
    <row r="175" spans="2:6" ht="15">
      <c r="B175" s="321" t="s">
        <v>326</v>
      </c>
      <c r="C175" s="321">
        <v>6</v>
      </c>
      <c r="D175" s="367">
        <v>156.940402983122</v>
      </c>
      <c r="E175" s="321">
        <v>0</v>
      </c>
      <c r="F175" s="376">
        <f aca="true" t="shared" si="5" ref="F175:F180">D175*E175</f>
        <v>0</v>
      </c>
    </row>
    <row r="176" spans="2:6" ht="15">
      <c r="B176" s="321" t="s">
        <v>327</v>
      </c>
      <c r="C176" s="321">
        <v>8</v>
      </c>
      <c r="D176" s="367">
        <v>119.047457627119</v>
      </c>
      <c r="E176" s="375">
        <f>G109</f>
        <v>6172.112426655199</v>
      </c>
      <c r="F176" s="376">
        <f t="shared" si="5"/>
        <v>734774.2925820494</v>
      </c>
    </row>
    <row r="177" spans="2:6" ht="15">
      <c r="B177" s="321" t="s">
        <v>328</v>
      </c>
      <c r="C177" s="321">
        <v>8</v>
      </c>
      <c r="D177" s="367">
        <v>53.9525423728814</v>
      </c>
      <c r="E177" s="321">
        <v>0</v>
      </c>
      <c r="F177" s="376">
        <f t="shared" si="5"/>
        <v>0</v>
      </c>
    </row>
    <row r="178" spans="2:6" ht="15">
      <c r="B178" s="321" t="s">
        <v>329</v>
      </c>
      <c r="C178" s="321">
        <v>9</v>
      </c>
      <c r="D178" s="367">
        <v>27</v>
      </c>
      <c r="E178" s="321">
        <v>0</v>
      </c>
      <c r="F178" s="376">
        <f t="shared" si="5"/>
        <v>0</v>
      </c>
    </row>
    <row r="179" spans="2:6" ht="15">
      <c r="B179" s="321" t="s">
        <v>330</v>
      </c>
      <c r="C179" s="321">
        <v>23</v>
      </c>
      <c r="D179" s="367">
        <v>76325.0345168517</v>
      </c>
      <c r="E179" s="375">
        <f>G154</f>
        <v>684.7784048573723</v>
      </c>
      <c r="F179" s="376">
        <f t="shared" si="5"/>
        <v>52265735.38713358</v>
      </c>
    </row>
    <row r="180" spans="2:6" ht="15">
      <c r="B180" s="321" t="s">
        <v>331</v>
      </c>
      <c r="C180" s="321">
        <v>23</v>
      </c>
      <c r="D180" s="367">
        <v>43.9654831483173</v>
      </c>
      <c r="E180" s="321">
        <v>0</v>
      </c>
      <c r="F180" s="376">
        <f t="shared" si="5"/>
        <v>0</v>
      </c>
    </row>
    <row r="181" spans="2:6" ht="15">
      <c r="B181" s="377" t="s">
        <v>332</v>
      </c>
      <c r="C181" s="377"/>
      <c r="D181" s="378">
        <f>SUM(D174:D180)</f>
        <v>90436.00000000003</v>
      </c>
      <c r="E181" s="377"/>
      <c r="F181" s="379">
        <f>SUM(F174:F180)</f>
        <v>83058006.87816164</v>
      </c>
    </row>
    <row r="182" spans="2:6" ht="15">
      <c r="B182" s="321"/>
      <c r="C182" s="321"/>
      <c r="D182" s="380"/>
      <c r="E182" s="321"/>
      <c r="F182" s="321"/>
    </row>
    <row r="183" spans="2:6" ht="15">
      <c r="B183" s="321" t="s">
        <v>333</v>
      </c>
      <c r="C183" s="321"/>
      <c r="D183" s="321"/>
      <c r="E183" s="321"/>
      <c r="F183" s="321"/>
    </row>
    <row r="184" spans="2:6" ht="15">
      <c r="B184" s="321" t="s">
        <v>325</v>
      </c>
      <c r="C184" s="321">
        <v>6</v>
      </c>
      <c r="D184" s="367">
        <v>1398.98567316499</v>
      </c>
      <c r="E184" s="375">
        <f>G92</f>
        <v>2192.368091892618</v>
      </c>
      <c r="F184" s="376">
        <f>D184*E184</f>
        <v>3067091.5508618387</v>
      </c>
    </row>
    <row r="185" spans="2:6" ht="15">
      <c r="B185" s="321" t="s">
        <v>326</v>
      </c>
      <c r="C185" s="321">
        <v>6</v>
      </c>
      <c r="D185" s="367">
        <v>16.0143268350124</v>
      </c>
      <c r="E185" s="321">
        <v>0</v>
      </c>
      <c r="F185" s="376">
        <f aca="true" t="shared" si="6" ref="F185:F193">D185*E185</f>
        <v>0</v>
      </c>
    </row>
    <row r="186" spans="2:6" ht="15">
      <c r="B186" s="321" t="s">
        <v>327</v>
      </c>
      <c r="C186" s="321">
        <v>8</v>
      </c>
      <c r="D186" s="367">
        <v>83.9525423728814</v>
      </c>
      <c r="E186" s="375">
        <f>G109</f>
        <v>6172.112426655199</v>
      </c>
      <c r="F186" s="376">
        <f t="shared" si="6"/>
        <v>518164.5300289584</v>
      </c>
    </row>
    <row r="187" spans="2:6" ht="15">
      <c r="B187" s="321" t="s">
        <v>328</v>
      </c>
      <c r="C187" s="321">
        <v>8</v>
      </c>
      <c r="D187" s="367">
        <v>38.0474576271186</v>
      </c>
      <c r="E187" s="321">
        <v>0</v>
      </c>
      <c r="F187" s="376">
        <f t="shared" si="6"/>
        <v>0</v>
      </c>
    </row>
    <row r="188" spans="2:6" ht="15">
      <c r="B188" s="321" t="s">
        <v>329</v>
      </c>
      <c r="C188" s="321">
        <v>9</v>
      </c>
      <c r="D188" s="367">
        <v>129</v>
      </c>
      <c r="E188" s="321">
        <v>0</v>
      </c>
      <c r="F188" s="376">
        <f t="shared" si="6"/>
        <v>0</v>
      </c>
    </row>
    <row r="189" spans="2:6" ht="15">
      <c r="B189" s="321" t="s">
        <v>330</v>
      </c>
      <c r="C189" s="321">
        <v>23</v>
      </c>
      <c r="D189" s="367">
        <v>3530.96605884635</v>
      </c>
      <c r="E189" s="375">
        <f>G154</f>
        <v>684.7784048573723</v>
      </c>
      <c r="F189" s="376">
        <f t="shared" si="6"/>
        <v>2417929.305382326</v>
      </c>
    </row>
    <row r="190" spans="2:6" ht="15">
      <c r="B190" s="321" t="s">
        <v>331</v>
      </c>
      <c r="C190" s="321">
        <v>23</v>
      </c>
      <c r="D190" s="367">
        <v>2.0339411536488</v>
      </c>
      <c r="E190" s="375">
        <v>0</v>
      </c>
      <c r="F190" s="376">
        <f t="shared" si="6"/>
        <v>0</v>
      </c>
    </row>
    <row r="191" spans="2:6" ht="15">
      <c r="B191" s="321" t="s">
        <v>334</v>
      </c>
      <c r="C191" s="321" t="s">
        <v>335</v>
      </c>
      <c r="D191" s="367">
        <v>1</v>
      </c>
      <c r="E191" s="375">
        <v>0</v>
      </c>
      <c r="F191" s="376">
        <f t="shared" si="6"/>
        <v>0</v>
      </c>
    </row>
    <row r="192" spans="2:6" ht="15">
      <c r="B192" s="321" t="s">
        <v>336</v>
      </c>
      <c r="C192" s="321" t="s">
        <v>335</v>
      </c>
      <c r="D192" s="367">
        <v>1</v>
      </c>
      <c r="E192" s="375">
        <v>0</v>
      </c>
      <c r="F192" s="376">
        <f t="shared" si="6"/>
        <v>0</v>
      </c>
    </row>
    <row r="193" spans="2:6" ht="15">
      <c r="B193" s="321" t="s">
        <v>337</v>
      </c>
      <c r="C193" s="321" t="s">
        <v>335</v>
      </c>
      <c r="D193" s="367">
        <v>1</v>
      </c>
      <c r="E193" s="375">
        <v>0</v>
      </c>
      <c r="F193" s="376">
        <f t="shared" si="6"/>
        <v>0</v>
      </c>
    </row>
    <row r="194" spans="2:6" ht="15">
      <c r="B194" s="377" t="s">
        <v>338</v>
      </c>
      <c r="C194" s="377"/>
      <c r="D194" s="378">
        <f>SUM(D184:D193)</f>
        <v>5202.000000000001</v>
      </c>
      <c r="E194" s="377"/>
      <c r="F194" s="379">
        <f>SUM(F184:F193)</f>
        <v>6003185.386273123</v>
      </c>
    </row>
    <row r="195" spans="2:6" ht="15">
      <c r="B195" s="321"/>
      <c r="C195" s="321"/>
      <c r="D195" s="321"/>
      <c r="E195" s="321"/>
      <c r="F195" s="321"/>
    </row>
    <row r="196" spans="2:6" ht="15">
      <c r="B196" s="321" t="s">
        <v>339</v>
      </c>
      <c r="C196" s="321"/>
      <c r="D196" s="321"/>
      <c r="E196" s="321"/>
      <c r="F196" s="321"/>
    </row>
    <row r="197" spans="2:6" ht="15">
      <c r="B197" s="321" t="s">
        <v>340</v>
      </c>
      <c r="C197" s="321">
        <v>10</v>
      </c>
      <c r="D197" s="367">
        <v>2862</v>
      </c>
      <c r="E197" s="375">
        <v>0</v>
      </c>
      <c r="F197" s="375">
        <v>0</v>
      </c>
    </row>
    <row r="198" spans="2:6" ht="15">
      <c r="B198" s="321" t="s">
        <v>341</v>
      </c>
      <c r="C198" s="321">
        <v>10</v>
      </c>
      <c r="D198" s="367">
        <v>3</v>
      </c>
      <c r="E198" s="375">
        <v>0</v>
      </c>
      <c r="F198" s="375">
        <v>0</v>
      </c>
    </row>
    <row r="199" spans="2:6" ht="15">
      <c r="B199" s="377" t="s">
        <v>342</v>
      </c>
      <c r="C199" s="377"/>
      <c r="D199" s="378">
        <f>SUM(D197:D198)</f>
        <v>2865</v>
      </c>
      <c r="E199" s="381"/>
      <c r="F199" s="381">
        <v>0</v>
      </c>
    </row>
    <row r="200" spans="2:6" ht="15">
      <c r="B200" s="321"/>
      <c r="C200" s="321"/>
      <c r="D200" s="321"/>
      <c r="E200" s="321"/>
      <c r="F200" s="321"/>
    </row>
    <row r="201" spans="2:6" ht="15">
      <c r="B201" s="321" t="s">
        <v>343</v>
      </c>
      <c r="C201" s="321"/>
      <c r="D201" s="321"/>
      <c r="E201" s="321"/>
      <c r="F201" s="321"/>
    </row>
    <row r="202" spans="2:6" ht="15">
      <c r="B202" s="321" t="s">
        <v>344</v>
      </c>
      <c r="C202" s="321">
        <v>12</v>
      </c>
      <c r="D202" s="367">
        <v>2244</v>
      </c>
      <c r="E202" s="375">
        <f>F79</f>
        <v>582.4714256098405</v>
      </c>
      <c r="F202" s="376">
        <f>E202*D202</f>
        <v>1307065.879068482</v>
      </c>
    </row>
    <row r="203" spans="2:6" ht="15">
      <c r="B203" s="321" t="s">
        <v>345</v>
      </c>
      <c r="C203" s="321">
        <v>12</v>
      </c>
      <c r="D203" s="367">
        <v>472</v>
      </c>
      <c r="E203" s="375">
        <f>F79</f>
        <v>582.4714256098405</v>
      </c>
      <c r="F203" s="376">
        <f>E203*D203</f>
        <v>274926.5128878447</v>
      </c>
    </row>
    <row r="204" spans="2:6" ht="15">
      <c r="B204" s="377" t="s">
        <v>346</v>
      </c>
      <c r="C204" s="377"/>
      <c r="D204" s="378">
        <f>SUM(D202:D203)</f>
        <v>2716</v>
      </c>
      <c r="E204" s="377"/>
      <c r="F204" s="379">
        <f>SUM(F202:F203)</f>
        <v>1581992.3919563266</v>
      </c>
    </row>
    <row r="205" spans="2:6" ht="15">
      <c r="B205" s="321"/>
      <c r="C205" s="321"/>
      <c r="D205" s="321"/>
      <c r="E205" s="321"/>
      <c r="F205" s="321"/>
    </row>
    <row r="206" spans="2:6" ht="15">
      <c r="B206" s="321" t="s">
        <v>347</v>
      </c>
      <c r="C206" s="321"/>
      <c r="D206" s="321"/>
      <c r="E206" s="321"/>
      <c r="F206" s="321"/>
    </row>
    <row r="207" spans="2:6" ht="15">
      <c r="B207" s="321" t="s">
        <v>348</v>
      </c>
      <c r="C207" s="321">
        <v>6</v>
      </c>
      <c r="D207" s="321">
        <v>4</v>
      </c>
      <c r="E207" s="375">
        <f>G92</f>
        <v>2192.368091892618</v>
      </c>
      <c r="F207" s="376">
        <f>E207*D207</f>
        <v>8769.472367570472</v>
      </c>
    </row>
    <row r="208" spans="2:6" ht="15">
      <c r="B208" s="321" t="s">
        <v>348</v>
      </c>
      <c r="C208" s="321">
        <v>8</v>
      </c>
      <c r="D208" s="321">
        <v>0</v>
      </c>
      <c r="E208" s="375">
        <v>0</v>
      </c>
      <c r="F208" s="376">
        <f>E208*D208</f>
        <v>0</v>
      </c>
    </row>
    <row r="209" spans="2:6" ht="15">
      <c r="B209" s="321" t="s">
        <v>349</v>
      </c>
      <c r="C209" s="321">
        <v>9</v>
      </c>
      <c r="D209" s="321">
        <v>4</v>
      </c>
      <c r="E209" s="375">
        <v>0</v>
      </c>
      <c r="F209" s="376">
        <f>E209*D209</f>
        <v>0</v>
      </c>
    </row>
    <row r="210" spans="2:6" ht="15">
      <c r="B210" s="321" t="s">
        <v>330</v>
      </c>
      <c r="C210" s="321">
        <v>23</v>
      </c>
      <c r="D210" s="321">
        <v>3</v>
      </c>
      <c r="E210" s="375">
        <f>G154</f>
        <v>684.7784048573723</v>
      </c>
      <c r="F210" s="376">
        <f>E210*D210</f>
        <v>2054.335214572117</v>
      </c>
    </row>
    <row r="211" spans="2:6" ht="15">
      <c r="B211" s="377" t="s">
        <v>350</v>
      </c>
      <c r="C211" s="377"/>
      <c r="D211" s="377">
        <f>SUM(D207:D210)</f>
        <v>11</v>
      </c>
      <c r="E211" s="377"/>
      <c r="F211" s="379">
        <f>SUM(F207:F210)</f>
        <v>10823.807582142588</v>
      </c>
    </row>
    <row r="212" spans="2:6" ht="15">
      <c r="B212" s="321"/>
      <c r="C212" s="321"/>
      <c r="D212" s="321"/>
      <c r="E212" s="321"/>
      <c r="F212" s="321"/>
    </row>
    <row r="213" spans="2:6" ht="15">
      <c r="B213" s="377" t="s">
        <v>351</v>
      </c>
      <c r="C213" s="377"/>
      <c r="D213" s="382">
        <f>D171+D181+D194+D199+D204+D211</f>
        <v>821072.83333333</v>
      </c>
      <c r="E213" s="377"/>
      <c r="F213" s="382">
        <f>F171+F181+F194+F199+F204+F211</f>
        <v>416745477.67234135</v>
      </c>
    </row>
    <row r="218" spans="2:16" ht="15">
      <c r="B218" s="321" t="s">
        <v>352</v>
      </c>
      <c r="C218" s="321"/>
      <c r="D218" s="321"/>
      <c r="E218" s="321"/>
      <c r="F218" s="321"/>
      <c r="G218" s="321"/>
      <c r="H218" s="321"/>
      <c r="I218" s="321"/>
      <c r="J218" s="321"/>
      <c r="K218" s="321"/>
      <c r="L218" s="321"/>
      <c r="M218" s="321"/>
      <c r="N218" s="321"/>
      <c r="O218" s="321"/>
      <c r="P218" s="321"/>
    </row>
    <row r="219" spans="2:16" ht="15">
      <c r="B219" s="321"/>
      <c r="C219" s="321"/>
      <c r="D219" s="321"/>
      <c r="E219" s="321"/>
      <c r="F219" s="321"/>
      <c r="G219" s="321"/>
      <c r="H219" s="321"/>
      <c r="I219" s="321"/>
      <c r="J219" s="321"/>
      <c r="K219" s="321"/>
      <c r="L219" s="321"/>
      <c r="M219" s="321"/>
      <c r="N219" s="321"/>
      <c r="O219" s="321"/>
      <c r="P219" s="321"/>
    </row>
    <row r="220" spans="2:16" ht="15">
      <c r="B220" s="348"/>
      <c r="C220" s="361"/>
      <c r="D220" s="361" t="s">
        <v>353</v>
      </c>
      <c r="E220" s="361" t="s">
        <v>353</v>
      </c>
      <c r="F220" s="361" t="s">
        <v>354</v>
      </c>
      <c r="G220" s="361" t="s">
        <v>353</v>
      </c>
      <c r="H220" s="361"/>
      <c r="I220" s="361" t="s">
        <v>355</v>
      </c>
      <c r="J220" s="361" t="s">
        <v>356</v>
      </c>
      <c r="K220" s="361" t="s">
        <v>353</v>
      </c>
      <c r="L220" s="361" t="s">
        <v>357</v>
      </c>
      <c r="M220" s="361"/>
      <c r="N220" s="361"/>
      <c r="O220" s="361"/>
      <c r="P220" s="383"/>
    </row>
    <row r="221" spans="2:16" ht="15">
      <c r="B221" s="371"/>
      <c r="C221" s="384" t="s">
        <v>217</v>
      </c>
      <c r="D221" s="384" t="s">
        <v>358</v>
      </c>
      <c r="E221" s="384" t="s">
        <v>302</v>
      </c>
      <c r="F221" s="384" t="s">
        <v>359</v>
      </c>
      <c r="G221" s="384" t="s">
        <v>360</v>
      </c>
      <c r="H221" s="384" t="s">
        <v>339</v>
      </c>
      <c r="I221" s="384" t="s">
        <v>361</v>
      </c>
      <c r="J221" s="384" t="s">
        <v>362</v>
      </c>
      <c r="K221" s="384" t="s">
        <v>363</v>
      </c>
      <c r="L221" s="384" t="s">
        <v>364</v>
      </c>
      <c r="M221" s="384" t="s">
        <v>333</v>
      </c>
      <c r="N221" s="384" t="s">
        <v>333</v>
      </c>
      <c r="O221" s="384" t="s">
        <v>333</v>
      </c>
      <c r="P221" s="385" t="s">
        <v>312</v>
      </c>
    </row>
    <row r="222" spans="2:16" ht="15">
      <c r="B222" s="371"/>
      <c r="C222" s="386" t="s">
        <v>37</v>
      </c>
      <c r="D222" s="386" t="s">
        <v>173</v>
      </c>
      <c r="E222" s="386" t="s">
        <v>365</v>
      </c>
      <c r="F222" s="386" t="s">
        <v>366</v>
      </c>
      <c r="G222" s="386" t="s">
        <v>100</v>
      </c>
      <c r="H222" s="386" t="s">
        <v>199</v>
      </c>
      <c r="I222" s="386" t="s">
        <v>367</v>
      </c>
      <c r="J222" s="386" t="s">
        <v>368</v>
      </c>
      <c r="K222" s="386" t="s">
        <v>207</v>
      </c>
      <c r="L222" s="386" t="s">
        <v>369</v>
      </c>
      <c r="M222" s="386" t="s">
        <v>370</v>
      </c>
      <c r="N222" s="386" t="s">
        <v>371</v>
      </c>
      <c r="O222" s="386" t="s">
        <v>372</v>
      </c>
      <c r="P222" s="387" t="s">
        <v>373</v>
      </c>
    </row>
    <row r="223" spans="2:16" ht="15">
      <c r="B223" s="371"/>
      <c r="C223" s="372"/>
      <c r="D223" s="372"/>
      <c r="E223" s="372"/>
      <c r="F223" s="372"/>
      <c r="G223" s="372"/>
      <c r="H223" s="372"/>
      <c r="I223" s="372"/>
      <c r="J223" s="372"/>
      <c r="K223" s="372"/>
      <c r="L223" s="372"/>
      <c r="M223" s="372"/>
      <c r="N223" s="372"/>
      <c r="O223" s="372"/>
      <c r="P223" s="373"/>
    </row>
    <row r="224" spans="2:16" ht="15">
      <c r="B224" s="371" t="s">
        <v>287</v>
      </c>
      <c r="C224" s="388">
        <f>SUM(F166:F168)</f>
        <v>326091469.2083681</v>
      </c>
      <c r="D224" s="388">
        <f>SUM(F174:F175,F184:F185,F207)</f>
        <v>33133358.221675422</v>
      </c>
      <c r="E224" s="388">
        <f>SUM(F176:F177,F186:F187,F208)</f>
        <v>1252938.8226110078</v>
      </c>
      <c r="F224" s="388">
        <v>0</v>
      </c>
      <c r="G224" s="388">
        <f>SUM(F178,F188,F209)</f>
        <v>0</v>
      </c>
      <c r="H224" s="389">
        <f>SUM(F197:F198)</f>
        <v>0</v>
      </c>
      <c r="I224" s="388">
        <f>SUM(F202)</f>
        <v>1307065.879068482</v>
      </c>
      <c r="J224" s="388">
        <f>F203</f>
        <v>274926.5128878447</v>
      </c>
      <c r="K224" s="388">
        <f>SUM(F179:F180,F189,F210)</f>
        <v>54685719.02773048</v>
      </c>
      <c r="L224" s="388">
        <f>SUM(F169:F170)</f>
        <v>0</v>
      </c>
      <c r="M224" s="388">
        <f>F193</f>
        <v>0</v>
      </c>
      <c r="N224" s="388">
        <f>F191</f>
        <v>0</v>
      </c>
      <c r="O224" s="388">
        <f>F192</f>
        <v>0</v>
      </c>
      <c r="P224" s="390">
        <f>SUM(C224:O224)</f>
        <v>416745477.67234135</v>
      </c>
    </row>
    <row r="225" spans="2:16" ht="15">
      <c r="B225" s="371"/>
      <c r="C225" s="388">
        <f>D166*0.8*E166+D167*0.8*E167+D168*0.8*E168</f>
        <v>260873175.36669454</v>
      </c>
      <c r="D225" s="372"/>
      <c r="E225" s="372"/>
      <c r="F225" s="372"/>
      <c r="G225" s="372"/>
      <c r="H225" s="372"/>
      <c r="I225" s="372"/>
      <c r="J225" s="372"/>
      <c r="K225" s="372"/>
      <c r="L225" s="372"/>
      <c r="M225" s="372"/>
      <c r="N225" s="372"/>
      <c r="O225" s="372"/>
      <c r="P225" s="390">
        <f>SUM(C225,D224:O224)</f>
        <v>351527183.8306678</v>
      </c>
    </row>
    <row r="226" spans="2:16" ht="15">
      <c r="B226" s="391" t="s">
        <v>374</v>
      </c>
      <c r="C226" s="392">
        <f>C224/$P224</f>
        <v>0.7824715244174808</v>
      </c>
      <c r="D226" s="392">
        <f aca="true" t="shared" si="7" ref="D226:O226">D224/$P224</f>
        <v>0.07950502164231266</v>
      </c>
      <c r="E226" s="392">
        <f t="shared" si="7"/>
        <v>0.0030064845085040334</v>
      </c>
      <c r="F226" s="392">
        <f t="shared" si="7"/>
        <v>0</v>
      </c>
      <c r="G226" s="392">
        <f t="shared" si="7"/>
        <v>0</v>
      </c>
      <c r="H226" s="392">
        <f t="shared" si="7"/>
        <v>0</v>
      </c>
      <c r="I226" s="392">
        <f t="shared" si="7"/>
        <v>0.003136364877595958</v>
      </c>
      <c r="J226" s="392">
        <f t="shared" si="7"/>
        <v>0.0006596988512590429</v>
      </c>
      <c r="K226" s="392">
        <f t="shared" si="7"/>
        <v>0.13122090570284758</v>
      </c>
      <c r="L226" s="392">
        <f t="shared" si="7"/>
        <v>0</v>
      </c>
      <c r="M226" s="392">
        <f t="shared" si="7"/>
        <v>0</v>
      </c>
      <c r="N226" s="392">
        <f t="shared" si="7"/>
        <v>0</v>
      </c>
      <c r="O226" s="392">
        <f t="shared" si="7"/>
        <v>0</v>
      </c>
      <c r="P226" s="393">
        <f>SUM(C226:O226)</f>
        <v>1</v>
      </c>
    </row>
    <row r="227" spans="2:16" ht="15">
      <c r="B227" s="394" t="s">
        <v>374</v>
      </c>
      <c r="C227" s="395">
        <f>C225/$P225</f>
        <v>0.7421138033306645</v>
      </c>
      <c r="D227" s="395">
        <f>D224/$P225</f>
        <v>0.09425546514102849</v>
      </c>
      <c r="E227" s="395">
        <f aca="true" t="shared" si="8" ref="E227:O227">E224/$P225</f>
        <v>0.003564272921819196</v>
      </c>
      <c r="F227" s="395">
        <f t="shared" si="8"/>
        <v>0</v>
      </c>
      <c r="G227" s="395">
        <f t="shared" si="8"/>
        <v>0</v>
      </c>
      <c r="H227" s="395">
        <f t="shared" si="8"/>
        <v>0</v>
      </c>
      <c r="I227" s="395">
        <f t="shared" si="8"/>
        <v>0.00371824979458232</v>
      </c>
      <c r="J227" s="395">
        <f t="shared" si="8"/>
        <v>0.0007820917571492224</v>
      </c>
      <c r="K227" s="395">
        <f t="shared" si="8"/>
        <v>0.15556611705475623</v>
      </c>
      <c r="L227" s="395">
        <f t="shared" si="8"/>
        <v>0</v>
      </c>
      <c r="M227" s="395">
        <f t="shared" si="8"/>
        <v>0</v>
      </c>
      <c r="N227" s="395">
        <f t="shared" si="8"/>
        <v>0</v>
      </c>
      <c r="O227" s="395">
        <f t="shared" si="8"/>
        <v>0</v>
      </c>
      <c r="P227" s="396">
        <f>P224/$P224</f>
        <v>1</v>
      </c>
    </row>
    <row r="228" spans="2:16" ht="15">
      <c r="B228" s="397"/>
      <c r="C228" s="398"/>
      <c r="D228" s="398"/>
      <c r="E228" s="398"/>
      <c r="F228" s="398"/>
      <c r="G228" s="398"/>
      <c r="H228" s="398"/>
      <c r="I228" s="398"/>
      <c r="J228" s="398"/>
      <c r="K228" s="398"/>
      <c r="L228" s="398"/>
      <c r="M228" s="398"/>
      <c r="N228" s="398"/>
      <c r="O228" s="398"/>
      <c r="P228" s="399"/>
    </row>
    <row r="229" spans="2:16" ht="15">
      <c r="B229" s="371" t="s">
        <v>375</v>
      </c>
      <c r="C229" s="400"/>
      <c r="D229" s="400"/>
      <c r="E229" s="400"/>
      <c r="F229" s="400"/>
      <c r="G229" s="400"/>
      <c r="H229" s="400"/>
      <c r="I229" s="400"/>
      <c r="J229" s="400"/>
      <c r="K229" s="400"/>
      <c r="L229" s="400"/>
      <c r="M229" s="400"/>
      <c r="N229" s="400"/>
      <c r="O229" s="400"/>
      <c r="P229" s="399"/>
    </row>
    <row r="230" spans="2:16" ht="15">
      <c r="B230" s="401">
        <v>223963422.233656</v>
      </c>
      <c r="C230" s="398"/>
      <c r="D230" s="398"/>
      <c r="E230" s="398"/>
      <c r="F230" s="398"/>
      <c r="G230" s="398"/>
      <c r="H230" s="398"/>
      <c r="I230" s="398"/>
      <c r="J230" s="398"/>
      <c r="K230" s="398"/>
      <c r="L230" s="398"/>
      <c r="M230" s="398"/>
      <c r="N230" s="398"/>
      <c r="O230" s="398"/>
      <c r="P230" s="399"/>
    </row>
    <row r="231" spans="2:16" ht="15">
      <c r="B231" s="371" t="s">
        <v>376</v>
      </c>
      <c r="C231" s="388">
        <f aca="true" t="shared" si="9" ref="C231:O231">$B230*C226</f>
        <v>175245000.40892473</v>
      </c>
      <c r="D231" s="388">
        <f t="shared" si="9"/>
        <v>17806216.731773227</v>
      </c>
      <c r="E231" s="388">
        <f t="shared" si="9"/>
        <v>673342.5594170345</v>
      </c>
      <c r="F231" s="388">
        <f t="shared" si="9"/>
        <v>0</v>
      </c>
      <c r="G231" s="388">
        <f t="shared" si="9"/>
        <v>0</v>
      </c>
      <c r="H231" s="388">
        <f t="shared" si="9"/>
        <v>0</v>
      </c>
      <c r="I231" s="388">
        <f t="shared" si="9"/>
        <v>702431.0113598324</v>
      </c>
      <c r="J231" s="388">
        <f t="shared" si="9"/>
        <v>147748.41237158683</v>
      </c>
      <c r="K231" s="388">
        <f t="shared" si="9"/>
        <v>29388683.10980961</v>
      </c>
      <c r="L231" s="388">
        <f t="shared" si="9"/>
        <v>0</v>
      </c>
      <c r="M231" s="388">
        <f t="shared" si="9"/>
        <v>0</v>
      </c>
      <c r="N231" s="388">
        <f t="shared" si="9"/>
        <v>0</v>
      </c>
      <c r="O231" s="388">
        <f t="shared" si="9"/>
        <v>0</v>
      </c>
      <c r="P231" s="390">
        <f>SUM(C231:O231)</f>
        <v>223963422.23365602</v>
      </c>
    </row>
    <row r="232" spans="2:16" ht="15">
      <c r="B232" s="371" t="s">
        <v>377</v>
      </c>
      <c r="C232" s="388">
        <f>$B230*C227</f>
        <v>166206347.08076996</v>
      </c>
      <c r="D232" s="388">
        <f aca="true" t="shared" si="10" ref="D232:O232">$B230*D227</f>
        <v>21109776.53720981</v>
      </c>
      <c r="E232" s="388">
        <f t="shared" si="10"/>
        <v>798266.7613453793</v>
      </c>
      <c r="F232" s="388">
        <f t="shared" si="10"/>
        <v>0</v>
      </c>
      <c r="G232" s="388">
        <f t="shared" si="10"/>
        <v>0</v>
      </c>
      <c r="H232" s="388">
        <f t="shared" si="10"/>
        <v>0</v>
      </c>
      <c r="I232" s="388">
        <f t="shared" si="10"/>
        <v>832751.9487142448</v>
      </c>
      <c r="J232" s="388">
        <f t="shared" si="10"/>
        <v>175159.94643187322</v>
      </c>
      <c r="K232" s="388">
        <f t="shared" si="10"/>
        <v>34841119.95918472</v>
      </c>
      <c r="L232" s="388">
        <f t="shared" si="10"/>
        <v>0</v>
      </c>
      <c r="M232" s="388">
        <f t="shared" si="10"/>
        <v>0</v>
      </c>
      <c r="N232" s="388">
        <f t="shared" si="10"/>
        <v>0</v>
      </c>
      <c r="O232" s="388">
        <f t="shared" si="10"/>
        <v>0</v>
      </c>
      <c r="P232" s="390">
        <f>SUM(C232:O232)</f>
        <v>223963422.233656</v>
      </c>
    </row>
    <row r="233" spans="2:16" ht="15">
      <c r="B233" s="402" t="s">
        <v>378</v>
      </c>
      <c r="C233" s="403">
        <f>C232-C231</f>
        <v>-9038653.328154773</v>
      </c>
      <c r="D233" s="403">
        <f aca="true" t="shared" si="11" ref="D233:P233">D232-D231</f>
        <v>3303559.8054365814</v>
      </c>
      <c r="E233" s="403">
        <f t="shared" si="11"/>
        <v>124924.20192834479</v>
      </c>
      <c r="F233" s="403">
        <f t="shared" si="11"/>
        <v>0</v>
      </c>
      <c r="G233" s="403">
        <f t="shared" si="11"/>
        <v>0</v>
      </c>
      <c r="H233" s="403">
        <f t="shared" si="11"/>
        <v>0</v>
      </c>
      <c r="I233" s="403">
        <f t="shared" si="11"/>
        <v>130320.9373544124</v>
      </c>
      <c r="J233" s="403">
        <f t="shared" si="11"/>
        <v>27411.534060286387</v>
      </c>
      <c r="K233" s="403">
        <f t="shared" si="11"/>
        <v>5452436.84937511</v>
      </c>
      <c r="L233" s="403">
        <f t="shared" si="11"/>
        <v>0</v>
      </c>
      <c r="M233" s="403">
        <f t="shared" si="11"/>
        <v>0</v>
      </c>
      <c r="N233" s="403">
        <f t="shared" si="11"/>
        <v>0</v>
      </c>
      <c r="O233" s="403">
        <f t="shared" si="11"/>
        <v>0</v>
      </c>
      <c r="P233" s="404">
        <f t="shared" si="11"/>
        <v>0</v>
      </c>
    </row>
  </sheetData>
  <printOptions/>
  <pageMargins left="0.45" right="0.45" top="0.75" bottom="0.75" header="0.3" footer="0.3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3"/>
  <sheetViews>
    <sheetView workbookViewId="0" topLeftCell="A1">
      <selection activeCell="Q3" sqref="Q3"/>
    </sheetView>
  </sheetViews>
  <sheetFormatPr defaultColWidth="9.140625" defaultRowHeight="15"/>
  <cols>
    <col min="1" max="1" width="20.57421875" style="0" customWidth="1"/>
    <col min="2" max="2" width="1.57421875" style="0" customWidth="1"/>
    <col min="3" max="3" width="12.00390625" style="0" customWidth="1"/>
    <col min="4" max="4" width="1.1484375" style="0" customWidth="1"/>
    <col min="5" max="5" width="11.7109375" style="0" customWidth="1"/>
    <col min="6" max="6" width="1.28515625" style="0" customWidth="1"/>
    <col min="7" max="7" width="7.8515625" style="0" customWidth="1"/>
    <col min="8" max="8" width="1.7109375" style="0" customWidth="1"/>
    <col min="9" max="9" width="12.28125" style="0" bestFit="1" customWidth="1"/>
    <col min="10" max="10" width="1.1484375" style="0" customWidth="1"/>
    <col min="11" max="11" width="10.7109375" style="0" customWidth="1"/>
    <col min="12" max="12" width="0.9921875" style="0" customWidth="1"/>
    <col min="13" max="13" width="7.00390625" style="0" customWidth="1"/>
    <col min="14" max="14" width="1.8515625" style="0" customWidth="1"/>
    <col min="15" max="15" width="12.28125" style="0" bestFit="1" customWidth="1"/>
    <col min="16" max="16" width="6.140625" style="0" customWidth="1"/>
    <col min="17" max="17" width="11.421875" style="0" customWidth="1"/>
    <col min="18" max="18" width="11.00390625" style="0" bestFit="1" customWidth="1"/>
    <col min="22" max="22" width="10.7109375" style="0" bestFit="1" customWidth="1"/>
  </cols>
  <sheetData>
    <row r="1" spans="1:27" ht="18.75">
      <c r="A1" s="1" t="s">
        <v>0</v>
      </c>
      <c r="B1" s="2"/>
      <c r="C1" s="2"/>
      <c r="D1" s="3"/>
      <c r="E1" s="2"/>
      <c r="F1" s="3"/>
      <c r="G1" s="4"/>
      <c r="H1" s="3"/>
      <c r="I1" s="2"/>
      <c r="J1" s="3"/>
      <c r="K1" s="2"/>
      <c r="L1" s="3"/>
      <c r="M1" s="2"/>
      <c r="N1" s="3"/>
      <c r="O1" s="5"/>
      <c r="P1" s="6"/>
      <c r="Q1" s="313" t="s">
        <v>210</v>
      </c>
      <c r="R1" s="7"/>
      <c r="S1" s="8"/>
      <c r="T1" s="9"/>
      <c r="U1" s="9"/>
      <c r="V1" s="10"/>
      <c r="W1" s="10"/>
      <c r="X1" s="10"/>
      <c r="Y1" s="10"/>
      <c r="Z1" s="10"/>
      <c r="AA1" s="10"/>
    </row>
    <row r="2" spans="1:27" ht="18.75">
      <c r="A2" s="1" t="s">
        <v>1</v>
      </c>
      <c r="B2" s="2"/>
      <c r="C2" s="2"/>
      <c r="D2" s="3"/>
      <c r="E2" s="2"/>
      <c r="F2" s="3"/>
      <c r="G2" s="4"/>
      <c r="H2" s="3"/>
      <c r="I2" s="2"/>
      <c r="J2" s="3"/>
      <c r="K2" s="2"/>
      <c r="L2" s="3"/>
      <c r="M2" s="2"/>
      <c r="N2" s="3"/>
      <c r="O2" s="5"/>
      <c r="P2" s="11"/>
      <c r="Q2" s="313" t="s">
        <v>211</v>
      </c>
      <c r="R2" s="7"/>
      <c r="S2" s="8"/>
      <c r="T2" s="9"/>
      <c r="U2" s="9"/>
      <c r="V2" s="10"/>
      <c r="W2" s="10"/>
      <c r="X2" s="10"/>
      <c r="Y2" s="10"/>
      <c r="Z2" s="10"/>
      <c r="AA2" s="10"/>
    </row>
    <row r="3" spans="1:27" ht="18.75">
      <c r="A3" s="1" t="s">
        <v>2</v>
      </c>
      <c r="B3" s="2"/>
      <c r="C3" s="2"/>
      <c r="D3" s="3"/>
      <c r="E3" s="2"/>
      <c r="F3" s="3"/>
      <c r="G3" s="4"/>
      <c r="H3" s="3"/>
      <c r="I3" s="2"/>
      <c r="J3" s="3"/>
      <c r="K3" s="2"/>
      <c r="L3" s="3"/>
      <c r="M3" s="2"/>
      <c r="N3" s="3"/>
      <c r="O3" s="5"/>
      <c r="P3" s="11"/>
      <c r="Q3" s="313" t="s">
        <v>380</v>
      </c>
      <c r="R3" s="7"/>
      <c r="S3" s="8"/>
      <c r="T3" s="9"/>
      <c r="U3" s="9"/>
      <c r="V3" s="10"/>
      <c r="W3" s="10"/>
      <c r="X3" s="10"/>
      <c r="Y3" s="10"/>
      <c r="Z3" s="10"/>
      <c r="AA3" s="10"/>
    </row>
    <row r="4" spans="1:27" ht="18.75">
      <c r="A4" s="1" t="s">
        <v>3</v>
      </c>
      <c r="B4" s="2"/>
      <c r="C4" s="2"/>
      <c r="D4" s="3"/>
      <c r="E4" s="2"/>
      <c r="F4" s="3"/>
      <c r="G4" s="4"/>
      <c r="H4" s="3"/>
      <c r="I4" s="2"/>
      <c r="J4" s="3"/>
      <c r="K4" s="2"/>
      <c r="L4" s="3"/>
      <c r="M4" s="2"/>
      <c r="N4" s="3"/>
      <c r="O4" s="5"/>
      <c r="P4" s="11"/>
      <c r="Q4" s="314">
        <v>40696</v>
      </c>
      <c r="R4" s="12"/>
      <c r="S4" s="13"/>
      <c r="T4" s="9"/>
      <c r="U4" s="9"/>
      <c r="V4" s="10"/>
      <c r="W4" s="10"/>
      <c r="X4" s="10"/>
      <c r="Y4" s="10"/>
      <c r="Z4" s="10"/>
      <c r="AA4" s="10"/>
    </row>
    <row r="5" spans="1:27" ht="15.75">
      <c r="A5" s="14"/>
      <c r="B5" s="15"/>
      <c r="C5" s="16"/>
      <c r="D5" s="17"/>
      <c r="E5" s="16"/>
      <c r="F5" s="17"/>
      <c r="G5" s="14"/>
      <c r="H5" s="17"/>
      <c r="I5" s="15"/>
      <c r="J5" s="17"/>
      <c r="K5" s="15"/>
      <c r="L5" s="17"/>
      <c r="M5" s="15"/>
      <c r="N5" s="17"/>
      <c r="O5" s="15"/>
      <c r="P5" s="18"/>
      <c r="Q5" s="18"/>
      <c r="R5" s="18"/>
      <c r="S5" s="19"/>
      <c r="T5" s="10"/>
      <c r="U5" s="10"/>
      <c r="V5" s="10"/>
      <c r="W5" s="10"/>
      <c r="X5" s="10"/>
      <c r="Y5" s="10"/>
      <c r="Z5" s="10"/>
      <c r="AA5" s="10"/>
    </row>
    <row r="6" spans="1:27" ht="15">
      <c r="A6" s="20"/>
      <c r="B6" s="21"/>
      <c r="C6" s="22"/>
      <c r="D6" s="23"/>
      <c r="E6" s="22"/>
      <c r="F6" s="23"/>
      <c r="G6" s="20"/>
      <c r="H6" s="24"/>
      <c r="I6" s="25" t="s">
        <v>4</v>
      </c>
      <c r="J6" s="23"/>
      <c r="K6" s="25" t="s">
        <v>4</v>
      </c>
      <c r="L6" s="23"/>
      <c r="M6" s="21"/>
      <c r="N6" s="24"/>
      <c r="O6" s="25" t="s">
        <v>5</v>
      </c>
      <c r="P6" s="25"/>
      <c r="Q6" s="21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15">
      <c r="A7" s="20"/>
      <c r="B7" s="21"/>
      <c r="C7" s="27"/>
      <c r="D7" s="23"/>
      <c r="E7" s="27"/>
      <c r="F7" s="23"/>
      <c r="G7" s="28" t="s">
        <v>4</v>
      </c>
      <c r="H7" s="24"/>
      <c r="I7" s="25" t="s">
        <v>6</v>
      </c>
      <c r="J7" s="23"/>
      <c r="K7" s="25" t="s">
        <v>7</v>
      </c>
      <c r="L7" s="23"/>
      <c r="M7" s="25" t="s">
        <v>5</v>
      </c>
      <c r="N7" s="24"/>
      <c r="O7" s="25" t="s">
        <v>8</v>
      </c>
      <c r="P7" s="25"/>
      <c r="Q7" s="21"/>
      <c r="R7" s="29"/>
      <c r="S7" s="26"/>
      <c r="T7" s="26"/>
      <c r="U7" s="26"/>
      <c r="V7" s="26"/>
      <c r="W7" s="26"/>
      <c r="X7" s="26"/>
      <c r="Y7" s="26"/>
      <c r="Z7" s="26"/>
      <c r="AA7" s="26"/>
    </row>
    <row r="8" spans="1:27" ht="15">
      <c r="A8" s="20"/>
      <c r="B8" s="21"/>
      <c r="C8" s="30" t="s">
        <v>9</v>
      </c>
      <c r="D8" s="23"/>
      <c r="E8" s="30" t="s">
        <v>7</v>
      </c>
      <c r="F8" s="23"/>
      <c r="G8" s="28" t="s">
        <v>6</v>
      </c>
      <c r="H8" s="24"/>
      <c r="I8" s="25" t="s">
        <v>10</v>
      </c>
      <c r="J8" s="23"/>
      <c r="K8" s="25" t="s">
        <v>10</v>
      </c>
      <c r="L8" s="23"/>
      <c r="M8" s="25" t="s">
        <v>8</v>
      </c>
      <c r="N8" s="24"/>
      <c r="O8" s="25" t="s">
        <v>10</v>
      </c>
      <c r="P8" s="25"/>
      <c r="Q8" s="31"/>
      <c r="R8" s="21"/>
      <c r="S8" s="26"/>
      <c r="T8" s="26"/>
      <c r="U8" s="26"/>
      <c r="V8" s="26"/>
      <c r="W8" s="26"/>
      <c r="X8" s="26"/>
      <c r="Y8" s="26"/>
      <c r="Z8" s="26"/>
      <c r="AA8" s="26"/>
    </row>
    <row r="9" spans="1:27" ht="15">
      <c r="A9" s="20"/>
      <c r="B9" s="21"/>
      <c r="C9" s="32" t="s">
        <v>11</v>
      </c>
      <c r="D9" s="23"/>
      <c r="E9" s="32" t="s">
        <v>12</v>
      </c>
      <c r="F9" s="23"/>
      <c r="G9" s="33" t="s">
        <v>13</v>
      </c>
      <c r="H9" s="24"/>
      <c r="I9" s="34" t="s">
        <v>14</v>
      </c>
      <c r="J9" s="23"/>
      <c r="K9" s="34" t="s">
        <v>14</v>
      </c>
      <c r="L9" s="23"/>
      <c r="M9" s="34" t="s">
        <v>13</v>
      </c>
      <c r="N9" s="24"/>
      <c r="O9" s="34" t="s">
        <v>14</v>
      </c>
      <c r="P9" s="24"/>
      <c r="Q9" s="35"/>
      <c r="R9" s="36"/>
      <c r="S9" s="37"/>
      <c r="T9" s="26"/>
      <c r="U9" s="26"/>
      <c r="V9" s="26"/>
      <c r="W9" s="26"/>
      <c r="X9" s="26"/>
      <c r="Y9" s="26"/>
      <c r="Z9" s="26"/>
      <c r="AA9" s="26"/>
    </row>
    <row r="10" spans="1:27" ht="15">
      <c r="A10" s="38" t="s">
        <v>15</v>
      </c>
      <c r="B10" s="21"/>
      <c r="C10" s="39"/>
      <c r="D10" s="23"/>
      <c r="E10" s="40"/>
      <c r="F10" s="23"/>
      <c r="G10" s="20"/>
      <c r="H10" s="23"/>
      <c r="I10" s="21"/>
      <c r="J10" s="23"/>
      <c r="K10" s="21"/>
      <c r="L10" s="23"/>
      <c r="M10" s="21"/>
      <c r="N10" s="23"/>
      <c r="O10" s="21"/>
      <c r="P10" s="21"/>
      <c r="Q10" s="21"/>
      <c r="R10" s="26"/>
      <c r="S10" s="26"/>
      <c r="T10" s="41"/>
      <c r="U10" s="41"/>
      <c r="V10" s="41"/>
      <c r="W10" s="26"/>
      <c r="X10" s="26"/>
      <c r="Y10" s="26"/>
      <c r="Z10" s="26"/>
      <c r="AA10" s="26"/>
    </row>
    <row r="11" spans="1:27" ht="15">
      <c r="A11" s="42" t="s">
        <v>16</v>
      </c>
      <c r="B11" s="21"/>
      <c r="C11" s="43">
        <v>7995934.8769737</v>
      </c>
      <c r="D11" s="23"/>
      <c r="E11" s="36">
        <v>8178018.856605439</v>
      </c>
      <c r="F11" s="23"/>
      <c r="G11" s="44">
        <v>3.75</v>
      </c>
      <c r="H11" s="45"/>
      <c r="I11" s="29">
        <f>ROUND($G11*C11,0)</f>
        <v>29984756</v>
      </c>
      <c r="J11" s="23"/>
      <c r="K11" s="29">
        <f>ROUND($G11*E11,0)</f>
        <v>30667571</v>
      </c>
      <c r="L11" s="23"/>
      <c r="M11" s="46">
        <v>0</v>
      </c>
      <c r="N11" s="45"/>
      <c r="O11" s="29">
        <f>ROUND(M11*$E11,0)</f>
        <v>0</v>
      </c>
      <c r="P11" s="29"/>
      <c r="Q11" s="21"/>
      <c r="R11" s="47"/>
      <c r="S11" s="26"/>
      <c r="T11" s="41"/>
      <c r="U11" s="41"/>
      <c r="V11" s="26"/>
      <c r="W11" s="26"/>
      <c r="X11" s="26"/>
      <c r="Y11" s="26"/>
      <c r="Z11" s="26"/>
      <c r="AA11" s="26"/>
    </row>
    <row r="12" spans="1:27" ht="15">
      <c r="A12" s="42" t="s">
        <v>17</v>
      </c>
      <c r="B12" s="21"/>
      <c r="C12" s="43">
        <f>C11-C13</f>
        <v>7982490.8521737</v>
      </c>
      <c r="D12" s="23"/>
      <c r="E12" s="48">
        <f>ROUND(C12/C11*E11,0)</f>
        <v>8164269</v>
      </c>
      <c r="F12" s="23"/>
      <c r="G12" s="44"/>
      <c r="H12" s="45"/>
      <c r="I12" s="29"/>
      <c r="J12" s="23"/>
      <c r="K12" s="29"/>
      <c r="L12" s="23"/>
      <c r="M12" s="46">
        <v>6.81</v>
      </c>
      <c r="N12" s="45"/>
      <c r="O12" s="29">
        <f>ROUND(M12*$E12,0)</f>
        <v>55598672</v>
      </c>
      <c r="P12" s="29"/>
      <c r="Q12" s="21"/>
      <c r="R12" s="47"/>
      <c r="S12" s="26"/>
      <c r="T12" s="41"/>
      <c r="U12" s="41"/>
      <c r="V12" s="26"/>
      <c r="W12" s="26"/>
      <c r="X12" s="26"/>
      <c r="Y12" s="26"/>
      <c r="Z12" s="26"/>
      <c r="AA12" s="26"/>
    </row>
    <row r="13" spans="1:27" ht="15">
      <c r="A13" s="42" t="s">
        <v>18</v>
      </c>
      <c r="B13" s="21"/>
      <c r="C13" s="43">
        <v>13444.0248</v>
      </c>
      <c r="D13" s="23"/>
      <c r="E13" s="48">
        <f>E11-E12</f>
        <v>13749.856605439447</v>
      </c>
      <c r="F13" s="23"/>
      <c r="G13" s="44"/>
      <c r="H13" s="45"/>
      <c r="I13" s="29"/>
      <c r="J13" s="23"/>
      <c r="K13" s="29"/>
      <c r="L13" s="23"/>
      <c r="M13" s="46">
        <f>M12*2</f>
        <v>13.62</v>
      </c>
      <c r="N13" s="45"/>
      <c r="O13" s="29">
        <f>ROUND(M13*$E13,0)</f>
        <v>187273</v>
      </c>
      <c r="P13" s="29"/>
      <c r="Q13" s="21"/>
      <c r="R13" s="47"/>
      <c r="S13" s="26"/>
      <c r="T13" s="41"/>
      <c r="U13" s="41"/>
      <c r="V13" s="26"/>
      <c r="W13" s="26"/>
      <c r="X13" s="26"/>
      <c r="Y13" s="26"/>
      <c r="Z13" s="26"/>
      <c r="AA13" s="26"/>
    </row>
    <row r="14" spans="1:27" ht="15">
      <c r="A14" s="42" t="s">
        <v>19</v>
      </c>
      <c r="B14" s="21"/>
      <c r="C14" s="48">
        <v>1214510836</v>
      </c>
      <c r="D14" s="23"/>
      <c r="E14" s="36">
        <f>ROUND(C14/($C$27-$C$26)*$E$27,0)</f>
        <v>1283234719</v>
      </c>
      <c r="F14" s="23"/>
      <c r="G14" s="49">
        <v>7.5292</v>
      </c>
      <c r="H14" s="50" t="s">
        <v>20</v>
      </c>
      <c r="I14" s="29">
        <f>ROUND($G14*C14/100,0)</f>
        <v>91442950</v>
      </c>
      <c r="J14" s="23"/>
      <c r="K14" s="29">
        <f>ROUND($G14*E14/100,0)</f>
        <v>96617308</v>
      </c>
      <c r="L14" s="23"/>
      <c r="M14" s="49">
        <f>ROUND(G14*(1+$R$20),4)</f>
        <v>8.3359</v>
      </c>
      <c r="N14" s="50" t="s">
        <v>20</v>
      </c>
      <c r="O14" s="29">
        <f>ROUND(M14*$E14/100,0)</f>
        <v>106969163</v>
      </c>
      <c r="P14" s="29"/>
      <c r="Q14" s="51" t="s">
        <v>21</v>
      </c>
      <c r="R14" s="52"/>
      <c r="S14" s="26"/>
      <c r="T14" s="53"/>
      <c r="U14" s="54"/>
      <c r="V14" s="26"/>
      <c r="W14" s="26"/>
      <c r="X14" s="26"/>
      <c r="Y14" s="26"/>
      <c r="Z14" s="26"/>
      <c r="AA14" s="26"/>
    </row>
    <row r="15" spans="1:27" ht="15">
      <c r="A15" s="42" t="s">
        <v>22</v>
      </c>
      <c r="B15" s="21"/>
      <c r="C15" s="48">
        <v>1001916381</v>
      </c>
      <c r="D15" s="23"/>
      <c r="E15" s="36">
        <f>ROUND(C15/($C$27-$C$26)*$E$27,0)</f>
        <v>1058610469</v>
      </c>
      <c r="F15" s="23"/>
      <c r="G15" s="49">
        <v>9.2749</v>
      </c>
      <c r="H15" s="50" t="s">
        <v>20</v>
      </c>
      <c r="I15" s="29">
        <f>ROUND($G15*C15/100,0)</f>
        <v>92926742</v>
      </c>
      <c r="J15" s="23"/>
      <c r="K15" s="29">
        <f>ROUND($G15*E15/100,0)</f>
        <v>98185062</v>
      </c>
      <c r="L15" s="23"/>
      <c r="M15" s="49">
        <f>ROUND(G15*(1+$R$20),4)</f>
        <v>10.2686</v>
      </c>
      <c r="N15" s="50" t="s">
        <v>20</v>
      </c>
      <c r="O15" s="29">
        <f>ROUND(M15*$E15/100,0)</f>
        <v>108704475</v>
      </c>
      <c r="P15" s="29"/>
      <c r="Q15" s="55" t="s">
        <v>23</v>
      </c>
      <c r="R15" s="56">
        <f>O27+O48+O71</f>
        <v>688047104</v>
      </c>
      <c r="S15" s="26"/>
      <c r="T15" s="53"/>
      <c r="U15" s="57"/>
      <c r="V15" s="26"/>
      <c r="W15" s="26"/>
      <c r="X15" s="26"/>
      <c r="Y15" s="26"/>
      <c r="Z15" s="26"/>
      <c r="AA15" s="26"/>
    </row>
    <row r="16" spans="1:27" ht="15">
      <c r="A16" s="42" t="s">
        <v>24</v>
      </c>
      <c r="B16" s="21"/>
      <c r="C16" s="48">
        <v>548870017.2183368</v>
      </c>
      <c r="D16" s="23"/>
      <c r="E16" s="36">
        <f>ROUND(C16/($C$27-$C$26)*$E$27,0)</f>
        <v>579928183</v>
      </c>
      <c r="F16" s="23"/>
      <c r="G16" s="49">
        <v>11.5361</v>
      </c>
      <c r="H16" s="50" t="s">
        <v>20</v>
      </c>
      <c r="I16" s="29">
        <f>ROUND($G16*C16/100,0)</f>
        <v>63318194</v>
      </c>
      <c r="J16" s="23"/>
      <c r="K16" s="29">
        <f>ROUND($G16*E16/100,0)</f>
        <v>66901095</v>
      </c>
      <c r="L16" s="23"/>
      <c r="M16" s="49">
        <f>ROUND(G16*(1+$R$20),4)</f>
        <v>12.7721</v>
      </c>
      <c r="N16" s="50" t="s">
        <v>20</v>
      </c>
      <c r="O16" s="29">
        <f>ROUND(M16*$E16/100,0)</f>
        <v>74069007</v>
      </c>
      <c r="P16" s="29"/>
      <c r="Q16" s="58" t="s">
        <v>25</v>
      </c>
      <c r="R16" s="59">
        <v>688047408.9</v>
      </c>
      <c r="S16" s="26"/>
      <c r="T16" s="60"/>
      <c r="U16" s="47"/>
      <c r="V16" s="26"/>
      <c r="W16" s="26"/>
      <c r="X16" s="26"/>
      <c r="Y16" s="26"/>
      <c r="Z16" s="26"/>
      <c r="AA16" s="26"/>
    </row>
    <row r="17" spans="1:27" ht="15">
      <c r="A17" s="42" t="s">
        <v>26</v>
      </c>
      <c r="B17" s="21"/>
      <c r="C17" s="48">
        <v>3469656771.043726</v>
      </c>
      <c r="D17" s="23"/>
      <c r="E17" s="36">
        <f>ROUND(C17/($C$27-$C$26)*$E$27,0)</f>
        <v>3665989548</v>
      </c>
      <c r="F17" s="23"/>
      <c r="G17" s="61">
        <v>7.8009</v>
      </c>
      <c r="H17" s="50" t="s">
        <v>20</v>
      </c>
      <c r="I17" s="29">
        <f>ROUND($G17*C17/100,0)</f>
        <v>270664455</v>
      </c>
      <c r="J17" s="23"/>
      <c r="K17" s="29">
        <f>ROUND($G17*E17/100,0)</f>
        <v>285980179</v>
      </c>
      <c r="L17" s="23"/>
      <c r="M17" s="62">
        <f>ROUND((R16-SUM(O11:O16,O18:O22,O24,O32:O37,O39:O43,O45,O53:O60,O62:O66,O68))/SUM(E17,E23,E25,E38,E44,E46,E61,E67,E69)*100,4)</f>
        <v>8.6367</v>
      </c>
      <c r="N17" s="50" t="s">
        <v>20</v>
      </c>
      <c r="O17" s="29">
        <f>ROUND(M17*$E17/100,0)</f>
        <v>316620519</v>
      </c>
      <c r="P17" s="29"/>
      <c r="Q17" s="63" t="s">
        <v>27</v>
      </c>
      <c r="R17" s="64">
        <f>R16-R15</f>
        <v>304.89999997615814</v>
      </c>
      <c r="S17" s="26"/>
      <c r="T17" s="60"/>
      <c r="U17" s="65"/>
      <c r="V17" s="26"/>
      <c r="W17" s="26"/>
      <c r="X17" s="26"/>
      <c r="Y17" s="26"/>
      <c r="Z17" s="26"/>
      <c r="AA17" s="26"/>
    </row>
    <row r="18" spans="1:27" ht="15">
      <c r="A18" s="42" t="s">
        <v>28</v>
      </c>
      <c r="B18" s="21"/>
      <c r="C18" s="43">
        <v>76137.93770000049</v>
      </c>
      <c r="D18" s="23"/>
      <c r="E18" s="36">
        <v>77872</v>
      </c>
      <c r="F18" s="23"/>
      <c r="G18" s="44">
        <v>3.78</v>
      </c>
      <c r="H18" s="45"/>
      <c r="I18" s="29">
        <f>ROUND($G18*C18,0)</f>
        <v>287801</v>
      </c>
      <c r="J18" s="23"/>
      <c r="K18" s="29">
        <f>ROUND($G18*E18,0)</f>
        <v>294356</v>
      </c>
      <c r="L18" s="23"/>
      <c r="M18" s="44">
        <f>M12</f>
        <v>6.81</v>
      </c>
      <c r="N18" s="45"/>
      <c r="O18" s="29">
        <f>ROUND(M18*$E18,0)</f>
        <v>530308</v>
      </c>
      <c r="P18" s="29"/>
      <c r="Q18" s="66" t="s">
        <v>29</v>
      </c>
      <c r="R18" s="67">
        <f>R15/(K27+K48+K71)-1</f>
        <v>0.14555345979687395</v>
      </c>
      <c r="S18" s="41"/>
      <c r="T18" s="60"/>
      <c r="U18" s="60"/>
      <c r="V18" s="26"/>
      <c r="W18" s="26"/>
      <c r="X18" s="26"/>
      <c r="Y18" s="26"/>
      <c r="Z18" s="26"/>
      <c r="AA18" s="26"/>
    </row>
    <row r="19" spans="1:27" ht="15">
      <c r="A19" s="42" t="s">
        <v>30</v>
      </c>
      <c r="B19" s="21"/>
      <c r="C19" s="43">
        <v>385.3767</v>
      </c>
      <c r="D19" s="23"/>
      <c r="E19" s="36">
        <v>394</v>
      </c>
      <c r="F19" s="23"/>
      <c r="G19" s="44">
        <v>11.34</v>
      </c>
      <c r="H19" s="68"/>
      <c r="I19" s="29">
        <f>ROUND($G19*C19,0)</f>
        <v>4370</v>
      </c>
      <c r="J19" s="23"/>
      <c r="K19" s="29">
        <f>ROUND($G19*E19,0)</f>
        <v>4468</v>
      </c>
      <c r="L19" s="23"/>
      <c r="M19" s="69">
        <f>M13</f>
        <v>13.62</v>
      </c>
      <c r="N19" s="68"/>
      <c r="O19" s="29">
        <f>ROUND(M19*$E19,0)</f>
        <v>5366</v>
      </c>
      <c r="P19" s="29"/>
      <c r="Q19" s="70" t="s">
        <v>31</v>
      </c>
      <c r="R19" s="71">
        <f>R16/(K27+K48+K71)-1</f>
        <v>0.14555396743544669</v>
      </c>
      <c r="S19" s="26"/>
      <c r="T19" s="60"/>
      <c r="U19" s="60"/>
      <c r="V19" s="26"/>
      <c r="W19" s="26"/>
      <c r="X19" s="26"/>
      <c r="Y19" s="26"/>
      <c r="Z19" s="26"/>
      <c r="AA19" s="26"/>
    </row>
    <row r="20" spans="1:27" ht="15">
      <c r="A20" s="42" t="s">
        <v>32</v>
      </c>
      <c r="B20" s="21"/>
      <c r="C20" s="48">
        <v>0</v>
      </c>
      <c r="D20" s="23"/>
      <c r="E20" s="36">
        <v>0</v>
      </c>
      <c r="F20" s="23"/>
      <c r="G20" s="44">
        <v>47.36</v>
      </c>
      <c r="H20" s="72"/>
      <c r="I20" s="29">
        <f>ROUND($G20*C20,0)</f>
        <v>0</v>
      </c>
      <c r="J20" s="23"/>
      <c r="K20" s="29">
        <f>ROUND($G20*E20,0)</f>
        <v>0</v>
      </c>
      <c r="L20" s="23"/>
      <c r="M20" s="69">
        <f>M12*12</f>
        <v>81.72</v>
      </c>
      <c r="N20" s="72"/>
      <c r="O20" s="73">
        <f>ROUND(M20*$E20,0)</f>
        <v>0</v>
      </c>
      <c r="P20" s="29"/>
      <c r="Q20" s="70" t="s">
        <v>33</v>
      </c>
      <c r="R20" s="74">
        <f>(R16-SUM(O11:O13,O18:O20,O32:O34,O39:O41,O53:O57,O62:O64))/SUM(K14:K17,((E22+E24+E43+E45+E66+E68)*G14+(E23+E25+E44+E46+E67+E69)*G17)/100,K35:K38,K58:K61)-1</f>
        <v>0.10714181298964331</v>
      </c>
      <c r="S20" s="26"/>
      <c r="T20" s="60"/>
      <c r="U20" s="60"/>
      <c r="V20" s="26"/>
      <c r="W20" s="26"/>
      <c r="X20" s="26"/>
      <c r="Y20" s="26"/>
      <c r="Z20" s="26"/>
      <c r="AA20" s="26"/>
    </row>
    <row r="21" spans="1:27" ht="15">
      <c r="A21" s="75" t="s">
        <v>34</v>
      </c>
      <c r="B21" s="21"/>
      <c r="C21" s="76">
        <f>SUM(C22:C25)</f>
        <v>162635</v>
      </c>
      <c r="D21" s="23"/>
      <c r="E21" s="76">
        <f>SUM(E22:E25)</f>
        <v>171837.261844635</v>
      </c>
      <c r="F21" s="23"/>
      <c r="G21" s="61"/>
      <c r="H21" s="50"/>
      <c r="I21" s="73"/>
      <c r="J21" s="23"/>
      <c r="K21" s="73"/>
      <c r="L21" s="23"/>
      <c r="M21" s="61"/>
      <c r="N21" s="50"/>
      <c r="O21" s="73"/>
      <c r="P21" s="29"/>
      <c r="Q21" s="70" t="s">
        <v>35</v>
      </c>
      <c r="R21" s="77">
        <f>SUM(O11:O13,O32:O34,O53:O55)/SUM(K11:K13,K32:K34,K53:K55)-1</f>
        <v>0.8190515594174641</v>
      </c>
      <c r="S21" s="26"/>
      <c r="T21" s="60"/>
      <c r="U21" s="47"/>
      <c r="V21" s="26"/>
      <c r="W21" s="26"/>
      <c r="X21" s="26"/>
      <c r="Y21" s="26"/>
      <c r="Z21" s="26"/>
      <c r="AA21" s="26"/>
    </row>
    <row r="22" spans="1:27" ht="15">
      <c r="A22" s="75" t="s">
        <v>36</v>
      </c>
      <c r="B22" s="21"/>
      <c r="C22" s="48">
        <v>67327</v>
      </c>
      <c r="D22" s="23"/>
      <c r="E22" s="36">
        <f>ROUND(C22/($C$27-$C$26)*$E$27,0)</f>
        <v>71137</v>
      </c>
      <c r="F22" s="23"/>
      <c r="G22" s="61">
        <v>0</v>
      </c>
      <c r="H22" s="50"/>
      <c r="I22" s="29"/>
      <c r="J22" s="23"/>
      <c r="K22" s="29"/>
      <c r="L22" s="23"/>
      <c r="M22" s="61">
        <f>M14</f>
        <v>8.3359</v>
      </c>
      <c r="N22" s="50" t="s">
        <v>20</v>
      </c>
      <c r="O22" s="29">
        <f>ROUND(M22*$E22/100,0)</f>
        <v>5930</v>
      </c>
      <c r="P22" s="29"/>
      <c r="Q22" s="70" t="s">
        <v>37</v>
      </c>
      <c r="R22" s="71">
        <f>O27/K27-1</f>
        <v>0.14525071690179225</v>
      </c>
      <c r="S22" s="26"/>
      <c r="T22" s="50"/>
      <c r="U22" s="41"/>
      <c r="V22" s="26"/>
      <c r="W22" s="26"/>
      <c r="X22" s="26"/>
      <c r="Y22" s="26"/>
      <c r="Z22" s="26"/>
      <c r="AA22" s="26"/>
    </row>
    <row r="23" spans="1:27" ht="15">
      <c r="A23" s="75" t="s">
        <v>38</v>
      </c>
      <c r="B23" s="21"/>
      <c r="C23" s="48">
        <v>71446</v>
      </c>
      <c r="D23" s="23"/>
      <c r="E23" s="36">
        <f>ROUND(C23/($C$27-$C$26)*$E$27,0)</f>
        <v>75489</v>
      </c>
      <c r="F23" s="23"/>
      <c r="G23" s="61">
        <v>0</v>
      </c>
      <c r="H23" s="50"/>
      <c r="I23" s="29"/>
      <c r="J23" s="23"/>
      <c r="K23" s="29"/>
      <c r="L23" s="23"/>
      <c r="M23" s="61">
        <f>M17</f>
        <v>8.6367</v>
      </c>
      <c r="N23" s="50" t="s">
        <v>20</v>
      </c>
      <c r="O23" s="29">
        <f>ROUND(M23*$E23/100,0)</f>
        <v>6520</v>
      </c>
      <c r="P23" s="29"/>
      <c r="Q23" s="70" t="s">
        <v>39</v>
      </c>
      <c r="R23" s="71">
        <f>(O28+O27)/(K28+K27)-1</f>
        <v>0.10381288682544842</v>
      </c>
      <c r="S23" s="26"/>
      <c r="T23" s="78"/>
      <c r="U23" s="26"/>
      <c r="V23" s="26"/>
      <c r="W23" s="26"/>
      <c r="X23" s="26"/>
      <c r="Y23" s="26"/>
      <c r="Z23" s="26"/>
      <c r="AA23" s="26"/>
    </row>
    <row r="24" spans="1:27" ht="15">
      <c r="A24" s="75" t="s">
        <v>40</v>
      </c>
      <c r="B24" s="23"/>
      <c r="C24" s="48">
        <v>12239</v>
      </c>
      <c r="D24" s="23"/>
      <c r="E24" s="36">
        <f>ROUND(C24/($C$27-$C$26)*$E$27,0)</f>
        <v>12932</v>
      </c>
      <c r="F24" s="23"/>
      <c r="G24" s="61"/>
      <c r="H24" s="50"/>
      <c r="I24" s="29"/>
      <c r="J24" s="23"/>
      <c r="K24" s="29"/>
      <c r="L24" s="23"/>
      <c r="M24" s="61">
        <f>M14</f>
        <v>8.3359</v>
      </c>
      <c r="N24" s="50" t="s">
        <v>20</v>
      </c>
      <c r="O24" s="29">
        <f>ROUND(M24*$E24/100,0)</f>
        <v>1078</v>
      </c>
      <c r="P24" s="73"/>
      <c r="Q24" s="66" t="s">
        <v>41</v>
      </c>
      <c r="R24" s="79">
        <f>(E27+E48)/(E11+E18+E19+E32+E39+E40)</f>
        <v>792.1185278091956</v>
      </c>
      <c r="S24" s="26"/>
      <c r="T24" s="29"/>
      <c r="U24" s="26"/>
      <c r="V24" s="26"/>
      <c r="W24" s="26"/>
      <c r="X24" s="26"/>
      <c r="Y24" s="26"/>
      <c r="Z24" s="26"/>
      <c r="AA24" s="26"/>
    </row>
    <row r="25" spans="1:27" ht="15">
      <c r="A25" s="75" t="s">
        <v>42</v>
      </c>
      <c r="B25" s="23"/>
      <c r="C25" s="48">
        <v>11623</v>
      </c>
      <c r="D25" s="23"/>
      <c r="E25" s="48">
        <f>E27-SUM(E14:E17,E22:E24)</f>
        <v>12279.26184463501</v>
      </c>
      <c r="F25" s="23"/>
      <c r="G25" s="61"/>
      <c r="H25" s="50"/>
      <c r="I25" s="29"/>
      <c r="J25" s="23"/>
      <c r="K25" s="29"/>
      <c r="L25" s="23"/>
      <c r="M25" s="61">
        <f>M17</f>
        <v>8.6367</v>
      </c>
      <c r="N25" s="50" t="s">
        <v>20</v>
      </c>
      <c r="O25" s="29">
        <f>ROUND(M25*$E25/100,0)</f>
        <v>1061</v>
      </c>
      <c r="P25" s="73"/>
      <c r="Q25" s="70" t="s">
        <v>43</v>
      </c>
      <c r="R25" s="80">
        <f>SUM(E14:E16,E22,E24,E35:E37,E43,E45)/(SUM(E11,E18,E19,E32,E39,E40)*5/12)</f>
        <v>841.2432070319929</v>
      </c>
      <c r="S25" s="29"/>
      <c r="T25" s="26"/>
      <c r="U25" s="26"/>
      <c r="V25" s="81"/>
      <c r="W25" s="26"/>
      <c r="X25" s="26"/>
      <c r="Y25" s="26"/>
      <c r="Z25" s="26"/>
      <c r="AA25" s="26"/>
    </row>
    <row r="26" spans="1:27" ht="15">
      <c r="A26" s="42" t="s">
        <v>44</v>
      </c>
      <c r="B26" s="21"/>
      <c r="C26" s="82">
        <v>49973129</v>
      </c>
      <c r="D26" s="23"/>
      <c r="E26" s="82">
        <v>0</v>
      </c>
      <c r="F26" s="23"/>
      <c r="G26" s="20"/>
      <c r="H26" s="23"/>
      <c r="I26" s="83">
        <v>4920095</v>
      </c>
      <c r="J26" s="23"/>
      <c r="K26" s="84">
        <v>0</v>
      </c>
      <c r="L26" s="23"/>
      <c r="M26" s="21"/>
      <c r="N26" s="23"/>
      <c r="O26" s="84">
        <v>0</v>
      </c>
      <c r="P26" s="73"/>
      <c r="Q26" s="85" t="s">
        <v>45</v>
      </c>
      <c r="R26" s="86">
        <f>SUM(E17,E23,E25,E38,E44,E46)/(SUM(E11,E18,E19,E32,E39:E40)*7/12)</f>
        <v>757.0294712214834</v>
      </c>
      <c r="S26" s="78"/>
      <c r="T26" s="26"/>
      <c r="U26" s="26"/>
      <c r="V26" s="26"/>
      <c r="W26" s="26"/>
      <c r="X26" s="26"/>
      <c r="Y26" s="26"/>
      <c r="Z26" s="26"/>
      <c r="AA26" s="26"/>
    </row>
    <row r="27" spans="1:27" ht="15.75" thickBot="1">
      <c r="A27" s="42" t="s">
        <v>46</v>
      </c>
      <c r="B27" s="21"/>
      <c r="C27" s="87">
        <f>SUM(C14:C16,C17,C21,C26)</f>
        <v>6285089769.262063</v>
      </c>
      <c r="D27" s="23"/>
      <c r="E27" s="87">
        <v>6587934756.261845</v>
      </c>
      <c r="F27" s="23"/>
      <c r="G27" s="88"/>
      <c r="H27" s="23"/>
      <c r="I27" s="89">
        <f>SUM(I11:I26)</f>
        <v>553549363</v>
      </c>
      <c r="J27" s="23"/>
      <c r="K27" s="89">
        <f>SUM(K11:K26)</f>
        <v>578650039</v>
      </c>
      <c r="L27" s="23"/>
      <c r="M27" s="90"/>
      <c r="N27" s="23"/>
      <c r="O27" s="89">
        <f>SUM(O11:O26)</f>
        <v>662699372</v>
      </c>
      <c r="P27" s="73"/>
      <c r="Q27" s="85" t="s">
        <v>47</v>
      </c>
      <c r="R27" s="91"/>
      <c r="S27" s="78"/>
      <c r="T27" s="41"/>
      <c r="U27" s="41"/>
      <c r="V27" s="41"/>
      <c r="W27" s="41"/>
      <c r="X27" s="41"/>
      <c r="Y27" s="41"/>
      <c r="Z27" s="41"/>
      <c r="AA27" s="41"/>
    </row>
    <row r="28" spans="1:27" ht="15.75" thickTop="1">
      <c r="A28" s="42" t="s">
        <v>48</v>
      </c>
      <c r="B28" s="21"/>
      <c r="C28" s="40"/>
      <c r="D28" s="23"/>
      <c r="E28" s="40"/>
      <c r="F28" s="23"/>
      <c r="G28" s="92"/>
      <c r="H28" s="93"/>
      <c r="I28" s="83">
        <v>21722886.4384</v>
      </c>
      <c r="J28" s="23"/>
      <c r="K28" s="83">
        <f>I28</f>
        <v>21722886.4384</v>
      </c>
      <c r="L28" s="23"/>
      <c r="M28" s="37"/>
      <c r="N28" s="93"/>
      <c r="O28" s="83">
        <v>0</v>
      </c>
      <c r="P28" s="73"/>
      <c r="Q28" s="21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15">
      <c r="A29" s="42" t="s">
        <v>49</v>
      </c>
      <c r="B29" s="21"/>
      <c r="C29" s="40"/>
      <c r="D29" s="23"/>
      <c r="E29" s="40"/>
      <c r="F29" s="23"/>
      <c r="G29" s="92">
        <f>M29</f>
        <v>0.0391</v>
      </c>
      <c r="H29" s="93"/>
      <c r="I29" s="83">
        <f>ROUND(SUM(I14:I19,-(C18+C19)*G11,I28)*$G29,0)</f>
        <v>21117145</v>
      </c>
      <c r="J29" s="23"/>
      <c r="K29" s="83">
        <f>ROUND(SUM(K14:K19,-(E18+E19)*G11,K28)*$G29,0)</f>
        <v>22264004</v>
      </c>
      <c r="L29" s="23"/>
      <c r="M29" s="37">
        <v>0.0391</v>
      </c>
      <c r="N29" s="93"/>
      <c r="O29" s="83">
        <f>ROUND(SUM(O14:O17,O22:O25,O28)*M29,0)</f>
        <v>23709370</v>
      </c>
      <c r="P29" s="73"/>
      <c r="Q29" s="172"/>
      <c r="R29" s="81"/>
      <c r="S29" s="26"/>
      <c r="T29" s="78"/>
      <c r="U29" s="26"/>
      <c r="V29" s="94"/>
      <c r="W29" s="26"/>
      <c r="X29" s="26"/>
      <c r="Y29" s="26"/>
      <c r="Z29" s="26"/>
      <c r="AA29" s="26"/>
    </row>
    <row r="30" spans="1:27" ht="15">
      <c r="A30" s="20"/>
      <c r="B30" s="21"/>
      <c r="C30" s="95"/>
      <c r="D30" s="23"/>
      <c r="E30" s="95"/>
      <c r="F30" s="23"/>
      <c r="G30" s="20"/>
      <c r="H30" s="23"/>
      <c r="I30" s="21"/>
      <c r="J30" s="23"/>
      <c r="K30" s="21"/>
      <c r="L30" s="23"/>
      <c r="M30" s="21"/>
      <c r="N30" s="23"/>
      <c r="O30" s="21"/>
      <c r="P30" s="73"/>
      <c r="Q30" s="162"/>
      <c r="R30" s="26"/>
      <c r="S30" s="26"/>
      <c r="T30" s="78"/>
      <c r="U30" s="78"/>
      <c r="V30" s="26"/>
      <c r="W30" s="26"/>
      <c r="X30" s="26"/>
      <c r="Y30" s="26"/>
      <c r="Z30" s="26"/>
      <c r="AA30" s="26"/>
    </row>
    <row r="31" spans="1:27" ht="15">
      <c r="A31" s="38" t="s">
        <v>50</v>
      </c>
      <c r="B31" s="21"/>
      <c r="C31" s="40"/>
      <c r="D31" s="23"/>
      <c r="E31" s="40"/>
      <c r="F31" s="23"/>
      <c r="G31" s="20"/>
      <c r="H31" s="23"/>
      <c r="I31" s="21"/>
      <c r="J31" s="23"/>
      <c r="K31" s="21"/>
      <c r="L31" s="23"/>
      <c r="M31" s="21"/>
      <c r="N31" s="23"/>
      <c r="O31" s="21"/>
      <c r="P31" s="73"/>
      <c r="Q31" s="115"/>
      <c r="R31" s="26"/>
      <c r="S31" s="26"/>
      <c r="T31" s="78"/>
      <c r="U31" s="78"/>
      <c r="V31" s="26"/>
      <c r="W31" s="26"/>
      <c r="X31" s="26"/>
      <c r="Y31" s="26"/>
      <c r="Z31" s="26"/>
      <c r="AA31" s="26"/>
    </row>
    <row r="32" spans="1:27" ht="15">
      <c r="A32" s="42" t="s">
        <v>16</v>
      </c>
      <c r="B32" s="21"/>
      <c r="C32" s="43">
        <v>343171.692300026</v>
      </c>
      <c r="D32" s="23"/>
      <c r="E32" s="48">
        <v>376337</v>
      </c>
      <c r="F32" s="23"/>
      <c r="G32" s="44">
        <v>3.75</v>
      </c>
      <c r="H32" s="96"/>
      <c r="I32" s="29">
        <f>ROUND($G32*C32,0)</f>
        <v>1286894</v>
      </c>
      <c r="J32" s="23"/>
      <c r="K32" s="29">
        <f>ROUND($G32*E32,0)</f>
        <v>1411264</v>
      </c>
      <c r="L32" s="23"/>
      <c r="M32" s="97">
        <f>M11</f>
        <v>0</v>
      </c>
      <c r="N32" s="96"/>
      <c r="O32" s="29">
        <f>ROUND(M32*$E32,0)</f>
        <v>0</v>
      </c>
      <c r="P32" s="21"/>
      <c r="Q32" s="21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5">
      <c r="A33" s="42" t="s">
        <v>17</v>
      </c>
      <c r="B33" s="21"/>
      <c r="C33" s="43">
        <f>C32-C34</f>
        <v>342597.155600026</v>
      </c>
      <c r="D33" s="23"/>
      <c r="E33" s="48">
        <f>ROUND(C33/C32*E32,0)</f>
        <v>375707</v>
      </c>
      <c r="F33" s="23"/>
      <c r="G33" s="44"/>
      <c r="H33" s="96"/>
      <c r="I33" s="29"/>
      <c r="J33" s="23"/>
      <c r="K33" s="29"/>
      <c r="L33" s="23"/>
      <c r="M33" s="97">
        <f aca="true" t="shared" si="0" ref="M33:M41">M12</f>
        <v>6.81</v>
      </c>
      <c r="N33" s="96"/>
      <c r="O33" s="29">
        <f>ROUND(M33*$E33,0)</f>
        <v>2558565</v>
      </c>
      <c r="P33" s="21"/>
      <c r="Q33" s="171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5">
      <c r="A34" s="42" t="s">
        <v>18</v>
      </c>
      <c r="B34" s="21"/>
      <c r="C34" s="43">
        <v>574.5367</v>
      </c>
      <c r="D34" s="23"/>
      <c r="E34" s="48">
        <f>E32-E33</f>
        <v>630</v>
      </c>
      <c r="F34" s="23"/>
      <c r="G34" s="44"/>
      <c r="H34" s="96"/>
      <c r="I34" s="29"/>
      <c r="J34" s="23"/>
      <c r="K34" s="29"/>
      <c r="L34" s="23"/>
      <c r="M34" s="97">
        <f t="shared" si="0"/>
        <v>13.62</v>
      </c>
      <c r="N34" s="96"/>
      <c r="O34" s="29">
        <f>ROUND(M34*$E34,0)</f>
        <v>8581</v>
      </c>
      <c r="P34" s="21"/>
      <c r="Q34" s="21"/>
      <c r="R34" s="26"/>
      <c r="S34" s="26"/>
      <c r="T34" s="26"/>
      <c r="U34" s="26"/>
      <c r="V34" s="98"/>
      <c r="W34" s="26"/>
      <c r="X34" s="26"/>
      <c r="Y34" s="26"/>
      <c r="Z34" s="26"/>
      <c r="AA34" s="26"/>
    </row>
    <row r="35" spans="1:27" ht="15">
      <c r="A35" s="42" t="s">
        <v>19</v>
      </c>
      <c r="B35" s="21"/>
      <c r="C35" s="48">
        <v>52379160</v>
      </c>
      <c r="D35" s="23"/>
      <c r="E35" s="36">
        <f>C35/($C$48-$C$47)*$E$48</f>
        <v>58115254.89657339</v>
      </c>
      <c r="F35" s="23"/>
      <c r="G35" s="61">
        <v>7.5292</v>
      </c>
      <c r="H35" s="50" t="s">
        <v>20</v>
      </c>
      <c r="I35" s="29">
        <f>ROUND($G35*C35/100,0)</f>
        <v>3943732</v>
      </c>
      <c r="J35" s="23"/>
      <c r="K35" s="29">
        <f>ROUND($G35*E35/100,0)</f>
        <v>4375614</v>
      </c>
      <c r="L35" s="23"/>
      <c r="M35" s="99">
        <f t="shared" si="0"/>
        <v>8.3359</v>
      </c>
      <c r="N35" s="50" t="s">
        <v>20</v>
      </c>
      <c r="O35" s="29">
        <f>ROUND(M35*$E35/100,0)</f>
        <v>4844430</v>
      </c>
      <c r="P35" s="21"/>
      <c r="Q35" s="21"/>
      <c r="R35" s="26"/>
      <c r="S35" s="26"/>
      <c r="T35" s="26"/>
      <c r="U35" s="26"/>
      <c r="V35" s="81"/>
      <c r="W35" s="26"/>
      <c r="X35" s="26"/>
      <c r="Y35" s="26"/>
      <c r="Z35" s="26"/>
      <c r="AA35" s="26"/>
    </row>
    <row r="36" spans="1:27" ht="15">
      <c r="A36" s="42" t="s">
        <v>22</v>
      </c>
      <c r="B36" s="21"/>
      <c r="C36" s="48">
        <v>32883162</v>
      </c>
      <c r="D36" s="23"/>
      <c r="E36" s="36">
        <f>C36/($C$48-$C$47)*$E$48</f>
        <v>36484230.396885246</v>
      </c>
      <c r="F36" s="23"/>
      <c r="G36" s="61">
        <v>9.2749</v>
      </c>
      <c r="H36" s="50" t="s">
        <v>20</v>
      </c>
      <c r="I36" s="29">
        <f>ROUND($G36*C36/100,0)</f>
        <v>3049880</v>
      </c>
      <c r="J36" s="23"/>
      <c r="K36" s="29">
        <f>ROUND($G36*E36/100,0)</f>
        <v>3383876</v>
      </c>
      <c r="L36" s="23"/>
      <c r="M36" s="99">
        <f t="shared" si="0"/>
        <v>10.2686</v>
      </c>
      <c r="N36" s="50" t="s">
        <v>20</v>
      </c>
      <c r="O36" s="29">
        <f>ROUND(M36*$E36/100,0)</f>
        <v>3746420</v>
      </c>
      <c r="P36" s="29"/>
      <c r="Q36" s="21"/>
      <c r="R36" s="26"/>
      <c r="S36" s="26"/>
      <c r="T36" s="26"/>
      <c r="U36" s="26"/>
      <c r="V36" s="81"/>
      <c r="W36" s="26"/>
      <c r="X36" s="26"/>
      <c r="Y36" s="26"/>
      <c r="Z36" s="26"/>
      <c r="AA36" s="26"/>
    </row>
    <row r="37" spans="1:27" ht="15">
      <c r="A37" s="42" t="s">
        <v>24</v>
      </c>
      <c r="B37" s="21"/>
      <c r="C37" s="48">
        <v>8802424.674394533</v>
      </c>
      <c r="D37" s="23"/>
      <c r="E37" s="36">
        <f>C37/($C$48-$C$47)*$E$48</f>
        <v>9766387.121525533</v>
      </c>
      <c r="F37" s="23"/>
      <c r="G37" s="61">
        <v>11.5361</v>
      </c>
      <c r="H37" s="50" t="s">
        <v>20</v>
      </c>
      <c r="I37" s="29">
        <f>ROUND($G37*C37/100,0)</f>
        <v>1015457</v>
      </c>
      <c r="J37" s="23"/>
      <c r="K37" s="29">
        <f>ROUND($G37*E37/100,0)</f>
        <v>1126660</v>
      </c>
      <c r="L37" s="23"/>
      <c r="M37" s="99">
        <f t="shared" si="0"/>
        <v>12.7721</v>
      </c>
      <c r="N37" s="50" t="s">
        <v>20</v>
      </c>
      <c r="O37" s="29">
        <f>ROUND(M37*$E37/100,0)</f>
        <v>1247373</v>
      </c>
      <c r="P37" s="29"/>
      <c r="Q37" s="21"/>
      <c r="R37" s="26"/>
      <c r="S37" s="26"/>
      <c r="T37" s="78"/>
      <c r="U37" s="78"/>
      <c r="V37" s="81"/>
      <c r="W37" s="26"/>
      <c r="X37" s="26"/>
      <c r="Y37" s="26"/>
      <c r="Z37" s="26"/>
      <c r="AA37" s="26"/>
    </row>
    <row r="38" spans="1:27" ht="15">
      <c r="A38" s="42" t="s">
        <v>26</v>
      </c>
      <c r="B38" s="21"/>
      <c r="C38" s="48">
        <v>132052132.24935421</v>
      </c>
      <c r="D38" s="23"/>
      <c r="E38" s="36">
        <f>C38/($C$48-$C$47)*$E$48</f>
        <v>146513295.08352634</v>
      </c>
      <c r="F38" s="23"/>
      <c r="G38" s="61">
        <v>7.8009</v>
      </c>
      <c r="H38" s="50" t="s">
        <v>20</v>
      </c>
      <c r="I38" s="29">
        <f>ROUND($G38*C38/100,0)</f>
        <v>10301255</v>
      </c>
      <c r="J38" s="23"/>
      <c r="K38" s="29">
        <f>ROUND($G38*E38/100,0)</f>
        <v>11429356</v>
      </c>
      <c r="L38" s="23"/>
      <c r="M38" s="99">
        <f t="shared" si="0"/>
        <v>8.6367</v>
      </c>
      <c r="N38" s="50" t="s">
        <v>20</v>
      </c>
      <c r="O38" s="29">
        <f>ROUND(M38*$E38/100,0)</f>
        <v>12653914</v>
      </c>
      <c r="P38" s="29"/>
      <c r="Q38" s="21"/>
      <c r="R38" s="26"/>
      <c r="S38" s="26"/>
      <c r="T38" s="78"/>
      <c r="U38" s="78"/>
      <c r="V38" s="81"/>
      <c r="W38" s="26"/>
      <c r="X38" s="26"/>
      <c r="Y38" s="26"/>
      <c r="Z38" s="26"/>
      <c r="AA38" s="26"/>
    </row>
    <row r="39" spans="1:27" ht="15">
      <c r="A39" s="42" t="s">
        <v>28</v>
      </c>
      <c r="B39" s="21"/>
      <c r="C39" s="43">
        <v>866.7664</v>
      </c>
      <c r="D39" s="23"/>
      <c r="E39" s="48">
        <v>951</v>
      </c>
      <c r="F39" s="23"/>
      <c r="G39" s="44">
        <v>3.78</v>
      </c>
      <c r="H39" s="96"/>
      <c r="I39" s="29">
        <f>ROUND($G39*C39,0)</f>
        <v>3276</v>
      </c>
      <c r="J39" s="23"/>
      <c r="K39" s="29">
        <f>ROUND($G39*E39,0)</f>
        <v>3595</v>
      </c>
      <c r="L39" s="23"/>
      <c r="M39" s="97">
        <f t="shared" si="0"/>
        <v>6.81</v>
      </c>
      <c r="N39" s="96"/>
      <c r="O39" s="29">
        <f>ROUND(M39*$E39,0)</f>
        <v>6476</v>
      </c>
      <c r="P39" s="29"/>
      <c r="Q39" s="23"/>
      <c r="R39" s="100"/>
      <c r="S39" s="78"/>
      <c r="T39" s="78"/>
      <c r="U39" s="78"/>
      <c r="V39" s="81"/>
      <c r="W39" s="26"/>
      <c r="X39" s="26"/>
      <c r="Y39" s="26"/>
      <c r="Z39" s="26"/>
      <c r="AA39" s="26"/>
    </row>
    <row r="40" spans="1:27" ht="15">
      <c r="A40" s="42" t="s">
        <v>30</v>
      </c>
      <c r="B40" s="21"/>
      <c r="C40" s="43">
        <v>4</v>
      </c>
      <c r="D40" s="23"/>
      <c r="E40" s="48">
        <v>4</v>
      </c>
      <c r="F40" s="23"/>
      <c r="G40" s="44">
        <v>11.34</v>
      </c>
      <c r="H40" s="96"/>
      <c r="I40" s="29">
        <f>ROUND($G40*C40,0)</f>
        <v>45</v>
      </c>
      <c r="J40" s="23"/>
      <c r="K40" s="29">
        <f>ROUND($G40*E40,0)</f>
        <v>45</v>
      </c>
      <c r="L40" s="23"/>
      <c r="M40" s="97">
        <f t="shared" si="0"/>
        <v>13.62</v>
      </c>
      <c r="N40" s="96"/>
      <c r="O40" s="29">
        <f>ROUND(M40*$E40,0)</f>
        <v>54</v>
      </c>
      <c r="P40" s="29"/>
      <c r="Q40" s="21"/>
      <c r="R40" s="78"/>
      <c r="S40" s="78"/>
      <c r="T40" s="78"/>
      <c r="U40" s="78"/>
      <c r="V40" s="81"/>
      <c r="W40" s="26"/>
      <c r="X40" s="26"/>
      <c r="Y40" s="26"/>
      <c r="Z40" s="26"/>
      <c r="AA40" s="26"/>
    </row>
    <row r="41" spans="1:27" ht="15">
      <c r="A41" s="42" t="s">
        <v>32</v>
      </c>
      <c r="B41" s="21"/>
      <c r="C41" s="48">
        <v>0</v>
      </c>
      <c r="D41" s="23"/>
      <c r="E41" s="48">
        <v>0</v>
      </c>
      <c r="F41" s="23"/>
      <c r="G41" s="44">
        <v>47.36</v>
      </c>
      <c r="H41" s="96"/>
      <c r="I41" s="29">
        <f>ROUND($G41*C41,0)</f>
        <v>0</v>
      </c>
      <c r="J41" s="23"/>
      <c r="K41" s="29">
        <f>ROUND($G41*E41,0)</f>
        <v>0</v>
      </c>
      <c r="L41" s="23"/>
      <c r="M41" s="97">
        <f t="shared" si="0"/>
        <v>81.72</v>
      </c>
      <c r="N41" s="96"/>
      <c r="O41" s="73">
        <f>ROUND(M41*$E41,0)</f>
        <v>0</v>
      </c>
      <c r="P41" s="29"/>
      <c r="Q41" s="21"/>
      <c r="R41" s="78"/>
      <c r="S41" s="78"/>
      <c r="T41" s="78"/>
      <c r="U41" s="78"/>
      <c r="V41" s="26"/>
      <c r="W41" s="26"/>
      <c r="X41" s="26"/>
      <c r="Y41" s="26"/>
      <c r="Z41" s="26"/>
      <c r="AA41" s="26"/>
    </row>
    <row r="42" spans="1:27" ht="15">
      <c r="A42" s="75" t="s">
        <v>34</v>
      </c>
      <c r="B42" s="23"/>
      <c r="C42" s="76">
        <f>SUM(C43:C46)</f>
        <v>2042</v>
      </c>
      <c r="D42" s="101"/>
      <c r="E42" s="76">
        <f>SUM(E43:E46)</f>
        <v>2265.621489494741</v>
      </c>
      <c r="F42" s="23"/>
      <c r="G42" s="102"/>
      <c r="H42" s="50"/>
      <c r="I42" s="73"/>
      <c r="J42" s="23"/>
      <c r="K42" s="73"/>
      <c r="L42" s="23"/>
      <c r="M42" s="103"/>
      <c r="N42" s="50"/>
      <c r="O42" s="73"/>
      <c r="P42" s="29"/>
      <c r="Q42" s="21"/>
      <c r="R42" s="104"/>
      <c r="S42" s="78"/>
      <c r="T42" s="78"/>
      <c r="U42" s="78"/>
      <c r="V42" s="26"/>
      <c r="W42" s="26"/>
      <c r="X42" s="26"/>
      <c r="Y42" s="26"/>
      <c r="Z42" s="26"/>
      <c r="AA42" s="26"/>
    </row>
    <row r="43" spans="1:27" ht="15">
      <c r="A43" s="75" t="s">
        <v>36</v>
      </c>
      <c r="B43" s="23"/>
      <c r="C43" s="48">
        <v>726</v>
      </c>
      <c r="D43" s="23"/>
      <c r="E43" s="36">
        <f>C43/($C$48-$C$47)*$E$48</f>
        <v>805.5049957829083</v>
      </c>
      <c r="F43" s="23"/>
      <c r="G43" s="102">
        <v>0</v>
      </c>
      <c r="H43" s="50"/>
      <c r="I43" s="29"/>
      <c r="J43" s="23"/>
      <c r="K43" s="29"/>
      <c r="L43" s="23"/>
      <c r="M43" s="103">
        <f>M22</f>
        <v>8.3359</v>
      </c>
      <c r="N43" s="50" t="s">
        <v>20</v>
      </c>
      <c r="O43" s="73">
        <f>ROUND(M43*$E43/100,0)</f>
        <v>67</v>
      </c>
      <c r="P43" s="73"/>
      <c r="Q43" s="21"/>
      <c r="R43" s="104"/>
      <c r="S43" s="78"/>
      <c r="T43" s="78"/>
      <c r="U43" s="78"/>
      <c r="V43" s="26"/>
      <c r="W43" s="26"/>
      <c r="X43" s="26"/>
      <c r="Y43" s="26"/>
      <c r="Z43" s="26"/>
      <c r="AA43" s="26"/>
    </row>
    <row r="44" spans="1:27" ht="15">
      <c r="A44" s="75" t="s">
        <v>38</v>
      </c>
      <c r="B44" s="21"/>
      <c r="C44" s="48">
        <v>935</v>
      </c>
      <c r="D44" s="23"/>
      <c r="E44" s="36">
        <f>C44/($C$48-$C$47)*$E$48</f>
        <v>1037.3927975992</v>
      </c>
      <c r="F44" s="23"/>
      <c r="G44" s="102">
        <v>0</v>
      </c>
      <c r="H44" s="50"/>
      <c r="I44" s="105"/>
      <c r="J44" s="23"/>
      <c r="K44" s="29"/>
      <c r="L44" s="23"/>
      <c r="M44" s="103">
        <f>M23</f>
        <v>8.6367</v>
      </c>
      <c r="N44" s="50" t="s">
        <v>20</v>
      </c>
      <c r="O44" s="73">
        <f>ROUND(M44*$E44/100,0)</f>
        <v>90</v>
      </c>
      <c r="P44" s="73"/>
      <c r="Q44" s="21"/>
      <c r="R44" s="106"/>
      <c r="S44" s="50"/>
      <c r="T44" s="50"/>
      <c r="U44" s="50"/>
      <c r="V44" s="41"/>
      <c r="W44" s="41"/>
      <c r="X44" s="41"/>
      <c r="Y44" s="41"/>
      <c r="Z44" s="41"/>
      <c r="AA44" s="41"/>
    </row>
    <row r="45" spans="1:27" ht="15">
      <c r="A45" s="75" t="s">
        <v>40</v>
      </c>
      <c r="B45" s="23"/>
      <c r="C45" s="48">
        <v>0</v>
      </c>
      <c r="D45" s="23"/>
      <c r="E45" s="36">
        <f>C45/($C$48-$C$47)*$E$48</f>
        <v>0</v>
      </c>
      <c r="F45" s="23"/>
      <c r="G45" s="102"/>
      <c r="H45" s="50"/>
      <c r="I45" s="29"/>
      <c r="J45" s="23"/>
      <c r="K45" s="29"/>
      <c r="L45" s="23"/>
      <c r="M45" s="103">
        <f>M24</f>
        <v>8.3359</v>
      </c>
      <c r="N45" s="50" t="s">
        <v>20</v>
      </c>
      <c r="O45" s="73">
        <f>ROUND(M45*$E45/100,0)</f>
        <v>0</v>
      </c>
      <c r="P45" s="73"/>
      <c r="Q45" s="21"/>
      <c r="R45" s="106"/>
      <c r="S45" s="50"/>
      <c r="T45" s="50"/>
      <c r="U45" s="50"/>
      <c r="V45" s="41"/>
      <c r="W45" s="41"/>
      <c r="X45" s="41"/>
      <c r="Y45" s="41"/>
      <c r="Z45" s="41"/>
      <c r="AA45" s="41"/>
    </row>
    <row r="46" spans="1:27" ht="15">
      <c r="A46" s="75" t="s">
        <v>42</v>
      </c>
      <c r="B46" s="21"/>
      <c r="C46" s="48">
        <v>381</v>
      </c>
      <c r="D46" s="23"/>
      <c r="E46" s="48">
        <f>E48-SUM(E35:E38,E43:E45)</f>
        <v>422.72369611263275</v>
      </c>
      <c r="F46" s="23"/>
      <c r="G46" s="102"/>
      <c r="H46" s="50"/>
      <c r="I46" s="29"/>
      <c r="J46" s="23"/>
      <c r="K46" s="29"/>
      <c r="L46" s="23"/>
      <c r="M46" s="103">
        <f>M25</f>
        <v>8.6367</v>
      </c>
      <c r="N46" s="50" t="s">
        <v>20</v>
      </c>
      <c r="O46" s="73">
        <f>ROUND(M46*$E46/100,0)</f>
        <v>37</v>
      </c>
      <c r="P46" s="73"/>
      <c r="Q46" s="21"/>
      <c r="R46" s="106"/>
      <c r="S46" s="50"/>
      <c r="T46" s="50"/>
      <c r="U46" s="50"/>
      <c r="V46" s="41"/>
      <c r="W46" s="41"/>
      <c r="X46" s="41"/>
      <c r="Y46" s="41"/>
      <c r="Z46" s="41"/>
      <c r="AA46" s="41"/>
    </row>
    <row r="47" spans="1:27" ht="15">
      <c r="A47" s="42" t="s">
        <v>44</v>
      </c>
      <c r="B47" s="21"/>
      <c r="C47" s="82">
        <v>1813418</v>
      </c>
      <c r="D47" s="23"/>
      <c r="E47" s="82">
        <v>0</v>
      </c>
      <c r="F47" s="23"/>
      <c r="G47" s="20"/>
      <c r="H47" s="23"/>
      <c r="I47" s="83">
        <v>176295</v>
      </c>
      <c r="J47" s="23"/>
      <c r="K47" s="84">
        <v>0</v>
      </c>
      <c r="L47" s="23"/>
      <c r="M47" s="21"/>
      <c r="N47" s="23"/>
      <c r="O47" s="84">
        <v>0</v>
      </c>
      <c r="P47" s="73"/>
      <c r="Q47" s="23"/>
      <c r="R47" s="50"/>
      <c r="S47" s="78"/>
      <c r="T47" s="78"/>
      <c r="U47" s="78"/>
      <c r="V47" s="26"/>
      <c r="W47" s="26"/>
      <c r="X47" s="26"/>
      <c r="Y47" s="26"/>
      <c r="Z47" s="26"/>
      <c r="AA47" s="26"/>
    </row>
    <row r="48" spans="1:27" ht="15.75" thickBot="1">
      <c r="A48" s="42" t="s">
        <v>46</v>
      </c>
      <c r="B48" s="21"/>
      <c r="C48" s="87">
        <f>SUM(C35:D37,C38,C42,C47)</f>
        <v>227932338.92374873</v>
      </c>
      <c r="D48" s="23"/>
      <c r="E48" s="87">
        <v>250881433.12</v>
      </c>
      <c r="F48" s="23"/>
      <c r="G48" s="88"/>
      <c r="H48" s="23"/>
      <c r="I48" s="89">
        <f>SUM(I32:I47)</f>
        <v>19776834</v>
      </c>
      <c r="J48" s="23"/>
      <c r="K48" s="89">
        <f>SUM(K32:K47)</f>
        <v>21730410</v>
      </c>
      <c r="L48" s="23"/>
      <c r="M48" s="90"/>
      <c r="N48" s="23"/>
      <c r="O48" s="89">
        <f>SUM(O32:O47)</f>
        <v>25066007</v>
      </c>
      <c r="P48" s="73"/>
      <c r="Q48" s="23"/>
      <c r="R48" s="50"/>
      <c r="S48" s="78"/>
      <c r="T48" s="78"/>
      <c r="U48" s="78"/>
      <c r="V48" s="26"/>
      <c r="W48" s="26"/>
      <c r="X48" s="26"/>
      <c r="Y48" s="26"/>
      <c r="Z48" s="26"/>
      <c r="AA48" s="26"/>
    </row>
    <row r="49" spans="1:27" ht="15.75" thickTop="1">
      <c r="A49" s="42" t="s">
        <v>48</v>
      </c>
      <c r="B49" s="21"/>
      <c r="C49" s="40"/>
      <c r="D49" s="23"/>
      <c r="E49" s="40"/>
      <c r="F49" s="23"/>
      <c r="G49" s="92"/>
      <c r="H49" s="93"/>
      <c r="I49" s="83">
        <v>658179.2672</v>
      </c>
      <c r="J49" s="23"/>
      <c r="K49" s="83">
        <f>I49</f>
        <v>658179.2672</v>
      </c>
      <c r="L49" s="23"/>
      <c r="M49" s="37"/>
      <c r="N49" s="93"/>
      <c r="O49" s="83">
        <v>0</v>
      </c>
      <c r="P49" s="73"/>
      <c r="Q49" s="21"/>
      <c r="R49" s="78"/>
      <c r="S49" s="78"/>
      <c r="T49" s="78"/>
      <c r="U49" s="78"/>
      <c r="V49" s="26"/>
      <c r="W49" s="26"/>
      <c r="X49" s="26"/>
      <c r="Y49" s="26"/>
      <c r="Z49" s="26"/>
      <c r="AA49" s="26"/>
    </row>
    <row r="50" spans="1:27" ht="15">
      <c r="A50" s="42" t="s">
        <v>49</v>
      </c>
      <c r="B50" s="21"/>
      <c r="C50" s="40"/>
      <c r="D50" s="23"/>
      <c r="E50" s="40"/>
      <c r="F50" s="23"/>
      <c r="G50" s="92">
        <f>M50</f>
        <v>0.0391</v>
      </c>
      <c r="H50" s="93"/>
      <c r="I50" s="83">
        <f>ROUND(SUM(I35:I40,-(C39+C40)*G32,I49)*$G50,0)</f>
        <v>741671</v>
      </c>
      <c r="J50" s="23"/>
      <c r="K50" s="83">
        <f>ROUND(SUM(K35:K40,-(E39+E40)*G32,K49)*$G50,0)</f>
        <v>820073</v>
      </c>
      <c r="L50" s="23"/>
      <c r="M50" s="37">
        <v>0.0391</v>
      </c>
      <c r="N50" s="93"/>
      <c r="O50" s="83">
        <f>ROUND(SUM(O35:O38,O43:O46,O49)*$G50,0)</f>
        <v>879450</v>
      </c>
      <c r="P50" s="73"/>
      <c r="Q50" s="21"/>
      <c r="R50" s="26"/>
      <c r="S50" s="78"/>
      <c r="T50" s="78"/>
      <c r="U50" s="78"/>
      <c r="V50" s="26"/>
      <c r="W50" s="26"/>
      <c r="X50" s="26"/>
      <c r="Y50" s="26"/>
      <c r="Z50" s="26"/>
      <c r="AA50" s="26"/>
    </row>
    <row r="51" spans="1:27" ht="15">
      <c r="A51" s="20"/>
      <c r="B51" s="21"/>
      <c r="C51" s="40"/>
      <c r="D51" s="23"/>
      <c r="E51" s="40"/>
      <c r="F51" s="23"/>
      <c r="G51" s="20"/>
      <c r="H51" s="23"/>
      <c r="I51" s="21"/>
      <c r="J51" s="23"/>
      <c r="K51" s="21"/>
      <c r="L51" s="23"/>
      <c r="M51" s="21"/>
      <c r="N51" s="23"/>
      <c r="O51" s="21"/>
      <c r="P51" s="21"/>
      <c r="Q51" s="21"/>
      <c r="R51" s="26"/>
      <c r="S51" s="78"/>
      <c r="T51" s="78"/>
      <c r="U51" s="78"/>
      <c r="V51" s="26"/>
      <c r="W51" s="26"/>
      <c r="X51" s="26"/>
      <c r="Y51" s="26"/>
      <c r="Z51" s="26"/>
      <c r="AA51" s="26"/>
    </row>
    <row r="52" spans="1:27" ht="15">
      <c r="A52" s="38" t="s">
        <v>52</v>
      </c>
      <c r="B52" s="21"/>
      <c r="C52" s="40"/>
      <c r="D52" s="23"/>
      <c r="E52" s="40"/>
      <c r="F52" s="23"/>
      <c r="G52" s="20"/>
      <c r="H52" s="23"/>
      <c r="I52" s="21"/>
      <c r="J52" s="23"/>
      <c r="K52" s="21"/>
      <c r="L52" s="23"/>
      <c r="M52" s="21"/>
      <c r="N52" s="23"/>
      <c r="O52" s="21"/>
      <c r="P52" s="21"/>
      <c r="Q52" s="21"/>
      <c r="R52" s="26"/>
      <c r="S52" s="78"/>
      <c r="T52" s="78"/>
      <c r="U52" s="78"/>
      <c r="V52" s="26"/>
      <c r="W52" s="26"/>
      <c r="X52" s="26"/>
      <c r="Y52" s="26"/>
      <c r="Z52" s="26"/>
      <c r="AA52" s="26"/>
    </row>
    <row r="53" spans="1:27" ht="15">
      <c r="A53" s="42" t="s">
        <v>16</v>
      </c>
      <c r="B53" s="21"/>
      <c r="C53" s="43">
        <v>4290.465999999989</v>
      </c>
      <c r="D53" s="23"/>
      <c r="E53" s="48">
        <v>4344.143394560125</v>
      </c>
      <c r="F53" s="23"/>
      <c r="G53" s="44">
        <v>3.75</v>
      </c>
      <c r="H53" s="96"/>
      <c r="I53" s="29">
        <f>ROUND($G53*C53,0)</f>
        <v>16089</v>
      </c>
      <c r="J53" s="23"/>
      <c r="K53" s="29">
        <f>ROUND($G53*E53,0)</f>
        <v>16291</v>
      </c>
      <c r="L53" s="23"/>
      <c r="M53" s="97">
        <f>M11</f>
        <v>0</v>
      </c>
      <c r="N53" s="96"/>
      <c r="O53" s="29">
        <f>ROUND(M53*$E53,0)</f>
        <v>0</v>
      </c>
      <c r="P53" s="29"/>
      <c r="Q53" s="21"/>
      <c r="R53" s="47"/>
      <c r="S53" s="78"/>
      <c r="T53" s="78"/>
      <c r="U53" s="78"/>
      <c r="V53" s="26"/>
      <c r="W53" s="26"/>
      <c r="X53" s="26"/>
      <c r="Y53" s="26"/>
      <c r="Z53" s="26"/>
      <c r="AA53" s="26"/>
    </row>
    <row r="54" spans="1:27" ht="15">
      <c r="A54" s="42" t="s">
        <v>17</v>
      </c>
      <c r="B54" s="21"/>
      <c r="C54" s="43">
        <f>C53-C55</f>
        <v>4288.465999999989</v>
      </c>
      <c r="D54" s="23"/>
      <c r="E54" s="48">
        <f>ROUND(C54/C53*E53,0)</f>
        <v>4342</v>
      </c>
      <c r="F54" s="23"/>
      <c r="G54" s="44"/>
      <c r="H54" s="96"/>
      <c r="I54" s="29"/>
      <c r="J54" s="23"/>
      <c r="K54" s="29"/>
      <c r="L54" s="23"/>
      <c r="M54" s="97">
        <f>M12</f>
        <v>6.81</v>
      </c>
      <c r="N54" s="96"/>
      <c r="O54" s="29">
        <f>ROUND(M54*$E54,0)</f>
        <v>29569</v>
      </c>
      <c r="P54" s="29"/>
      <c r="Q54" s="21"/>
      <c r="R54" s="47"/>
      <c r="S54" s="78"/>
      <c r="T54" s="78"/>
      <c r="U54" s="78"/>
      <c r="V54" s="26"/>
      <c r="W54" s="26"/>
      <c r="X54" s="26"/>
      <c r="Y54" s="26"/>
      <c r="Z54" s="26"/>
      <c r="AA54" s="26"/>
    </row>
    <row r="55" spans="1:27" ht="15">
      <c r="A55" s="42" t="s">
        <v>18</v>
      </c>
      <c r="B55" s="21"/>
      <c r="C55" s="43">
        <v>2</v>
      </c>
      <c r="D55" s="23"/>
      <c r="E55" s="48">
        <f>E53-E54</f>
        <v>2.1433945601247615</v>
      </c>
      <c r="F55" s="23"/>
      <c r="G55" s="44"/>
      <c r="H55" s="96"/>
      <c r="I55" s="29"/>
      <c r="J55" s="23"/>
      <c r="K55" s="29"/>
      <c r="L55" s="23"/>
      <c r="M55" s="97">
        <f>M13</f>
        <v>13.62</v>
      </c>
      <c r="N55" s="96"/>
      <c r="O55" s="29">
        <f>ROUND(M55*$E55,0)</f>
        <v>29</v>
      </c>
      <c r="P55" s="29"/>
      <c r="Q55" s="21"/>
      <c r="R55" s="47"/>
      <c r="S55" s="78"/>
      <c r="T55" s="78"/>
      <c r="U55" s="78"/>
      <c r="V55" s="26"/>
      <c r="W55" s="26"/>
      <c r="X55" s="26"/>
      <c r="Y55" s="26"/>
      <c r="Z55" s="26"/>
      <c r="AA55" s="26"/>
    </row>
    <row r="56" spans="1:27" ht="15">
      <c r="A56" s="42" t="s">
        <v>53</v>
      </c>
      <c r="B56" s="21"/>
      <c r="C56" s="43">
        <v>270640</v>
      </c>
      <c r="D56" s="23"/>
      <c r="E56" s="48">
        <f aca="true" t="shared" si="1" ref="E56:E61">C56/($C$71-$C$70)*$E$71</f>
        <v>245210.54264628116</v>
      </c>
      <c r="F56" s="23"/>
      <c r="G56" s="107">
        <v>4.3762</v>
      </c>
      <c r="H56" s="50" t="s">
        <v>20</v>
      </c>
      <c r="I56" s="29">
        <f aca="true" t="shared" si="2" ref="I56:I61">ROUND($G56*C56/100,0)</f>
        <v>11844</v>
      </c>
      <c r="J56" s="23"/>
      <c r="K56" s="29">
        <f aca="true" t="shared" si="3" ref="K56:K61">ROUND($G56*E56/100,0)</f>
        <v>10731</v>
      </c>
      <c r="L56" s="23"/>
      <c r="M56" s="108">
        <v>4.3762</v>
      </c>
      <c r="N56" s="50" t="s">
        <v>20</v>
      </c>
      <c r="O56" s="29">
        <f aca="true" t="shared" si="4" ref="O56:O61">ROUND(M56*$E56/100,0)</f>
        <v>10731</v>
      </c>
      <c r="P56" s="29"/>
      <c r="Q56" s="21"/>
      <c r="R56" s="26"/>
      <c r="S56" s="78"/>
      <c r="T56" s="78"/>
      <c r="U56" s="78"/>
      <c r="V56" s="26"/>
      <c r="W56" s="26"/>
      <c r="X56" s="26"/>
      <c r="Y56" s="26"/>
      <c r="Z56" s="26"/>
      <c r="AA56" s="26"/>
    </row>
    <row r="57" spans="1:27" ht="15">
      <c r="A57" s="42" t="s">
        <v>54</v>
      </c>
      <c r="B57" s="21"/>
      <c r="C57" s="43">
        <v>958624.5163037424</v>
      </c>
      <c r="D57" s="23"/>
      <c r="E57" s="48">
        <f t="shared" si="1"/>
        <v>868551.7212417583</v>
      </c>
      <c r="F57" s="23"/>
      <c r="G57" s="107">
        <v>-1.4014</v>
      </c>
      <c r="H57" s="50" t="s">
        <v>20</v>
      </c>
      <c r="I57" s="29">
        <f t="shared" si="2"/>
        <v>-13434</v>
      </c>
      <c r="J57" s="23"/>
      <c r="K57" s="29">
        <f t="shared" si="3"/>
        <v>-12172</v>
      </c>
      <c r="L57" s="23"/>
      <c r="M57" s="108">
        <v>-1.4014</v>
      </c>
      <c r="N57" s="50" t="s">
        <v>20</v>
      </c>
      <c r="O57" s="29">
        <f t="shared" si="4"/>
        <v>-12172</v>
      </c>
      <c r="P57" s="29"/>
      <c r="Q57" s="21"/>
      <c r="R57" s="78"/>
      <c r="S57" s="78"/>
      <c r="T57" s="78"/>
      <c r="U57" s="78"/>
      <c r="V57" s="26"/>
      <c r="W57" s="26"/>
      <c r="X57" s="26"/>
      <c r="Y57" s="26"/>
      <c r="Z57" s="26"/>
      <c r="AA57" s="26"/>
    </row>
    <row r="58" spans="1:27" ht="15">
      <c r="A58" s="42" t="s">
        <v>19</v>
      </c>
      <c r="B58" s="21"/>
      <c r="C58" s="48">
        <v>622997</v>
      </c>
      <c r="D58" s="23"/>
      <c r="E58" s="48">
        <f t="shared" si="1"/>
        <v>564459.9188479353</v>
      </c>
      <c r="F58" s="23"/>
      <c r="G58" s="61">
        <v>7.5292</v>
      </c>
      <c r="H58" s="50" t="s">
        <v>20</v>
      </c>
      <c r="I58" s="29">
        <f t="shared" si="2"/>
        <v>46907</v>
      </c>
      <c r="J58" s="23"/>
      <c r="K58" s="29">
        <f t="shared" si="3"/>
        <v>42499</v>
      </c>
      <c r="L58" s="23"/>
      <c r="M58" s="99">
        <f aca="true" t="shared" si="5" ref="M58:M64">M14</f>
        <v>8.3359</v>
      </c>
      <c r="N58" s="50" t="s">
        <v>20</v>
      </c>
      <c r="O58" s="29">
        <f t="shared" si="4"/>
        <v>47053</v>
      </c>
      <c r="P58" s="29"/>
      <c r="Q58" s="21"/>
      <c r="R58" s="78"/>
      <c r="S58" s="78"/>
      <c r="T58" s="78"/>
      <c r="U58" s="109"/>
      <c r="V58" s="26"/>
      <c r="W58" s="26"/>
      <c r="X58" s="26"/>
      <c r="Y58" s="26"/>
      <c r="Z58" s="26"/>
      <c r="AA58" s="26"/>
    </row>
    <row r="59" spans="1:27" ht="15">
      <c r="A59" s="42" t="s">
        <v>22</v>
      </c>
      <c r="B59" s="21"/>
      <c r="C59" s="48">
        <v>433584</v>
      </c>
      <c r="D59" s="23"/>
      <c r="E59" s="48">
        <f t="shared" si="1"/>
        <v>392844.25037963776</v>
      </c>
      <c r="F59" s="23"/>
      <c r="G59" s="61">
        <v>9.2749</v>
      </c>
      <c r="H59" s="50" t="s">
        <v>20</v>
      </c>
      <c r="I59" s="29">
        <f t="shared" si="2"/>
        <v>40214</v>
      </c>
      <c r="J59" s="23"/>
      <c r="K59" s="29">
        <f t="shared" si="3"/>
        <v>36436</v>
      </c>
      <c r="L59" s="23"/>
      <c r="M59" s="99">
        <f t="shared" si="5"/>
        <v>10.2686</v>
      </c>
      <c r="N59" s="50" t="s">
        <v>20</v>
      </c>
      <c r="O59" s="29">
        <f t="shared" si="4"/>
        <v>40340</v>
      </c>
      <c r="P59" s="29"/>
      <c r="Q59" s="21"/>
      <c r="R59" s="78"/>
      <c r="S59" s="78"/>
      <c r="T59" s="78"/>
      <c r="U59" s="109"/>
      <c r="V59" s="26"/>
      <c r="W59" s="26"/>
      <c r="X59" s="26"/>
      <c r="Y59" s="26"/>
      <c r="Z59" s="26"/>
      <c r="AA59" s="26"/>
    </row>
    <row r="60" spans="1:27" ht="15">
      <c r="A60" s="42" t="s">
        <v>24</v>
      </c>
      <c r="B60" s="21"/>
      <c r="C60" s="48">
        <v>174456.51630374236</v>
      </c>
      <c r="D60" s="23"/>
      <c r="E60" s="48">
        <f t="shared" si="1"/>
        <v>158064.5027749795</v>
      </c>
      <c r="F60" s="23"/>
      <c r="G60" s="61">
        <v>11.5361</v>
      </c>
      <c r="H60" s="50" t="s">
        <v>20</v>
      </c>
      <c r="I60" s="29">
        <f t="shared" si="2"/>
        <v>20125</v>
      </c>
      <c r="J60" s="23"/>
      <c r="K60" s="29">
        <f t="shared" si="3"/>
        <v>18234</v>
      </c>
      <c r="L60" s="23"/>
      <c r="M60" s="99">
        <f t="shared" si="5"/>
        <v>12.7721</v>
      </c>
      <c r="N60" s="50" t="s">
        <v>20</v>
      </c>
      <c r="O60" s="29">
        <f t="shared" si="4"/>
        <v>20188</v>
      </c>
      <c r="P60" s="29"/>
      <c r="Q60" s="21"/>
      <c r="R60" s="78"/>
      <c r="S60" s="78"/>
      <c r="T60" s="78"/>
      <c r="U60" s="78"/>
      <c r="V60" s="26"/>
      <c r="W60" s="26"/>
      <c r="X60" s="26"/>
      <c r="Y60" s="26"/>
      <c r="Z60" s="26"/>
      <c r="AA60" s="26"/>
    </row>
    <row r="61" spans="1:27" ht="15">
      <c r="A61" s="42" t="s">
        <v>26</v>
      </c>
      <c r="B61" s="21"/>
      <c r="C61" s="48">
        <v>1859244.9939319452</v>
      </c>
      <c r="D61" s="23"/>
      <c r="E61" s="48">
        <f t="shared" si="1"/>
        <v>1684549.4896335867</v>
      </c>
      <c r="F61" s="23"/>
      <c r="G61" s="61">
        <v>7.8009</v>
      </c>
      <c r="H61" s="50" t="s">
        <v>20</v>
      </c>
      <c r="I61" s="29">
        <f t="shared" si="2"/>
        <v>145038</v>
      </c>
      <c r="J61" s="23"/>
      <c r="K61" s="29">
        <f t="shared" si="3"/>
        <v>131410</v>
      </c>
      <c r="L61" s="23"/>
      <c r="M61" s="99">
        <f t="shared" si="5"/>
        <v>8.6367</v>
      </c>
      <c r="N61" s="50" t="s">
        <v>20</v>
      </c>
      <c r="O61" s="29">
        <f t="shared" si="4"/>
        <v>145489</v>
      </c>
      <c r="P61" s="29"/>
      <c r="Q61" s="21"/>
      <c r="R61" s="78"/>
      <c r="S61" s="50"/>
      <c r="T61" s="78"/>
      <c r="U61" s="78"/>
      <c r="V61" s="26"/>
      <c r="W61" s="26"/>
      <c r="X61" s="26"/>
      <c r="Y61" s="26"/>
      <c r="Z61" s="26"/>
      <c r="AA61" s="26"/>
    </row>
    <row r="62" spans="1:27" ht="15">
      <c r="A62" s="42" t="s">
        <v>28</v>
      </c>
      <c r="B62" s="21"/>
      <c r="C62" s="43">
        <v>51.3704</v>
      </c>
      <c r="D62" s="23"/>
      <c r="E62" s="48">
        <v>52</v>
      </c>
      <c r="F62" s="23"/>
      <c r="G62" s="44">
        <v>3.78</v>
      </c>
      <c r="H62" s="96"/>
      <c r="I62" s="29">
        <f>ROUND($G62*C62,0)</f>
        <v>194</v>
      </c>
      <c r="J62" s="23"/>
      <c r="K62" s="29">
        <f>ROUND($G62*E62,0)</f>
        <v>197</v>
      </c>
      <c r="L62" s="23"/>
      <c r="M62" s="97">
        <f t="shared" si="5"/>
        <v>6.81</v>
      </c>
      <c r="N62" s="96"/>
      <c r="O62" s="29">
        <f>ROUND(M62*$E62,0)</f>
        <v>354</v>
      </c>
      <c r="P62" s="29"/>
      <c r="Q62" s="21"/>
      <c r="R62" s="78"/>
      <c r="S62" s="50"/>
      <c r="T62" s="78"/>
      <c r="U62" s="78"/>
      <c r="V62" s="26"/>
      <c r="W62" s="26"/>
      <c r="X62" s="26"/>
      <c r="Y62" s="26"/>
      <c r="Z62" s="26"/>
      <c r="AA62" s="26"/>
    </row>
    <row r="63" spans="1:27" ht="15">
      <c r="A63" s="42" t="s">
        <v>30</v>
      </c>
      <c r="B63" s="21"/>
      <c r="C63" s="43">
        <v>8.9634</v>
      </c>
      <c r="D63" s="23"/>
      <c r="E63" s="48">
        <v>9</v>
      </c>
      <c r="F63" s="23"/>
      <c r="G63" s="44">
        <v>11.34</v>
      </c>
      <c r="H63" s="96"/>
      <c r="I63" s="29">
        <f>ROUND($G63*C63,0)</f>
        <v>102</v>
      </c>
      <c r="J63" s="23"/>
      <c r="K63" s="29">
        <f>ROUND($G63*E63,0)</f>
        <v>102</v>
      </c>
      <c r="L63" s="23"/>
      <c r="M63" s="97">
        <f t="shared" si="5"/>
        <v>13.62</v>
      </c>
      <c r="N63" s="96"/>
      <c r="O63" s="29">
        <f>ROUND(M63*$E63,0)</f>
        <v>123</v>
      </c>
      <c r="P63" s="73"/>
      <c r="Q63" s="21"/>
      <c r="R63" s="78"/>
      <c r="S63" s="50"/>
      <c r="T63" s="50"/>
      <c r="U63" s="50"/>
      <c r="V63" s="41"/>
      <c r="W63" s="41"/>
      <c r="X63" s="41"/>
      <c r="Y63" s="41"/>
      <c r="Z63" s="41"/>
      <c r="AA63" s="41"/>
    </row>
    <row r="64" spans="1:27" ht="15">
      <c r="A64" s="42" t="s">
        <v>32</v>
      </c>
      <c r="B64" s="21"/>
      <c r="C64" s="48">
        <v>0</v>
      </c>
      <c r="D64" s="23"/>
      <c r="E64" s="48">
        <v>0</v>
      </c>
      <c r="F64" s="23"/>
      <c r="G64" s="44">
        <v>47.36</v>
      </c>
      <c r="H64" s="96"/>
      <c r="I64" s="29">
        <f>ROUND($G64*C64,0)</f>
        <v>0</v>
      </c>
      <c r="J64" s="23"/>
      <c r="K64" s="29">
        <f>ROUND($G64*E64,0)</f>
        <v>0</v>
      </c>
      <c r="L64" s="23"/>
      <c r="M64" s="97">
        <f t="shared" si="5"/>
        <v>81.72</v>
      </c>
      <c r="N64" s="96"/>
      <c r="O64" s="29">
        <f>ROUND(M64*$E64,0)</f>
        <v>0</v>
      </c>
      <c r="P64" s="73"/>
      <c r="Q64" s="21"/>
      <c r="R64" s="78"/>
      <c r="S64" s="78"/>
      <c r="T64" s="50"/>
      <c r="U64" s="50"/>
      <c r="V64" s="41"/>
      <c r="W64" s="41"/>
      <c r="X64" s="41"/>
      <c r="Y64" s="41"/>
      <c r="Z64" s="41"/>
      <c r="AA64" s="41"/>
    </row>
    <row r="65" spans="1:27" ht="15">
      <c r="A65" s="75" t="s">
        <v>34</v>
      </c>
      <c r="B65" s="23"/>
      <c r="C65" s="76">
        <f>SUM(C66:C69)</f>
        <v>266</v>
      </c>
      <c r="D65" s="23"/>
      <c r="E65" s="76">
        <f>SUM(E66:E69)</f>
        <v>241.00651915475848</v>
      </c>
      <c r="F65" s="23"/>
      <c r="G65" s="102"/>
      <c r="H65" s="50"/>
      <c r="I65" s="73"/>
      <c r="J65" s="23"/>
      <c r="K65" s="73"/>
      <c r="L65" s="23"/>
      <c r="M65" s="103"/>
      <c r="N65" s="50"/>
      <c r="O65" s="73"/>
      <c r="P65" s="73"/>
      <c r="Q65" s="21"/>
      <c r="R65" s="78"/>
      <c r="S65" s="78"/>
      <c r="T65" s="50"/>
      <c r="U65" s="50"/>
      <c r="V65" s="41"/>
      <c r="W65" s="41"/>
      <c r="X65" s="41"/>
      <c r="Y65" s="41"/>
      <c r="Z65" s="41"/>
      <c r="AA65" s="41"/>
    </row>
    <row r="66" spans="1:27" ht="15">
      <c r="A66" s="75" t="s">
        <v>36</v>
      </c>
      <c r="B66" s="23"/>
      <c r="C66" s="48">
        <v>4</v>
      </c>
      <c r="D66" s="23"/>
      <c r="E66" s="48">
        <f>C66/($C$71-$C$70)*$E$71</f>
        <v>3.6241581827709304</v>
      </c>
      <c r="F66" s="23"/>
      <c r="G66" s="102">
        <v>0</v>
      </c>
      <c r="H66" s="50"/>
      <c r="I66" s="29"/>
      <c r="J66" s="23"/>
      <c r="K66" s="29"/>
      <c r="L66" s="23"/>
      <c r="M66" s="103">
        <f>M22</f>
        <v>8.3359</v>
      </c>
      <c r="N66" s="50" t="s">
        <v>20</v>
      </c>
      <c r="O66" s="73">
        <f>ROUND(M66*$E66/100,0)</f>
        <v>0</v>
      </c>
      <c r="P66" s="73"/>
      <c r="Q66" s="21"/>
      <c r="R66" s="78"/>
      <c r="S66" s="26"/>
      <c r="T66" s="78"/>
      <c r="U66" s="78"/>
      <c r="V66" s="26"/>
      <c r="W66" s="26"/>
      <c r="X66" s="26"/>
      <c r="Y66" s="26"/>
      <c r="Z66" s="26"/>
      <c r="AA66" s="26"/>
    </row>
    <row r="67" spans="1:27" ht="15">
      <c r="A67" s="75" t="s">
        <v>38</v>
      </c>
      <c r="B67" s="21"/>
      <c r="C67" s="48">
        <v>76</v>
      </c>
      <c r="D67" s="23"/>
      <c r="E67" s="48">
        <f>C67/($C$71-$C$70)*$E$71</f>
        <v>68.85900547264767</v>
      </c>
      <c r="F67" s="23"/>
      <c r="G67" s="102">
        <v>0</v>
      </c>
      <c r="H67" s="50"/>
      <c r="I67" s="29"/>
      <c r="J67" s="23"/>
      <c r="K67" s="29"/>
      <c r="L67" s="23"/>
      <c r="M67" s="103">
        <f>M23</f>
        <v>8.6367</v>
      </c>
      <c r="N67" s="50" t="s">
        <v>20</v>
      </c>
      <c r="O67" s="73">
        <f>ROUND(M67*$E67/100,0)</f>
        <v>6</v>
      </c>
      <c r="P67" s="73"/>
      <c r="Q67" s="21"/>
      <c r="R67" s="78"/>
      <c r="S67" s="78"/>
      <c r="T67" s="78"/>
      <c r="U67" s="78"/>
      <c r="V67" s="26"/>
      <c r="W67" s="26"/>
      <c r="X67" s="26"/>
      <c r="Y67" s="26"/>
      <c r="Z67" s="26"/>
      <c r="AA67" s="26"/>
    </row>
    <row r="68" spans="1:27" ht="15">
      <c r="A68" s="75" t="s">
        <v>40</v>
      </c>
      <c r="B68" s="23"/>
      <c r="C68" s="48">
        <v>153</v>
      </c>
      <c r="D68" s="23"/>
      <c r="E68" s="48">
        <f>C68/($C$71-$C$70)*$E$71</f>
        <v>138.62405049098808</v>
      </c>
      <c r="F68" s="23"/>
      <c r="G68" s="102"/>
      <c r="H68" s="50"/>
      <c r="I68" s="29"/>
      <c r="J68" s="23"/>
      <c r="K68" s="29"/>
      <c r="L68" s="23"/>
      <c r="M68" s="103">
        <f>M24</f>
        <v>8.3359</v>
      </c>
      <c r="N68" s="50" t="s">
        <v>20</v>
      </c>
      <c r="O68" s="73">
        <f>ROUND(M68*$E68/100,0)</f>
        <v>12</v>
      </c>
      <c r="P68" s="73"/>
      <c r="Q68" s="21" t="s">
        <v>29</v>
      </c>
      <c r="R68" s="104">
        <f>O71/K71-1</f>
        <v>0.1558991991072014</v>
      </c>
      <c r="S68" s="78"/>
      <c r="T68" s="26"/>
      <c r="U68" s="26"/>
      <c r="V68" s="26"/>
      <c r="W68" s="26"/>
      <c r="X68" s="26"/>
      <c r="Y68" s="26"/>
      <c r="Z68" s="26"/>
      <c r="AA68" s="26"/>
    </row>
    <row r="69" spans="1:27" ht="15">
      <c r="A69" s="75" t="s">
        <v>42</v>
      </c>
      <c r="B69" s="21"/>
      <c r="C69" s="48">
        <v>33</v>
      </c>
      <c r="D69" s="23"/>
      <c r="E69" s="48">
        <f>E71-SUM(E58:E61,E66:E68)</f>
        <v>29.899305008351803</v>
      </c>
      <c r="F69" s="23"/>
      <c r="G69" s="102"/>
      <c r="H69" s="50"/>
      <c r="I69" s="29"/>
      <c r="J69" s="23"/>
      <c r="K69" s="29"/>
      <c r="L69" s="23"/>
      <c r="M69" s="103">
        <f>M25</f>
        <v>8.6367</v>
      </c>
      <c r="N69" s="50" t="s">
        <v>20</v>
      </c>
      <c r="O69" s="73">
        <f>ROUND(M69*$E69/100,0)</f>
        <v>3</v>
      </c>
      <c r="P69" s="73"/>
      <c r="Q69" s="21" t="s">
        <v>51</v>
      </c>
      <c r="R69" s="104">
        <f>(O71+O72)/(K71+K72)-1</f>
        <v>-0.6876341834181863</v>
      </c>
      <c r="S69" s="26"/>
      <c r="T69" s="78"/>
      <c r="U69" s="78"/>
      <c r="V69" s="26"/>
      <c r="W69" s="26"/>
      <c r="X69" s="26"/>
      <c r="Y69" s="26"/>
      <c r="Z69" s="26"/>
      <c r="AA69" s="26"/>
    </row>
    <row r="70" spans="1:27" ht="15">
      <c r="A70" s="42" t="s">
        <v>44</v>
      </c>
      <c r="B70" s="21"/>
      <c r="C70" s="82">
        <v>24911</v>
      </c>
      <c r="D70" s="23"/>
      <c r="E70" s="82">
        <v>0</v>
      </c>
      <c r="F70" s="23"/>
      <c r="G70" s="20"/>
      <c r="H70" s="23"/>
      <c r="I70" s="83">
        <v>2412</v>
      </c>
      <c r="J70" s="23"/>
      <c r="K70" s="84">
        <v>0</v>
      </c>
      <c r="L70" s="23"/>
      <c r="M70" s="21"/>
      <c r="N70" s="23"/>
      <c r="O70" s="84">
        <v>0</v>
      </c>
      <c r="P70" s="21"/>
      <c r="Q70" s="21" t="s">
        <v>55</v>
      </c>
      <c r="R70" s="106">
        <f>E71/(E53+E62+E63)</f>
        <v>635.6567578738044</v>
      </c>
      <c r="S70" s="26"/>
      <c r="T70" s="78"/>
      <c r="U70" s="26"/>
      <c r="V70" s="26"/>
      <c r="W70" s="26"/>
      <c r="X70" s="26"/>
      <c r="Y70" s="26"/>
      <c r="Z70" s="26"/>
      <c r="AA70" s="26"/>
    </row>
    <row r="71" spans="1:27" ht="15.75" thickBot="1">
      <c r="A71" s="42" t="s">
        <v>46</v>
      </c>
      <c r="B71" s="21"/>
      <c r="C71" s="87">
        <f>SUM(C58:C60,C61,C65,C70)</f>
        <v>3115459.5102356877</v>
      </c>
      <c r="D71" s="23"/>
      <c r="E71" s="87">
        <v>2800159.168155294</v>
      </c>
      <c r="F71" s="23"/>
      <c r="G71" s="110"/>
      <c r="H71" s="23"/>
      <c r="I71" s="111">
        <f>SUM(I53:I70)</f>
        <v>269491</v>
      </c>
      <c r="J71" s="23"/>
      <c r="K71" s="111">
        <f>SUM(K53:K70)</f>
        <v>243728</v>
      </c>
      <c r="L71" s="23"/>
      <c r="M71" s="112"/>
      <c r="N71" s="23"/>
      <c r="O71" s="111">
        <f>SUM(O53:O70)</f>
        <v>281725</v>
      </c>
      <c r="P71" s="21"/>
      <c r="Q71" s="23"/>
      <c r="R71" s="50"/>
      <c r="S71" s="113"/>
      <c r="T71" s="78"/>
      <c r="U71" s="26"/>
      <c r="V71" s="26"/>
      <c r="W71" s="26"/>
      <c r="X71" s="26"/>
      <c r="Y71" s="26"/>
      <c r="Z71" s="26"/>
      <c r="AA71" s="26"/>
    </row>
    <row r="72" spans="1:27" ht="15.75" thickTop="1">
      <c r="A72" s="42" t="s">
        <v>48</v>
      </c>
      <c r="B72" s="21"/>
      <c r="C72" s="40"/>
      <c r="D72" s="23"/>
      <c r="E72" s="40"/>
      <c r="F72" s="23"/>
      <c r="G72" s="92"/>
      <c r="H72" s="93"/>
      <c r="I72" s="83">
        <v>658179.2672</v>
      </c>
      <c r="J72" s="23"/>
      <c r="K72" s="83">
        <f>I72</f>
        <v>658179.2672</v>
      </c>
      <c r="L72" s="23"/>
      <c r="M72" s="37"/>
      <c r="N72" s="93"/>
      <c r="O72" s="83">
        <v>0</v>
      </c>
      <c r="P72" s="29"/>
      <c r="Q72" s="23"/>
      <c r="R72" s="50"/>
      <c r="S72" s="113"/>
      <c r="T72" s="26"/>
      <c r="U72" s="26"/>
      <c r="V72" s="26"/>
      <c r="W72" s="26"/>
      <c r="X72" s="26"/>
      <c r="Y72" s="26"/>
      <c r="Z72" s="26"/>
      <c r="AA72" s="26"/>
    </row>
    <row r="73" spans="1:27" ht="15">
      <c r="A73" s="42" t="s">
        <v>49</v>
      </c>
      <c r="B73" s="21"/>
      <c r="C73" s="40"/>
      <c r="D73" s="23"/>
      <c r="E73" s="40"/>
      <c r="F73" s="23"/>
      <c r="G73" s="92">
        <f>M73</f>
        <v>0.0391</v>
      </c>
      <c r="H73" s="114"/>
      <c r="I73" s="83">
        <f>ROUND(SUM(I56:I63,-(C62+C63)*G53,I72)*$G73,0)</f>
        <v>35540</v>
      </c>
      <c r="J73" s="23"/>
      <c r="K73" s="83">
        <f>ROUND(SUM(K56:K63,-(E62+E63)*G53,K72)*$G73,0)</f>
        <v>34619</v>
      </c>
      <c r="L73" s="23"/>
      <c r="M73" s="115">
        <f>M29</f>
        <v>0.0391</v>
      </c>
      <c r="N73" s="114"/>
      <c r="O73" s="83">
        <f>ROUND(SUM(O56:O61,O66:O69,O72)*M73,0)</f>
        <v>9840</v>
      </c>
      <c r="P73" s="29"/>
      <c r="Q73" s="23"/>
      <c r="R73" s="50"/>
      <c r="S73" s="113"/>
      <c r="T73" s="29"/>
      <c r="U73" s="40"/>
      <c r="V73" s="26"/>
      <c r="W73" s="26"/>
      <c r="X73" s="26"/>
      <c r="Y73" s="26"/>
      <c r="Z73" s="26"/>
      <c r="AA73" s="26"/>
    </row>
    <row r="74" spans="1:27" ht="15">
      <c r="A74" s="42"/>
      <c r="B74" s="21"/>
      <c r="C74" s="40"/>
      <c r="D74" s="23"/>
      <c r="E74" s="40"/>
      <c r="F74" s="23"/>
      <c r="G74" s="92"/>
      <c r="H74" s="114"/>
      <c r="I74" s="73"/>
      <c r="J74" s="23"/>
      <c r="K74" s="73"/>
      <c r="L74" s="23"/>
      <c r="M74" s="115"/>
      <c r="N74" s="114"/>
      <c r="O74" s="73"/>
      <c r="P74" s="29"/>
      <c r="Q74" s="23"/>
      <c r="R74" s="50"/>
      <c r="S74" s="113"/>
      <c r="T74" s="29"/>
      <c r="U74" s="40"/>
      <c r="V74" s="26"/>
      <c r="W74" s="26"/>
      <c r="X74" s="26"/>
      <c r="Y74" s="26"/>
      <c r="Z74" s="26"/>
      <c r="AA74" s="26"/>
    </row>
    <row r="75" spans="1:27" ht="15">
      <c r="A75" s="42"/>
      <c r="B75" s="21"/>
      <c r="C75" s="40"/>
      <c r="D75" s="23"/>
      <c r="E75" s="40"/>
      <c r="F75" s="23"/>
      <c r="G75" s="92"/>
      <c r="H75" s="114"/>
      <c r="I75" s="73"/>
      <c r="J75" s="23"/>
      <c r="K75" s="73"/>
      <c r="L75" s="23"/>
      <c r="M75" s="115"/>
      <c r="N75" s="114"/>
      <c r="O75" s="73"/>
      <c r="P75" s="29"/>
      <c r="Q75" s="23"/>
      <c r="R75" s="50"/>
      <c r="S75" s="113"/>
      <c r="T75" s="29"/>
      <c r="U75" s="40"/>
      <c r="V75" s="26"/>
      <c r="W75" s="26"/>
      <c r="X75" s="26"/>
      <c r="Y75" s="26"/>
      <c r="Z75" s="26"/>
      <c r="AA75" s="26"/>
    </row>
    <row r="76" spans="1:27" ht="15">
      <c r="A76" s="20"/>
      <c r="B76" s="21"/>
      <c r="C76" s="40"/>
      <c r="D76" s="23"/>
      <c r="E76" s="40"/>
      <c r="F76" s="23"/>
      <c r="G76" s="20"/>
      <c r="H76" s="23"/>
      <c r="I76" s="21"/>
      <c r="J76" s="23"/>
      <c r="K76" s="21"/>
      <c r="L76" s="23"/>
      <c r="M76" s="21"/>
      <c r="N76" s="23"/>
      <c r="O76" s="21"/>
      <c r="P76" s="29"/>
      <c r="Q76" s="21"/>
      <c r="R76" s="78"/>
      <c r="S76" s="113"/>
      <c r="T76" s="29"/>
      <c r="U76" s="40"/>
      <c r="V76" s="26"/>
      <c r="W76" s="26"/>
      <c r="X76" s="26"/>
      <c r="Y76" s="26"/>
      <c r="Z76" s="26"/>
      <c r="AA76" s="26"/>
    </row>
    <row r="77" spans="1:27" ht="15">
      <c r="A77" s="38" t="s">
        <v>57</v>
      </c>
      <c r="B77" s="21"/>
      <c r="C77" s="40"/>
      <c r="D77" s="23"/>
      <c r="E77" s="40"/>
      <c r="F77" s="23"/>
      <c r="G77" s="20"/>
      <c r="H77" s="23"/>
      <c r="I77" s="21"/>
      <c r="J77" s="23"/>
      <c r="K77" s="21"/>
      <c r="L77" s="23"/>
      <c r="M77" s="21"/>
      <c r="N77" s="23"/>
      <c r="O77" s="21"/>
      <c r="P77" s="29"/>
      <c r="Q77" s="21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15">
      <c r="A78" s="42" t="s">
        <v>16</v>
      </c>
      <c r="B78" s="21"/>
      <c r="C78" s="43">
        <v>14.967</v>
      </c>
      <c r="D78" s="23"/>
      <c r="E78" s="116">
        <v>15</v>
      </c>
      <c r="F78" s="23"/>
      <c r="G78" s="69">
        <v>8</v>
      </c>
      <c r="H78" s="68"/>
      <c r="I78" s="29">
        <f>ROUND($G78*C78,0)</f>
        <v>120</v>
      </c>
      <c r="J78" s="23"/>
      <c r="K78" s="29">
        <f>ROUND($G78*E78,0)</f>
        <v>120</v>
      </c>
      <c r="L78" s="23"/>
      <c r="M78" s="122">
        <f>M385</f>
        <v>9</v>
      </c>
      <c r="N78" s="68"/>
      <c r="O78" s="29">
        <f>ROUND(M78*$E78,0)</f>
        <v>135</v>
      </c>
      <c r="P78" s="29"/>
      <c r="Q78" s="123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15">
      <c r="A79" s="42" t="s">
        <v>58</v>
      </c>
      <c r="B79" s="21"/>
      <c r="C79" s="43">
        <v>33.1671992481203</v>
      </c>
      <c r="D79" s="23"/>
      <c r="E79" s="116">
        <v>36</v>
      </c>
      <c r="F79" s="23"/>
      <c r="G79" s="69">
        <v>7.25</v>
      </c>
      <c r="H79" s="68"/>
      <c r="I79" s="29">
        <f>ROUND($G79*C79,0)</f>
        <v>240</v>
      </c>
      <c r="J79" s="23"/>
      <c r="K79" s="29">
        <f>ROUND($G79*E79,0)</f>
        <v>261</v>
      </c>
      <c r="L79" s="23"/>
      <c r="M79" s="122">
        <f aca="true" t="shared" si="6" ref="M79:M86">M386</f>
        <v>7.8500000000000005</v>
      </c>
      <c r="N79" s="68"/>
      <c r="O79" s="29">
        <f>ROUND(M79*$E79,0)</f>
        <v>283</v>
      </c>
      <c r="P79" s="29"/>
      <c r="Q79" s="97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15">
      <c r="A80" s="42" t="s">
        <v>59</v>
      </c>
      <c r="B80" s="21"/>
      <c r="C80" s="43">
        <v>11</v>
      </c>
      <c r="D80" s="23"/>
      <c r="E80" s="116">
        <v>12</v>
      </c>
      <c r="F80" s="23"/>
      <c r="G80" s="69">
        <v>7.3</v>
      </c>
      <c r="H80" s="68"/>
      <c r="I80" s="29">
        <f>ROUND($G80*C80,0)</f>
        <v>80</v>
      </c>
      <c r="J80" s="23"/>
      <c r="K80" s="29">
        <f>ROUND($G80*E80,0)</f>
        <v>88</v>
      </c>
      <c r="L80" s="23"/>
      <c r="M80" s="122">
        <f t="shared" si="6"/>
        <v>7.9</v>
      </c>
      <c r="N80" s="68"/>
      <c r="O80" s="29">
        <f>ROUND(M80*$E80,0)</f>
        <v>95</v>
      </c>
      <c r="P80" s="29"/>
      <c r="Q80" s="97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15">
      <c r="A81" s="42" t="s">
        <v>60</v>
      </c>
      <c r="B81" s="21"/>
      <c r="C81" s="43">
        <v>0</v>
      </c>
      <c r="D81" s="23"/>
      <c r="E81" s="116">
        <v>0</v>
      </c>
      <c r="F81" s="23"/>
      <c r="G81" s="69">
        <v>-0.41</v>
      </c>
      <c r="H81" s="68"/>
      <c r="I81" s="29">
        <f>ROUND($G81*C81,0)</f>
        <v>0</v>
      </c>
      <c r="J81" s="23"/>
      <c r="K81" s="29">
        <f>ROUND($G81*E81,0)</f>
        <v>0</v>
      </c>
      <c r="L81" s="23"/>
      <c r="M81" s="122">
        <f t="shared" si="6"/>
        <v>-0.44</v>
      </c>
      <c r="N81" s="68"/>
      <c r="O81" s="29">
        <f>ROUND(M81*$E81,0)</f>
        <v>0</v>
      </c>
      <c r="P81" s="29"/>
      <c r="Q81" s="97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15">
      <c r="A82" s="42" t="s">
        <v>61</v>
      </c>
      <c r="B82" s="21"/>
      <c r="C82" s="43">
        <v>11986</v>
      </c>
      <c r="D82" s="23"/>
      <c r="E82" s="116">
        <v>13028</v>
      </c>
      <c r="F82" s="23"/>
      <c r="G82" s="120">
        <v>9.8214</v>
      </c>
      <c r="H82" s="50" t="s">
        <v>20</v>
      </c>
      <c r="I82" s="29">
        <f>ROUND($G82*C82/100,0)</f>
        <v>1177</v>
      </c>
      <c r="J82" s="23"/>
      <c r="K82" s="29">
        <f>ROUND($G82*E82/100,0)</f>
        <v>1280</v>
      </c>
      <c r="L82" s="23"/>
      <c r="M82" s="121">
        <f t="shared" si="6"/>
        <v>10.629</v>
      </c>
      <c r="N82" s="50" t="s">
        <v>20</v>
      </c>
      <c r="O82" s="29">
        <f>ROUND(M82*$E82/100,0)</f>
        <v>1385</v>
      </c>
      <c r="P82" s="29"/>
      <c r="Q82" s="21"/>
      <c r="R82" s="124"/>
      <c r="S82" s="78"/>
      <c r="T82" s="26"/>
      <c r="U82" s="26"/>
      <c r="V82" s="26"/>
      <c r="W82" s="26"/>
      <c r="X82" s="26"/>
      <c r="Y82" s="26"/>
      <c r="Z82" s="26"/>
      <c r="AA82" s="26"/>
    </row>
    <row r="83" spans="1:27" ht="15">
      <c r="A83" s="42" t="s">
        <v>62</v>
      </c>
      <c r="B83" s="21"/>
      <c r="C83" s="43">
        <v>39244</v>
      </c>
      <c r="D83" s="23"/>
      <c r="E83" s="116">
        <v>42657</v>
      </c>
      <c r="F83" s="23"/>
      <c r="G83" s="120">
        <v>5.5063</v>
      </c>
      <c r="H83" s="50" t="s">
        <v>20</v>
      </c>
      <c r="I83" s="29">
        <f>ROUND($G83*C83/100,0)</f>
        <v>2161</v>
      </c>
      <c r="J83" s="23"/>
      <c r="K83" s="29">
        <f>ROUND($G83*E83/100,0)</f>
        <v>2349</v>
      </c>
      <c r="L83" s="23"/>
      <c r="M83" s="121">
        <f t="shared" si="6"/>
        <v>5.9591</v>
      </c>
      <c r="N83" s="50" t="s">
        <v>20</v>
      </c>
      <c r="O83" s="29">
        <f>ROUND(M83*$E83/100,0)</f>
        <v>2542</v>
      </c>
      <c r="P83" s="73"/>
      <c r="Q83" s="97"/>
      <c r="R83" s="124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15">
      <c r="A84" s="42" t="s">
        <v>63</v>
      </c>
      <c r="B84" s="21"/>
      <c r="C84" s="43">
        <v>10036</v>
      </c>
      <c r="D84" s="23"/>
      <c r="E84" s="116">
        <v>10909</v>
      </c>
      <c r="F84" s="23"/>
      <c r="G84" s="120">
        <v>9.04</v>
      </c>
      <c r="H84" s="50" t="s">
        <v>20</v>
      </c>
      <c r="I84" s="29">
        <f>ROUND($G84*C84/100,0)</f>
        <v>907</v>
      </c>
      <c r="J84" s="23"/>
      <c r="K84" s="29">
        <f>ROUND($G84*E84/100,0)</f>
        <v>986</v>
      </c>
      <c r="L84" s="23"/>
      <c r="M84" s="121">
        <f t="shared" si="6"/>
        <v>9.7833</v>
      </c>
      <c r="N84" s="50" t="s">
        <v>20</v>
      </c>
      <c r="O84" s="29">
        <f>ROUND(M84*$E84/100,0)</f>
        <v>1067</v>
      </c>
      <c r="P84" s="73"/>
      <c r="Q84" s="21"/>
      <c r="R84" s="124"/>
      <c r="S84" s="26"/>
      <c r="T84" s="78"/>
      <c r="U84" s="26"/>
      <c r="V84" s="26"/>
      <c r="W84" s="26"/>
      <c r="X84" s="26"/>
      <c r="Y84" s="26"/>
      <c r="Z84" s="26"/>
      <c r="AA84" s="26"/>
    </row>
    <row r="85" spans="1:27" ht="15">
      <c r="A85" s="42" t="s">
        <v>64</v>
      </c>
      <c r="B85" s="21"/>
      <c r="C85" s="43">
        <v>27316</v>
      </c>
      <c r="D85" s="23"/>
      <c r="E85" s="116">
        <v>22769</v>
      </c>
      <c r="F85" s="23"/>
      <c r="G85" s="120">
        <v>5.0688</v>
      </c>
      <c r="H85" s="50" t="s">
        <v>20</v>
      </c>
      <c r="I85" s="29">
        <f>ROUND($G85*C85/100,0)</f>
        <v>1385</v>
      </c>
      <c r="J85" s="23"/>
      <c r="K85" s="29">
        <f>ROUND($G85*E85/100,0)</f>
        <v>1154</v>
      </c>
      <c r="L85" s="23"/>
      <c r="M85" s="121">
        <f t="shared" si="6"/>
        <v>5.4835</v>
      </c>
      <c r="N85" s="50" t="s">
        <v>20</v>
      </c>
      <c r="O85" s="29">
        <f>ROUND(M85*$E85/100,0)</f>
        <v>1249</v>
      </c>
      <c r="P85" s="73"/>
      <c r="Q85" s="21"/>
      <c r="R85" s="124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15">
      <c r="A86" s="42" t="s">
        <v>65</v>
      </c>
      <c r="B86" s="21"/>
      <c r="C86" s="43">
        <v>0</v>
      </c>
      <c r="D86" s="23"/>
      <c r="E86" s="116">
        <v>0</v>
      </c>
      <c r="F86" s="23"/>
      <c r="G86" s="69">
        <v>96</v>
      </c>
      <c r="H86" s="68"/>
      <c r="I86" s="29">
        <f>ROUND($G86*C86,0)</f>
        <v>0</v>
      </c>
      <c r="J86" s="23"/>
      <c r="K86" s="29">
        <f>ROUND($G86*E86,0)</f>
        <v>0</v>
      </c>
      <c r="L86" s="23"/>
      <c r="M86" s="122">
        <f t="shared" si="6"/>
        <v>108</v>
      </c>
      <c r="N86" s="68"/>
      <c r="O86" s="29">
        <f>ROUND(M86*$E86,0)</f>
        <v>0</v>
      </c>
      <c r="P86" s="73"/>
      <c r="Q86" s="21"/>
      <c r="R86" s="26"/>
      <c r="S86" s="26"/>
      <c r="T86" s="26"/>
      <c r="U86" s="78"/>
      <c r="V86" s="26"/>
      <c r="W86" s="26"/>
      <c r="X86" s="26"/>
      <c r="Y86" s="26"/>
      <c r="Z86" s="26"/>
      <c r="AA86" s="26"/>
    </row>
    <row r="87" spans="1:27" ht="15">
      <c r="A87" s="42" t="s">
        <v>44</v>
      </c>
      <c r="B87" s="21"/>
      <c r="C87" s="82">
        <v>713</v>
      </c>
      <c r="D87" s="23"/>
      <c r="E87" s="82">
        <v>0</v>
      </c>
      <c r="F87" s="23"/>
      <c r="G87" s="20"/>
      <c r="H87" s="23"/>
      <c r="I87" s="84">
        <v>58</v>
      </c>
      <c r="J87" s="23"/>
      <c r="K87" s="84">
        <v>0</v>
      </c>
      <c r="L87" s="23"/>
      <c r="M87" s="21"/>
      <c r="N87" s="23"/>
      <c r="O87" s="83">
        <v>0</v>
      </c>
      <c r="P87" s="21"/>
      <c r="Q87" s="21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15.75" thickBot="1">
      <c r="A88" s="42" t="s">
        <v>46</v>
      </c>
      <c r="B88" s="21"/>
      <c r="C88" s="118">
        <f>SUM(C82:C85,C87)</f>
        <v>89295</v>
      </c>
      <c r="D88" s="23"/>
      <c r="E88" s="118">
        <v>89363</v>
      </c>
      <c r="F88" s="23"/>
      <c r="G88" s="110"/>
      <c r="H88" s="23"/>
      <c r="I88" s="111">
        <f>SUM(I78:I87)</f>
        <v>6128</v>
      </c>
      <c r="J88" s="23"/>
      <c r="K88" s="111">
        <f>SUM(K78:K87)</f>
        <v>6238</v>
      </c>
      <c r="L88" s="23"/>
      <c r="M88" s="112"/>
      <c r="N88" s="23"/>
      <c r="O88" s="111">
        <f>SUM(O78:O87)</f>
        <v>6756</v>
      </c>
      <c r="P88" s="21"/>
      <c r="Q88" s="21" t="s">
        <v>29</v>
      </c>
      <c r="R88" s="104">
        <f>O88/K88-1</f>
        <v>0.0830394357165758</v>
      </c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15.75" thickTop="1">
      <c r="A89" s="42" t="s">
        <v>48</v>
      </c>
      <c r="B89" s="21"/>
      <c r="C89" s="40"/>
      <c r="D89" s="23"/>
      <c r="E89" s="125"/>
      <c r="F89" s="23"/>
      <c r="G89" s="92"/>
      <c r="H89" s="93"/>
      <c r="I89" s="83">
        <v>5288</v>
      </c>
      <c r="J89" s="23"/>
      <c r="K89" s="83">
        <f>I89</f>
        <v>5288</v>
      </c>
      <c r="L89" s="23"/>
      <c r="M89" s="37"/>
      <c r="N89" s="93"/>
      <c r="O89" s="83">
        <v>0</v>
      </c>
      <c r="P89" s="29"/>
      <c r="Q89" s="20" t="s">
        <v>51</v>
      </c>
      <c r="R89" s="117">
        <f>(O88+O89)/(K88+K89)-1</f>
        <v>-0.413846954711088</v>
      </c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15">
      <c r="A90" s="42" t="s">
        <v>49</v>
      </c>
      <c r="B90" s="21"/>
      <c r="C90" s="40"/>
      <c r="D90" s="23"/>
      <c r="E90" s="125"/>
      <c r="F90" s="23"/>
      <c r="G90" s="92">
        <f>M90</f>
        <v>0.0395</v>
      </c>
      <c r="H90" s="114"/>
      <c r="I90" s="83">
        <f>ROUND(SUM(I79:I85,I89)*$G90,0)</f>
        <v>444</v>
      </c>
      <c r="J90" s="23"/>
      <c r="K90" s="83">
        <f>ROUND(SUM(K79:K85,K89)*$G90,0)</f>
        <v>451</v>
      </c>
      <c r="L90" s="23"/>
      <c r="M90" s="126">
        <v>0.0395</v>
      </c>
      <c r="N90" s="114"/>
      <c r="O90" s="83">
        <f>ROUND(SUM(O79:O85,O89)*M90,0)</f>
        <v>262</v>
      </c>
      <c r="P90" s="29"/>
      <c r="Q90" s="21"/>
      <c r="R90" s="78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15">
      <c r="A91" s="20"/>
      <c r="B91" s="21"/>
      <c r="C91" s="40"/>
      <c r="D91" s="23"/>
      <c r="E91" s="40"/>
      <c r="F91" s="23"/>
      <c r="G91" s="20"/>
      <c r="H91" s="23"/>
      <c r="I91" s="21"/>
      <c r="J91" s="23"/>
      <c r="K91" s="21"/>
      <c r="L91" s="23"/>
      <c r="M91" s="21"/>
      <c r="N91" s="23"/>
      <c r="O91" s="21"/>
      <c r="P91" s="29"/>
      <c r="Q91" s="21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15">
      <c r="A92" s="38" t="s">
        <v>66</v>
      </c>
      <c r="B92" s="21"/>
      <c r="C92" s="40"/>
      <c r="D92" s="23"/>
      <c r="E92" s="40"/>
      <c r="F92" s="23"/>
      <c r="G92" s="20"/>
      <c r="H92" s="23"/>
      <c r="I92" s="21"/>
      <c r="J92" s="23"/>
      <c r="K92" s="21"/>
      <c r="L92" s="23"/>
      <c r="M92" s="21"/>
      <c r="N92" s="23"/>
      <c r="O92" s="21"/>
      <c r="P92" s="29"/>
      <c r="Q92" s="21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15">
      <c r="A93" s="42" t="s">
        <v>16</v>
      </c>
      <c r="B93" s="21"/>
      <c r="C93" s="43">
        <v>117.06750000000001</v>
      </c>
      <c r="D93" s="23"/>
      <c r="E93" s="40">
        <v>117</v>
      </c>
      <c r="F93" s="23"/>
      <c r="G93" s="69">
        <v>45</v>
      </c>
      <c r="H93" s="68"/>
      <c r="I93" s="29">
        <f>ROUND($G93*C93,0)</f>
        <v>5268</v>
      </c>
      <c r="J93" s="23"/>
      <c r="K93" s="29">
        <f>ROUND($G93*E93,0)</f>
        <v>5265</v>
      </c>
      <c r="L93" s="23"/>
      <c r="M93" s="122">
        <f>M107</f>
        <v>49</v>
      </c>
      <c r="N93" s="68"/>
      <c r="O93" s="29">
        <f>ROUND(M93*$E93,0)</f>
        <v>5733</v>
      </c>
      <c r="P93" s="29"/>
      <c r="Q93" s="21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15">
      <c r="A94" s="42" t="s">
        <v>67</v>
      </c>
      <c r="B94" s="21"/>
      <c r="C94" s="43">
        <v>12803.999718045114</v>
      </c>
      <c r="D94" s="23"/>
      <c r="E94" s="40">
        <v>13911</v>
      </c>
      <c r="F94" s="23"/>
      <c r="G94" s="69">
        <v>15.16</v>
      </c>
      <c r="H94" s="68"/>
      <c r="I94" s="29">
        <f>ROUND($G94*C94,0)</f>
        <v>194109</v>
      </c>
      <c r="J94" s="23"/>
      <c r="K94" s="29">
        <f>ROUND($G94*E94,0)</f>
        <v>210891</v>
      </c>
      <c r="L94" s="23"/>
      <c r="M94" s="122">
        <f>M108</f>
        <v>17.49</v>
      </c>
      <c r="N94" s="68"/>
      <c r="O94" s="29">
        <f>ROUND(M94*$E94,0)</f>
        <v>243303</v>
      </c>
      <c r="P94" s="29"/>
      <c r="Q94" s="21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15">
      <c r="A95" s="42" t="s">
        <v>68</v>
      </c>
      <c r="B95" s="21"/>
      <c r="C95" s="43">
        <v>16205.6</v>
      </c>
      <c r="D95" s="23"/>
      <c r="E95" s="40">
        <v>17607</v>
      </c>
      <c r="F95" s="23"/>
      <c r="G95" s="69">
        <v>12.17</v>
      </c>
      <c r="H95" s="68"/>
      <c r="I95" s="29">
        <f>ROUND($G95*C95,0)</f>
        <v>197222</v>
      </c>
      <c r="J95" s="23"/>
      <c r="K95" s="29">
        <f>ROUND($G95*E95,0)</f>
        <v>214277</v>
      </c>
      <c r="L95" s="23"/>
      <c r="M95" s="122">
        <f>M109</f>
        <v>14.04</v>
      </c>
      <c r="N95" s="68"/>
      <c r="O95" s="29">
        <f>ROUND(M95*$E95,0)</f>
        <v>247202</v>
      </c>
      <c r="P95" s="29"/>
      <c r="Q95" s="21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15">
      <c r="A96" s="42" t="s">
        <v>60</v>
      </c>
      <c r="B96" s="21"/>
      <c r="C96" s="43">
        <v>19540.01333333333</v>
      </c>
      <c r="D96" s="23"/>
      <c r="E96" s="40">
        <v>21230</v>
      </c>
      <c r="F96" s="23"/>
      <c r="G96" s="69">
        <v>-0.78</v>
      </c>
      <c r="H96" s="68"/>
      <c r="I96" s="29">
        <f>ROUND($G96*C96,0)</f>
        <v>-15241</v>
      </c>
      <c r="J96" s="23"/>
      <c r="K96" s="29">
        <f>ROUND($G96*E96,0)</f>
        <v>-16559</v>
      </c>
      <c r="L96" s="23"/>
      <c r="M96" s="122">
        <f>M110</f>
        <v>-0.9</v>
      </c>
      <c r="N96" s="68"/>
      <c r="O96" s="29">
        <f>ROUND(M96*$E96,0)</f>
        <v>-19107</v>
      </c>
      <c r="P96" s="29"/>
      <c r="Q96" s="21"/>
      <c r="R96" s="26"/>
      <c r="S96" s="78"/>
      <c r="T96" s="26"/>
      <c r="U96" s="26"/>
      <c r="V96" s="26"/>
      <c r="W96" s="26"/>
      <c r="X96" s="26"/>
      <c r="Y96" s="26"/>
      <c r="Z96" s="26"/>
      <c r="AA96" s="26"/>
    </row>
    <row r="97" spans="1:27" ht="15">
      <c r="A97" s="42" t="s">
        <v>56</v>
      </c>
      <c r="B97" s="21"/>
      <c r="C97" s="127">
        <f>SUM(C98:C99)</f>
        <v>12064060</v>
      </c>
      <c r="D97" s="23"/>
      <c r="E97" s="40">
        <v>12170241.56</v>
      </c>
      <c r="F97" s="23"/>
      <c r="G97" s="120"/>
      <c r="H97" s="50"/>
      <c r="I97" s="29"/>
      <c r="J97" s="23"/>
      <c r="K97" s="29"/>
      <c r="L97" s="23"/>
      <c r="M97" s="121"/>
      <c r="N97" s="50"/>
      <c r="O97" s="29"/>
      <c r="P97" s="73"/>
      <c r="Q97" s="21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15">
      <c r="A98" s="42" t="s">
        <v>69</v>
      </c>
      <c r="B98" s="21"/>
      <c r="C98" s="43">
        <v>4995071</v>
      </c>
      <c r="D98" s="23"/>
      <c r="E98" s="40">
        <v>5442889</v>
      </c>
      <c r="F98" s="23"/>
      <c r="G98" s="120">
        <v>3.1907</v>
      </c>
      <c r="H98" s="50" t="s">
        <v>20</v>
      </c>
      <c r="I98" s="29">
        <f>ROUND($G98*C98/100,0)</f>
        <v>159378</v>
      </c>
      <c r="J98" s="23"/>
      <c r="K98" s="29">
        <f>ROUND($G98*E98/100,0)</f>
        <v>173666</v>
      </c>
      <c r="L98" s="23"/>
      <c r="M98" s="121">
        <f>M112</f>
        <v>3.6807</v>
      </c>
      <c r="N98" s="50" t="s">
        <v>20</v>
      </c>
      <c r="O98" s="29">
        <f>ROUND(M98*$E98/100,0)</f>
        <v>200336</v>
      </c>
      <c r="P98" s="73"/>
      <c r="Q98" s="128"/>
      <c r="R98" s="26"/>
      <c r="S98" s="26"/>
      <c r="T98" s="78"/>
      <c r="U98" s="26"/>
      <c r="V98" s="26"/>
      <c r="W98" s="26"/>
      <c r="X98" s="26"/>
      <c r="Y98" s="26"/>
      <c r="Z98" s="26"/>
      <c r="AA98" s="26"/>
    </row>
    <row r="99" spans="1:27" ht="15">
      <c r="A99" s="42" t="s">
        <v>70</v>
      </c>
      <c r="B99" s="21"/>
      <c r="C99" s="43">
        <v>7068989</v>
      </c>
      <c r="D99" s="23"/>
      <c r="E99" s="40">
        <v>6727352.5600000005</v>
      </c>
      <c r="F99" s="23"/>
      <c r="G99" s="120">
        <v>2.9416</v>
      </c>
      <c r="H99" s="50" t="s">
        <v>20</v>
      </c>
      <c r="I99" s="29">
        <f>ROUND($G99*C99/100,0)</f>
        <v>207941</v>
      </c>
      <c r="J99" s="23"/>
      <c r="K99" s="29">
        <f>ROUND($G99*E99/100,0)</f>
        <v>197892</v>
      </c>
      <c r="L99" s="23"/>
      <c r="M99" s="121">
        <f>M113</f>
        <v>3.3925</v>
      </c>
      <c r="N99" s="50" t="s">
        <v>20</v>
      </c>
      <c r="O99" s="29">
        <f>ROUND(M99*$E99/100,0)</f>
        <v>228225</v>
      </c>
      <c r="P99" s="73"/>
      <c r="Q99" s="129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15">
      <c r="A100" s="42" t="s">
        <v>65</v>
      </c>
      <c r="B100" s="21"/>
      <c r="C100" s="48">
        <v>0</v>
      </c>
      <c r="D100" s="23"/>
      <c r="E100" s="40">
        <v>0</v>
      </c>
      <c r="F100" s="23"/>
      <c r="G100" s="69">
        <v>540</v>
      </c>
      <c r="H100" s="68"/>
      <c r="I100" s="29">
        <f>ROUND($G100*C100,0)</f>
        <v>0</v>
      </c>
      <c r="J100" s="23"/>
      <c r="K100" s="29">
        <f>ROUND($G100*E100,0)</f>
        <v>0</v>
      </c>
      <c r="L100" s="23"/>
      <c r="M100" s="122">
        <f>M114</f>
        <v>588</v>
      </c>
      <c r="N100" s="68"/>
      <c r="O100" s="29">
        <f>ROUND(M100*$E100,0)</f>
        <v>0</v>
      </c>
      <c r="P100" s="73"/>
      <c r="Q100" s="21"/>
      <c r="R100" s="26"/>
      <c r="S100" s="26"/>
      <c r="T100" s="26"/>
      <c r="U100" s="78"/>
      <c r="V100" s="26"/>
      <c r="W100" s="26"/>
      <c r="X100" s="26"/>
      <c r="Y100" s="26"/>
      <c r="Z100" s="26"/>
      <c r="AA100" s="26"/>
    </row>
    <row r="101" spans="1:27" ht="15">
      <c r="A101" s="42" t="s">
        <v>44</v>
      </c>
      <c r="B101" s="21"/>
      <c r="C101" s="82">
        <v>97140</v>
      </c>
      <c r="D101" s="23"/>
      <c r="E101" s="82">
        <v>0</v>
      </c>
      <c r="F101" s="23"/>
      <c r="G101" s="20"/>
      <c r="H101" s="23"/>
      <c r="I101" s="84">
        <v>7862</v>
      </c>
      <c r="J101" s="23"/>
      <c r="K101" s="84">
        <v>0</v>
      </c>
      <c r="L101" s="23"/>
      <c r="M101" s="21"/>
      <c r="N101" s="23"/>
      <c r="O101" s="84">
        <v>0</v>
      </c>
      <c r="P101" s="21"/>
      <c r="Q101" s="21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15.75" thickBot="1">
      <c r="A102" s="42" t="s">
        <v>46</v>
      </c>
      <c r="B102" s="21"/>
      <c r="C102" s="118">
        <f>SUM(C98:C99,C101)</f>
        <v>12161200</v>
      </c>
      <c r="D102" s="23"/>
      <c r="E102" s="118">
        <v>12170241.56</v>
      </c>
      <c r="F102" s="23"/>
      <c r="G102" s="110"/>
      <c r="H102" s="23"/>
      <c r="I102" s="111">
        <f>SUM(I93:I101)</f>
        <v>756539</v>
      </c>
      <c r="J102" s="23"/>
      <c r="K102" s="111">
        <f>SUM(K93:K101)</f>
        <v>785432</v>
      </c>
      <c r="L102" s="23"/>
      <c r="M102" s="112"/>
      <c r="N102" s="23"/>
      <c r="O102" s="111">
        <f>SUM(O93:O101)</f>
        <v>905692</v>
      </c>
      <c r="P102" s="21"/>
      <c r="Q102" s="21" t="s">
        <v>29</v>
      </c>
      <c r="R102" s="104">
        <f>O102/K102-1</f>
        <v>0.15311319121196987</v>
      </c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15.75" thickTop="1">
      <c r="A103" s="42" t="s">
        <v>48</v>
      </c>
      <c r="B103" s="21"/>
      <c r="C103" s="40"/>
      <c r="D103" s="23"/>
      <c r="E103" s="40"/>
      <c r="F103" s="23"/>
      <c r="G103" s="92"/>
      <c r="H103" s="93"/>
      <c r="I103" s="83">
        <v>652891.2672</v>
      </c>
      <c r="J103" s="23"/>
      <c r="K103" s="83">
        <f>I103</f>
        <v>652891.2672</v>
      </c>
      <c r="L103" s="23"/>
      <c r="M103" s="37"/>
      <c r="N103" s="93"/>
      <c r="O103" s="83">
        <v>0</v>
      </c>
      <c r="P103" s="29"/>
      <c r="Q103" s="20" t="s">
        <v>51</v>
      </c>
      <c r="R103" s="117">
        <f>(O102+O103)/(K102+K103)-1</f>
        <v>-0.37031401726322577</v>
      </c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15">
      <c r="A104" s="42" t="s">
        <v>49</v>
      </c>
      <c r="B104" s="21"/>
      <c r="C104" s="40"/>
      <c r="D104" s="23"/>
      <c r="E104" s="40"/>
      <c r="F104" s="23"/>
      <c r="G104" s="92">
        <f>M104</f>
        <v>0.0376</v>
      </c>
      <c r="H104" s="114"/>
      <c r="I104" s="83">
        <f>ROUND(SUM(I94:I99,I103)*$G104,0)</f>
        <v>52501</v>
      </c>
      <c r="J104" s="23"/>
      <c r="K104" s="83">
        <f>ROUND(SUM(K94:K99,K103)*$G104,0)</f>
        <v>53883</v>
      </c>
      <c r="L104" s="23"/>
      <c r="M104" s="126">
        <v>0.0376</v>
      </c>
      <c r="N104" s="114"/>
      <c r="O104" s="83">
        <f>ROUND(SUM(O94:O99,O103)*M104,0)</f>
        <v>33838</v>
      </c>
      <c r="P104" s="29"/>
      <c r="Q104" s="21"/>
      <c r="R104" s="78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15">
      <c r="A105" s="20"/>
      <c r="B105" s="21"/>
      <c r="C105" s="21"/>
      <c r="D105" s="23"/>
      <c r="E105" s="21"/>
      <c r="F105" s="23"/>
      <c r="G105" s="20"/>
      <c r="H105" s="23"/>
      <c r="I105" s="21"/>
      <c r="J105" s="23"/>
      <c r="K105" s="21"/>
      <c r="L105" s="23"/>
      <c r="M105" s="21"/>
      <c r="N105" s="23"/>
      <c r="O105" s="21"/>
      <c r="P105" s="29"/>
      <c r="Q105" s="21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15">
      <c r="A106" s="38" t="s">
        <v>71</v>
      </c>
      <c r="B106" s="21"/>
      <c r="C106" s="40"/>
      <c r="D106" s="23"/>
      <c r="E106" s="40"/>
      <c r="F106" s="23"/>
      <c r="G106" s="20"/>
      <c r="H106" s="23"/>
      <c r="I106" s="21"/>
      <c r="J106" s="23"/>
      <c r="K106" s="21"/>
      <c r="L106" s="23"/>
      <c r="M106" s="21"/>
      <c r="N106" s="23"/>
      <c r="O106" s="21"/>
      <c r="P106" s="29"/>
      <c r="Q106" s="21"/>
      <c r="R106" s="26"/>
      <c r="S106" s="113"/>
      <c r="T106" s="26"/>
      <c r="U106" s="21"/>
      <c r="V106" s="26"/>
      <c r="W106" s="26"/>
      <c r="X106" s="26"/>
      <c r="Y106" s="26"/>
      <c r="Z106" s="26"/>
      <c r="AA106" s="26"/>
    </row>
    <row r="107" spans="1:27" ht="15">
      <c r="A107" s="42" t="s">
        <v>16</v>
      </c>
      <c r="B107" s="21"/>
      <c r="C107" s="40">
        <v>150898.7963555539</v>
      </c>
      <c r="D107" s="23"/>
      <c r="E107" s="40">
        <v>157795</v>
      </c>
      <c r="F107" s="23"/>
      <c r="G107" s="44">
        <v>45</v>
      </c>
      <c r="H107" s="45"/>
      <c r="I107" s="29">
        <f>ROUND($G107*C107,0)</f>
        <v>6790446</v>
      </c>
      <c r="J107" s="23"/>
      <c r="K107" s="29">
        <f>ROUND($G107*E107,0)</f>
        <v>7100775</v>
      </c>
      <c r="L107" s="23"/>
      <c r="M107" s="46">
        <v>49</v>
      </c>
      <c r="N107" s="45"/>
      <c r="O107" s="29">
        <f>ROUND(M107*$E107,0)</f>
        <v>7731955</v>
      </c>
      <c r="P107" s="29"/>
      <c r="Q107" s="21"/>
      <c r="R107" s="26"/>
      <c r="S107" s="26"/>
      <c r="T107" s="26"/>
      <c r="U107" s="108"/>
      <c r="V107" s="26"/>
      <c r="W107" s="26"/>
      <c r="X107" s="26"/>
      <c r="Y107" s="26"/>
      <c r="Z107" s="26"/>
      <c r="AA107" s="26"/>
    </row>
    <row r="108" spans="1:27" ht="15">
      <c r="A108" s="42" t="s">
        <v>67</v>
      </c>
      <c r="B108" s="21"/>
      <c r="C108" s="40">
        <v>7057894.462606654</v>
      </c>
      <c r="D108" s="23"/>
      <c r="E108" s="40">
        <v>7603766</v>
      </c>
      <c r="F108" s="23"/>
      <c r="G108" s="44">
        <v>15.16</v>
      </c>
      <c r="H108" s="45"/>
      <c r="I108" s="29">
        <f>ROUND($G108*C108,0)</f>
        <v>106997680</v>
      </c>
      <c r="J108" s="23"/>
      <c r="K108" s="29">
        <f>ROUND($G108*E108,0)</f>
        <v>115273093</v>
      </c>
      <c r="L108" s="23"/>
      <c r="M108" s="44">
        <f>ROUND(G108*(1+$R$116),2)</f>
        <v>17.49</v>
      </c>
      <c r="N108" s="45"/>
      <c r="O108" s="29">
        <f>ROUND(M108*$E108,0)</f>
        <v>132989867</v>
      </c>
      <c r="P108" s="29"/>
      <c r="Q108" s="21"/>
      <c r="R108" s="26"/>
      <c r="S108" s="26"/>
      <c r="T108" s="29"/>
      <c r="U108" s="26"/>
      <c r="V108" s="26"/>
      <c r="W108" s="26"/>
      <c r="X108" s="26"/>
      <c r="Y108" s="26"/>
      <c r="Z108" s="26"/>
      <c r="AA108" s="26"/>
    </row>
    <row r="109" spans="1:27" ht="15">
      <c r="A109" s="42" t="s">
        <v>68</v>
      </c>
      <c r="B109" s="21"/>
      <c r="C109" s="40">
        <v>8488687.854879098</v>
      </c>
      <c r="D109" s="23"/>
      <c r="E109" s="40">
        <v>9144303</v>
      </c>
      <c r="F109" s="23"/>
      <c r="G109" s="44">
        <v>12.17</v>
      </c>
      <c r="H109" s="45"/>
      <c r="I109" s="29">
        <f>ROUND($G109*C109,0)</f>
        <v>103307331</v>
      </c>
      <c r="J109" s="23"/>
      <c r="K109" s="29">
        <f>ROUND($G109*E109,0)</f>
        <v>111286168</v>
      </c>
      <c r="L109" s="23"/>
      <c r="M109" s="44">
        <f>ROUND(G109*(1+$R$116),2)</f>
        <v>14.04</v>
      </c>
      <c r="N109" s="45"/>
      <c r="O109" s="29">
        <f>ROUND(M109*$E109,0)</f>
        <v>128386014</v>
      </c>
      <c r="P109" s="29"/>
      <c r="Q109" s="97"/>
      <c r="R109" s="124"/>
      <c r="S109" s="26"/>
      <c r="T109" s="29"/>
      <c r="U109" s="26"/>
      <c r="V109" s="26"/>
      <c r="W109" s="26"/>
      <c r="X109" s="26"/>
      <c r="Y109" s="26"/>
      <c r="Z109" s="26"/>
      <c r="AA109" s="26"/>
    </row>
    <row r="110" spans="1:27" ht="15">
      <c r="A110" s="42" t="s">
        <v>60</v>
      </c>
      <c r="B110" s="21"/>
      <c r="C110" s="40">
        <v>510539.2792558193</v>
      </c>
      <c r="D110" s="23"/>
      <c r="E110" s="40">
        <v>541336</v>
      </c>
      <c r="F110" s="23"/>
      <c r="G110" s="44">
        <v>-0.78</v>
      </c>
      <c r="H110" s="45"/>
      <c r="I110" s="29">
        <f>ROUND($G110*C110,0)</f>
        <v>-398221</v>
      </c>
      <c r="J110" s="23"/>
      <c r="K110" s="29">
        <f>ROUND($G110*E110,0)</f>
        <v>-422242</v>
      </c>
      <c r="L110" s="23"/>
      <c r="M110" s="44">
        <f>ROUND(G110*(1+$R$116),2)</f>
        <v>-0.9</v>
      </c>
      <c r="N110" s="45"/>
      <c r="O110" s="29">
        <f>ROUND(M110*$E110,0)</f>
        <v>-487202</v>
      </c>
      <c r="P110" s="29"/>
      <c r="Q110" s="55" t="s">
        <v>23</v>
      </c>
      <c r="R110" s="56">
        <f>O102+O116+O172+O186</f>
        <v>478799462</v>
      </c>
      <c r="S110" s="26"/>
      <c r="T110" s="29"/>
      <c r="U110" s="40"/>
      <c r="V110" s="26"/>
      <c r="W110" s="26"/>
      <c r="X110" s="26"/>
      <c r="Y110" s="26"/>
      <c r="Z110" s="26"/>
      <c r="AA110" s="26"/>
    </row>
    <row r="111" spans="1:27" ht="15">
      <c r="A111" s="42" t="s">
        <v>56</v>
      </c>
      <c r="B111" s="21"/>
      <c r="C111" s="40">
        <v>5446749961.592536</v>
      </c>
      <c r="D111" s="23"/>
      <c r="E111" s="40">
        <v>5890642305.7789135</v>
      </c>
      <c r="F111" s="23"/>
      <c r="G111" s="107"/>
      <c r="H111" s="50"/>
      <c r="I111" s="29"/>
      <c r="J111" s="23"/>
      <c r="K111" s="29"/>
      <c r="L111" s="23"/>
      <c r="M111" s="107"/>
      <c r="N111" s="50"/>
      <c r="O111" s="29"/>
      <c r="P111" s="73"/>
      <c r="Q111" s="58" t="s">
        <v>25</v>
      </c>
      <c r="R111" s="59">
        <v>478799877</v>
      </c>
      <c r="S111" s="26"/>
      <c r="T111" s="26"/>
      <c r="U111" s="40"/>
      <c r="V111" s="26"/>
      <c r="W111" s="26"/>
      <c r="X111" s="26"/>
      <c r="Y111" s="26"/>
      <c r="Z111" s="26"/>
      <c r="AA111" s="26"/>
    </row>
    <row r="112" spans="1:27" ht="15">
      <c r="A112" s="42" t="s">
        <v>72</v>
      </c>
      <c r="B112" s="21"/>
      <c r="C112" s="40">
        <v>2431525176.423109</v>
      </c>
      <c r="D112" s="23"/>
      <c r="E112" s="40">
        <v>2629252324</v>
      </c>
      <c r="F112" s="23"/>
      <c r="G112" s="120">
        <v>3.1907</v>
      </c>
      <c r="H112" s="50" t="s">
        <v>20</v>
      </c>
      <c r="I112" s="29">
        <f>ROUND($G112*C112/100,0)</f>
        <v>77582674</v>
      </c>
      <c r="J112" s="23"/>
      <c r="K112" s="29">
        <f>ROUND($G112*E112/100,0)</f>
        <v>83891554</v>
      </c>
      <c r="L112" s="23"/>
      <c r="M112" s="120">
        <f>ROUND(G112*(1+$R$116),4)</f>
        <v>3.6807</v>
      </c>
      <c r="N112" s="50" t="s">
        <v>20</v>
      </c>
      <c r="O112" s="29">
        <f>ROUND(M112*$E112/100,0)</f>
        <v>96774890</v>
      </c>
      <c r="P112" s="73"/>
      <c r="Q112" s="63" t="s">
        <v>27</v>
      </c>
      <c r="R112" s="64">
        <f>R111-R110</f>
        <v>415</v>
      </c>
      <c r="S112" s="78"/>
      <c r="T112" s="29"/>
      <c r="U112" s="78"/>
      <c r="V112" s="26"/>
      <c r="W112" s="26"/>
      <c r="X112" s="26"/>
      <c r="Y112" s="26"/>
      <c r="Z112" s="26"/>
      <c r="AA112" s="26"/>
    </row>
    <row r="113" spans="1:27" ht="15">
      <c r="A113" s="42" t="s">
        <v>73</v>
      </c>
      <c r="B113" s="21"/>
      <c r="C113" s="40">
        <v>3015224785.1694274</v>
      </c>
      <c r="D113" s="23"/>
      <c r="E113" s="40">
        <v>3261389981.778914</v>
      </c>
      <c r="F113" s="23"/>
      <c r="G113" s="120">
        <v>2.9416</v>
      </c>
      <c r="H113" s="50" t="s">
        <v>20</v>
      </c>
      <c r="I113" s="29">
        <f>ROUND($G113*C113/100,0)</f>
        <v>88695852</v>
      </c>
      <c r="J113" s="23"/>
      <c r="K113" s="29">
        <f>ROUND($G113*E113/100,0)</f>
        <v>95937048</v>
      </c>
      <c r="L113" s="23"/>
      <c r="M113" s="130">
        <f>ROUND((R111-SUM(O93:O98,O100,O107:O112,O114,O163:O168,O170,O177:O182,O184))/(E99+E113+E169+E183)*100,4)+R393</f>
        <v>3.3925</v>
      </c>
      <c r="N113" s="50" t="s">
        <v>20</v>
      </c>
      <c r="O113" s="29">
        <f>ROUND(M113*$E113/100,0)</f>
        <v>110642655</v>
      </c>
      <c r="P113" s="73"/>
      <c r="Q113" s="66" t="s">
        <v>29</v>
      </c>
      <c r="R113" s="131">
        <f>R110/(K102+K116+K172+K186)-1</f>
        <v>0.15245263534092923</v>
      </c>
      <c r="S113" s="26"/>
      <c r="T113" s="26"/>
      <c r="U113" s="78"/>
      <c r="V113" s="26"/>
      <c r="W113" s="26"/>
      <c r="X113" s="26"/>
      <c r="Y113" s="26"/>
      <c r="Z113" s="26"/>
      <c r="AA113" s="26"/>
    </row>
    <row r="114" spans="1:27" ht="15">
      <c r="A114" s="42" t="s">
        <v>65</v>
      </c>
      <c r="B114" s="21"/>
      <c r="C114" s="40">
        <v>0</v>
      </c>
      <c r="D114" s="23"/>
      <c r="E114" s="40">
        <v>0</v>
      </c>
      <c r="F114" s="23"/>
      <c r="G114" s="44">
        <v>540</v>
      </c>
      <c r="H114" s="96"/>
      <c r="I114" s="29">
        <f>ROUND($G114*C114,0)</f>
        <v>0</v>
      </c>
      <c r="J114" s="23"/>
      <c r="K114" s="29">
        <f>ROUND($G114*E114,0)</f>
        <v>0</v>
      </c>
      <c r="L114" s="23"/>
      <c r="M114" s="44">
        <f>M107*12</f>
        <v>588</v>
      </c>
      <c r="N114" s="96"/>
      <c r="O114" s="29">
        <f>ROUND(M114*$E114,0)</f>
        <v>0</v>
      </c>
      <c r="P114" s="73"/>
      <c r="Q114" s="70" t="s">
        <v>31</v>
      </c>
      <c r="R114" s="132">
        <f>R111/(K102+K116+K172+K186)-1</f>
        <v>0.1524536342306142</v>
      </c>
      <c r="S114" s="26"/>
      <c r="T114" s="78"/>
      <c r="U114" s="78"/>
      <c r="V114" s="26"/>
      <c r="W114" s="26"/>
      <c r="X114" s="26"/>
      <c r="Y114" s="26"/>
      <c r="Z114" s="26"/>
      <c r="AA114" s="26"/>
    </row>
    <row r="115" spans="1:27" ht="15">
      <c r="A115" s="42" t="s">
        <v>44</v>
      </c>
      <c r="B115" s="21"/>
      <c r="C115" s="133">
        <v>16322705</v>
      </c>
      <c r="D115" s="23"/>
      <c r="E115" s="133">
        <v>0</v>
      </c>
      <c r="F115" s="23"/>
      <c r="G115" s="20"/>
      <c r="H115" s="23"/>
      <c r="I115" s="83">
        <f>I129+I143+I157</f>
        <v>1689419</v>
      </c>
      <c r="J115" s="23"/>
      <c r="K115" s="84">
        <v>0</v>
      </c>
      <c r="L115" s="23"/>
      <c r="M115" s="20"/>
      <c r="N115" s="23"/>
      <c r="O115" s="84">
        <v>0</v>
      </c>
      <c r="P115" s="21"/>
      <c r="Q115" s="66" t="s">
        <v>35</v>
      </c>
      <c r="R115" s="67">
        <f>M107/G107-1</f>
        <v>0.0888888888888888</v>
      </c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15.75" thickBot="1">
      <c r="A116" s="42" t="s">
        <v>46</v>
      </c>
      <c r="B116" s="21"/>
      <c r="C116" s="118">
        <v>5463072666.592536</v>
      </c>
      <c r="D116" s="23"/>
      <c r="E116" s="118">
        <v>5890642305.7789135</v>
      </c>
      <c r="F116" s="23"/>
      <c r="G116" s="110"/>
      <c r="H116" s="23"/>
      <c r="I116" s="111">
        <f>SUM(I107:I115)</f>
        <v>384665181</v>
      </c>
      <c r="J116" s="23"/>
      <c r="K116" s="111">
        <f>SUM(K107:K115)</f>
        <v>413066396</v>
      </c>
      <c r="L116" s="23"/>
      <c r="M116" s="110"/>
      <c r="N116" s="23"/>
      <c r="O116" s="111">
        <f>SUM(O107:O115)</f>
        <v>476038179</v>
      </c>
      <c r="P116" s="21"/>
      <c r="Q116" s="70" t="s">
        <v>74</v>
      </c>
      <c r="R116" s="132">
        <f>(R111-O93-O100-O107-O114-O163-O170-O177-O184)/SUM(K94:K99,K108:K113,K164:K169,K178:K183)-1</f>
        <v>0.15356232899918099</v>
      </c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15.75" thickTop="1">
      <c r="A117" s="42" t="s">
        <v>48</v>
      </c>
      <c r="B117" s="21"/>
      <c r="C117" s="40"/>
      <c r="D117" s="23"/>
      <c r="E117" s="40"/>
      <c r="F117" s="23"/>
      <c r="G117" s="92"/>
      <c r="H117" s="93"/>
      <c r="I117" s="83">
        <v>18544517.8191</v>
      </c>
      <c r="J117" s="23"/>
      <c r="K117" s="83">
        <f>I117</f>
        <v>18544517.8191</v>
      </c>
      <c r="L117" s="23"/>
      <c r="M117" s="37"/>
      <c r="N117" s="93"/>
      <c r="O117" s="83">
        <v>0</v>
      </c>
      <c r="P117" s="29"/>
      <c r="Q117" s="134" t="s">
        <v>51</v>
      </c>
      <c r="R117" s="135">
        <f>(O116+O117)/(K116+K117)-1</f>
        <v>0.1029336000514589</v>
      </c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15">
      <c r="A118" s="42" t="s">
        <v>49</v>
      </c>
      <c r="B118" s="21"/>
      <c r="C118" s="40"/>
      <c r="D118" s="23"/>
      <c r="E118" s="40"/>
      <c r="F118" s="23"/>
      <c r="G118" s="92">
        <f>M118</f>
        <v>0.0376</v>
      </c>
      <c r="H118" s="93"/>
      <c r="I118" s="83">
        <f>ROUND(SUM(I108:I113,I117)*$G118,0)</f>
        <v>14841842</v>
      </c>
      <c r="J118" s="23"/>
      <c r="K118" s="83">
        <f>ROUND(SUM(K108:K113,K117)*$G118,0)</f>
        <v>15961581</v>
      </c>
      <c r="L118" s="23"/>
      <c r="M118" s="92">
        <v>0.0376</v>
      </c>
      <c r="N118" s="93"/>
      <c r="O118" s="83">
        <f>ROUND(SUM(O108:O113,O117)*M118,0)</f>
        <v>17608314</v>
      </c>
      <c r="P118" s="29"/>
      <c r="Q118" s="21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15">
      <c r="A119" s="20"/>
      <c r="B119" s="21"/>
      <c r="C119" s="40"/>
      <c r="D119" s="23"/>
      <c r="E119" s="40"/>
      <c r="F119" s="23"/>
      <c r="G119" s="20"/>
      <c r="H119" s="23"/>
      <c r="I119" s="21"/>
      <c r="J119" s="23"/>
      <c r="K119" s="21"/>
      <c r="L119" s="23"/>
      <c r="M119" s="21"/>
      <c r="N119" s="23"/>
      <c r="O119" s="21"/>
      <c r="P119" s="29"/>
      <c r="Q119" s="21"/>
      <c r="R119" s="94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15">
      <c r="A120" s="38" t="s">
        <v>75</v>
      </c>
      <c r="B120" s="21"/>
      <c r="C120" s="40"/>
      <c r="D120" s="23"/>
      <c r="E120" s="40"/>
      <c r="F120" s="23"/>
      <c r="G120" s="20"/>
      <c r="H120" s="23"/>
      <c r="I120" s="21"/>
      <c r="J120" s="23"/>
      <c r="K120" s="21"/>
      <c r="L120" s="23"/>
      <c r="M120" s="21"/>
      <c r="N120" s="23"/>
      <c r="O120" s="21"/>
      <c r="P120" s="29"/>
      <c r="Q120" s="21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15">
      <c r="A121" s="42" t="s">
        <v>16</v>
      </c>
      <c r="B121" s="21"/>
      <c r="C121" s="43">
        <v>136081.94469629452</v>
      </c>
      <c r="D121" s="23"/>
      <c r="E121" s="40">
        <v>143779</v>
      </c>
      <c r="F121" s="23"/>
      <c r="G121" s="69">
        <v>45</v>
      </c>
      <c r="H121" s="68"/>
      <c r="I121" s="29">
        <f>ROUND($G121*C121,0)</f>
        <v>6123688</v>
      </c>
      <c r="J121" s="23"/>
      <c r="K121" s="29">
        <f>ROUND($G121*E121,0)</f>
        <v>6470055</v>
      </c>
      <c r="L121" s="23"/>
      <c r="M121" s="122">
        <f>M107</f>
        <v>49</v>
      </c>
      <c r="N121" s="68"/>
      <c r="O121" s="29">
        <f>ROUND(M121*$E121,0)</f>
        <v>7045171</v>
      </c>
      <c r="P121" s="29"/>
      <c r="Q121" s="21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15">
      <c r="A122" s="42" t="s">
        <v>67</v>
      </c>
      <c r="B122" s="21"/>
      <c r="C122" s="43">
        <v>6064923.177974986</v>
      </c>
      <c r="D122" s="23"/>
      <c r="E122" s="40">
        <f>ROUND(E$130*C122/C$130,0)</f>
        <v>6589408</v>
      </c>
      <c r="F122" s="23"/>
      <c r="G122" s="69">
        <v>15.16</v>
      </c>
      <c r="H122" s="68"/>
      <c r="I122" s="29">
        <f>ROUND($G122*C122,0)</f>
        <v>91944235</v>
      </c>
      <c r="J122" s="23"/>
      <c r="K122" s="29">
        <f>ROUND($G122*E122,0)</f>
        <v>99895425</v>
      </c>
      <c r="L122" s="23"/>
      <c r="M122" s="122">
        <f>M108</f>
        <v>17.49</v>
      </c>
      <c r="N122" s="68"/>
      <c r="O122" s="29">
        <f>ROUND(M122*$E122,0)</f>
        <v>115248746</v>
      </c>
      <c r="P122" s="29"/>
      <c r="Q122" s="21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15">
      <c r="A123" s="42" t="s">
        <v>68</v>
      </c>
      <c r="B123" s="21"/>
      <c r="C123" s="43">
        <v>7280298.190158494</v>
      </c>
      <c r="D123" s="23"/>
      <c r="E123" s="40">
        <f>ROUND(E$130*C123/C$130,0)</f>
        <v>7909887</v>
      </c>
      <c r="F123" s="23"/>
      <c r="G123" s="69">
        <v>12.17</v>
      </c>
      <c r="H123" s="68"/>
      <c r="I123" s="29">
        <f>ROUND($G123*C123,0)</f>
        <v>88601229</v>
      </c>
      <c r="J123" s="23"/>
      <c r="K123" s="29">
        <f>ROUND($G123*E123,0)</f>
        <v>96263325</v>
      </c>
      <c r="L123" s="23"/>
      <c r="M123" s="122">
        <f>M109</f>
        <v>14.04</v>
      </c>
      <c r="N123" s="68"/>
      <c r="O123" s="29">
        <f>ROUND(M123*$E123,0)</f>
        <v>111054813</v>
      </c>
      <c r="P123" s="29"/>
      <c r="Q123" s="21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15">
      <c r="A124" s="42" t="s">
        <v>60</v>
      </c>
      <c r="B124" s="21"/>
      <c r="C124" s="43">
        <v>304782.3101126863</v>
      </c>
      <c r="D124" s="23"/>
      <c r="E124" s="40">
        <f>ROUND(E$130*C124/C$130,0)</f>
        <v>331139</v>
      </c>
      <c r="F124" s="23"/>
      <c r="G124" s="69">
        <v>-0.78</v>
      </c>
      <c r="H124" s="68"/>
      <c r="I124" s="29">
        <f>ROUND($G124*C124,0)</f>
        <v>-237730</v>
      </c>
      <c r="J124" s="23"/>
      <c r="K124" s="29">
        <f>ROUND($G124*E124,0)</f>
        <v>-258288</v>
      </c>
      <c r="L124" s="23"/>
      <c r="M124" s="122">
        <f>M110</f>
        <v>-0.9</v>
      </c>
      <c r="N124" s="68"/>
      <c r="O124" s="29">
        <f>ROUND(M124*$E124,0)</f>
        <v>-298025</v>
      </c>
      <c r="P124" s="29"/>
      <c r="Q124" s="21"/>
      <c r="R124" s="26"/>
      <c r="S124" s="78"/>
      <c r="T124" s="26"/>
      <c r="U124" s="26"/>
      <c r="V124" s="26"/>
      <c r="W124" s="26"/>
      <c r="X124" s="26"/>
      <c r="Y124" s="26"/>
      <c r="Z124" s="26"/>
      <c r="AA124" s="26"/>
    </row>
    <row r="125" spans="1:27" ht="15">
      <c r="A125" s="42" t="s">
        <v>56</v>
      </c>
      <c r="B125" s="21"/>
      <c r="C125" s="127">
        <f>SUM(C126:C127)</f>
        <v>4758324668.592536</v>
      </c>
      <c r="D125" s="23"/>
      <c r="E125" s="40">
        <f>SUM(E126:E127)</f>
        <v>5184917925</v>
      </c>
      <c r="F125" s="23"/>
      <c r="G125" s="120"/>
      <c r="H125" s="50"/>
      <c r="I125" s="29"/>
      <c r="J125" s="23"/>
      <c r="K125" s="29"/>
      <c r="L125" s="23"/>
      <c r="M125" s="121"/>
      <c r="N125" s="50"/>
      <c r="O125" s="29"/>
      <c r="P125" s="73"/>
      <c r="Q125" s="21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15">
      <c r="A126" s="42" t="s">
        <v>69</v>
      </c>
      <c r="B126" s="21"/>
      <c r="C126" s="43">
        <v>2117454826.0779479</v>
      </c>
      <c r="D126" s="23"/>
      <c r="E126" s="40">
        <f>ROUND(E$130*C126/(C$130-C$129),0)</f>
        <v>2307288856</v>
      </c>
      <c r="F126" s="23"/>
      <c r="G126" s="120">
        <v>3.1907</v>
      </c>
      <c r="H126" s="50" t="s">
        <v>20</v>
      </c>
      <c r="I126" s="29">
        <f>ROUND($G126*C126/100,0)</f>
        <v>67561631</v>
      </c>
      <c r="J126" s="23"/>
      <c r="K126" s="29">
        <f>ROUND($G126*E126/100,0)</f>
        <v>73618666</v>
      </c>
      <c r="L126" s="23"/>
      <c r="M126" s="121">
        <f>M112</f>
        <v>3.6807</v>
      </c>
      <c r="N126" s="50" t="s">
        <v>20</v>
      </c>
      <c r="O126" s="29">
        <f>ROUND(M126*$E126/100,0)</f>
        <v>84924381</v>
      </c>
      <c r="P126" s="73"/>
      <c r="Q126" s="21"/>
      <c r="R126" s="26"/>
      <c r="S126" s="26"/>
      <c r="T126" s="78"/>
      <c r="U126" s="26"/>
      <c r="V126" s="26"/>
      <c r="W126" s="26"/>
      <c r="X126" s="26"/>
      <c r="Y126" s="26"/>
      <c r="Z126" s="26"/>
      <c r="AA126" s="26"/>
    </row>
    <row r="127" spans="1:27" ht="15">
      <c r="A127" s="42" t="s">
        <v>70</v>
      </c>
      <c r="B127" s="21"/>
      <c r="C127" s="43">
        <v>2640869842.5145884</v>
      </c>
      <c r="D127" s="23"/>
      <c r="E127" s="40">
        <f>E130-E126</f>
        <v>2877629069</v>
      </c>
      <c r="F127" s="23"/>
      <c r="G127" s="120">
        <v>2.9416</v>
      </c>
      <c r="H127" s="50" t="s">
        <v>20</v>
      </c>
      <c r="I127" s="29">
        <f>ROUND($G127*C127/100,0)</f>
        <v>77683827</v>
      </c>
      <c r="J127" s="23"/>
      <c r="K127" s="29">
        <f>ROUND($G127*E127/100,0)</f>
        <v>84648337</v>
      </c>
      <c r="L127" s="23"/>
      <c r="M127" s="121">
        <f>M113</f>
        <v>3.3925</v>
      </c>
      <c r="N127" s="50" t="s">
        <v>20</v>
      </c>
      <c r="O127" s="29">
        <f>ROUND(M127*$E127/100,0)</f>
        <v>97623566</v>
      </c>
      <c r="P127" s="73"/>
      <c r="Q127" s="97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15">
      <c r="A128" s="42" t="s">
        <v>65</v>
      </c>
      <c r="B128" s="21"/>
      <c r="C128" s="48">
        <v>0</v>
      </c>
      <c r="D128" s="23"/>
      <c r="E128" s="40">
        <f>ROUND(C128*E121/C121,0)</f>
        <v>0</v>
      </c>
      <c r="F128" s="23"/>
      <c r="G128" s="69">
        <v>540</v>
      </c>
      <c r="H128" s="68"/>
      <c r="I128" s="29">
        <f>ROUND($G128*C128,0)</f>
        <v>0</v>
      </c>
      <c r="J128" s="23"/>
      <c r="K128" s="29">
        <f>ROUND($G128*E128,0)</f>
        <v>0</v>
      </c>
      <c r="L128" s="23"/>
      <c r="M128" s="122">
        <f>M114</f>
        <v>588</v>
      </c>
      <c r="N128" s="68"/>
      <c r="O128" s="29">
        <f>ROUND(M128*$E128,0)</f>
        <v>0</v>
      </c>
      <c r="P128" s="73"/>
      <c r="Q128" s="21"/>
      <c r="R128" s="26"/>
      <c r="S128" s="26"/>
      <c r="T128" s="26"/>
      <c r="U128" s="78"/>
      <c r="V128" s="26"/>
      <c r="W128" s="26"/>
      <c r="X128" s="26"/>
      <c r="Y128" s="26"/>
      <c r="Z128" s="26"/>
      <c r="AA128" s="26"/>
    </row>
    <row r="129" spans="1:27" ht="15">
      <c r="A129" s="42" t="s">
        <v>44</v>
      </c>
      <c r="B129" s="21"/>
      <c r="C129" s="82">
        <v>13898923</v>
      </c>
      <c r="D129" s="23"/>
      <c r="E129" s="82">
        <v>0</v>
      </c>
      <c r="F129" s="23"/>
      <c r="G129" s="20"/>
      <c r="H129" s="23"/>
      <c r="I129" s="84">
        <v>1577620</v>
      </c>
      <c r="J129" s="23"/>
      <c r="K129" s="84">
        <v>0</v>
      </c>
      <c r="L129" s="23"/>
      <c r="M129" s="21"/>
      <c r="N129" s="23"/>
      <c r="O129" s="84">
        <v>0</v>
      </c>
      <c r="P129" s="21"/>
      <c r="Q129" s="21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15.75" thickBot="1">
      <c r="A130" s="42" t="s">
        <v>46</v>
      </c>
      <c r="B130" s="21"/>
      <c r="C130" s="118">
        <f>SUM(C126:C127,C129)</f>
        <v>4772223591.592536</v>
      </c>
      <c r="D130" s="23"/>
      <c r="E130" s="118">
        <v>5184917925</v>
      </c>
      <c r="F130" s="23"/>
      <c r="G130" s="110"/>
      <c r="H130" s="23"/>
      <c r="I130" s="111">
        <f>SUM(I121:I129)</f>
        <v>333254500</v>
      </c>
      <c r="J130" s="23"/>
      <c r="K130" s="111">
        <f>SUM(K121:K129)</f>
        <v>360637520</v>
      </c>
      <c r="L130" s="23"/>
      <c r="M130" s="112"/>
      <c r="N130" s="23"/>
      <c r="O130" s="111">
        <f>SUM(O121:O129)</f>
        <v>415598652</v>
      </c>
      <c r="P130" s="21"/>
      <c r="Q130" s="21" t="s">
        <v>29</v>
      </c>
      <c r="R130" s="104">
        <f>O130/K130-1</f>
        <v>0.15239992777235156</v>
      </c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15.75" thickTop="1">
      <c r="A131" s="42" t="s">
        <v>48</v>
      </c>
      <c r="B131" s="21"/>
      <c r="C131" s="40"/>
      <c r="D131" s="23"/>
      <c r="E131" s="40"/>
      <c r="F131" s="23"/>
      <c r="G131" s="92"/>
      <c r="H131" s="93"/>
      <c r="I131" s="83">
        <f>ROUND($I$117*I130/$I$116,0)</f>
        <v>16066034</v>
      </c>
      <c r="J131" s="23"/>
      <c r="K131" s="83">
        <f>I131</f>
        <v>16066034</v>
      </c>
      <c r="L131" s="23"/>
      <c r="M131" s="37"/>
      <c r="N131" s="93"/>
      <c r="O131" s="83">
        <v>0</v>
      </c>
      <c r="P131" s="29"/>
      <c r="Q131" s="20" t="s">
        <v>51</v>
      </c>
      <c r="R131" s="117">
        <f>(O130+O131)/(K130+K131)-1</f>
        <v>0.10325121063232645</v>
      </c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15">
      <c r="A132" s="42" t="s">
        <v>49</v>
      </c>
      <c r="B132" s="21"/>
      <c r="C132" s="40"/>
      <c r="D132" s="23"/>
      <c r="E132" s="40"/>
      <c r="F132" s="23"/>
      <c r="G132" s="92">
        <f>M132</f>
        <v>0.0376</v>
      </c>
      <c r="H132" s="114"/>
      <c r="I132" s="83">
        <f>ROUND(SUM(I122:I127,I131)*$G132,0)</f>
        <v>12844883</v>
      </c>
      <c r="J132" s="23"/>
      <c r="K132" s="83">
        <f>ROUND(SUM(K122:K127,K131)*$G132,0)</f>
        <v>13920780</v>
      </c>
      <c r="L132" s="23"/>
      <c r="M132" s="115">
        <f>M118</f>
        <v>0.0376</v>
      </c>
      <c r="N132" s="114"/>
      <c r="O132" s="83">
        <f>ROUND(SUM(O122:O127,O131)*M132,0)</f>
        <v>15361611</v>
      </c>
      <c r="P132" s="29"/>
      <c r="Q132" s="21"/>
      <c r="R132" s="78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15">
      <c r="A133" s="20"/>
      <c r="B133" s="21"/>
      <c r="C133" s="21"/>
      <c r="D133" s="23"/>
      <c r="E133" s="21"/>
      <c r="F133" s="23"/>
      <c r="G133" s="20"/>
      <c r="H133" s="23"/>
      <c r="I133" s="21"/>
      <c r="J133" s="23"/>
      <c r="K133" s="21"/>
      <c r="L133" s="23"/>
      <c r="M133" s="21"/>
      <c r="N133" s="23"/>
      <c r="O133" s="21"/>
      <c r="P133" s="29"/>
      <c r="Q133" s="21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15">
      <c r="A134" s="38" t="s">
        <v>76</v>
      </c>
      <c r="B134" s="21"/>
      <c r="C134" s="40"/>
      <c r="D134" s="23"/>
      <c r="E134" s="40"/>
      <c r="F134" s="23"/>
      <c r="G134" s="20"/>
      <c r="H134" s="23"/>
      <c r="I134" s="21"/>
      <c r="J134" s="23"/>
      <c r="K134" s="21"/>
      <c r="L134" s="23"/>
      <c r="M134" s="21"/>
      <c r="N134" s="23"/>
      <c r="O134" s="21"/>
      <c r="P134" s="29"/>
      <c r="Q134" s="21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15">
      <c r="A135" s="42" t="s">
        <v>16</v>
      </c>
      <c r="B135" s="21"/>
      <c r="C135" s="43">
        <v>14768.851511111212</v>
      </c>
      <c r="D135" s="23"/>
      <c r="E135" s="40">
        <v>13968</v>
      </c>
      <c r="F135" s="23"/>
      <c r="G135" s="69">
        <v>45</v>
      </c>
      <c r="H135" s="68"/>
      <c r="I135" s="29">
        <f>ROUND($G135*C135,0)</f>
        <v>664598</v>
      </c>
      <c r="J135" s="23"/>
      <c r="K135" s="29">
        <f>ROUND($G135*E135,0)</f>
        <v>628560</v>
      </c>
      <c r="L135" s="23"/>
      <c r="M135" s="122">
        <f>M107</f>
        <v>49</v>
      </c>
      <c r="N135" s="68"/>
      <c r="O135" s="29">
        <f>ROUND(M135*$E135,0)</f>
        <v>684432</v>
      </c>
      <c r="P135" s="29"/>
      <c r="Q135" s="21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15">
      <c r="A136" s="42" t="s">
        <v>67</v>
      </c>
      <c r="B136" s="21"/>
      <c r="C136" s="43">
        <v>990022.2496927677</v>
      </c>
      <c r="D136" s="23"/>
      <c r="E136" s="40">
        <f>ROUND(C136/C$144*E$144,0)</f>
        <v>1011385</v>
      </c>
      <c r="F136" s="23"/>
      <c r="G136" s="69">
        <v>15.16</v>
      </c>
      <c r="H136" s="68"/>
      <c r="I136" s="29">
        <f>ROUND($G136*C136,0)</f>
        <v>15008737</v>
      </c>
      <c r="J136" s="23"/>
      <c r="K136" s="29">
        <f>ROUND($G136*E136,0)</f>
        <v>15332597</v>
      </c>
      <c r="L136" s="23"/>
      <c r="M136" s="122">
        <f>M108</f>
        <v>17.49</v>
      </c>
      <c r="N136" s="68"/>
      <c r="O136" s="29">
        <f>ROUND(M136*$E136,0)</f>
        <v>17689124</v>
      </c>
      <c r="P136" s="29"/>
      <c r="Q136" s="21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15">
      <c r="A137" s="42" t="s">
        <v>68</v>
      </c>
      <c r="B137" s="21"/>
      <c r="C137" s="43">
        <v>1204852.6989157663</v>
      </c>
      <c r="D137" s="23"/>
      <c r="E137" s="40">
        <f>ROUND(C137/C$144*E$144,0)</f>
        <v>1230851</v>
      </c>
      <c r="F137" s="23"/>
      <c r="G137" s="69">
        <v>12.17</v>
      </c>
      <c r="H137" s="68"/>
      <c r="I137" s="29">
        <f>ROUND($G137*C137,0)</f>
        <v>14663057</v>
      </c>
      <c r="J137" s="23"/>
      <c r="K137" s="29">
        <f>ROUND($G137*E137,0)</f>
        <v>14979457</v>
      </c>
      <c r="L137" s="23"/>
      <c r="M137" s="122">
        <f>M109</f>
        <v>14.04</v>
      </c>
      <c r="N137" s="68"/>
      <c r="O137" s="29">
        <f>ROUND(M137*$E137,0)</f>
        <v>17281148</v>
      </c>
      <c r="P137" s="29"/>
      <c r="Q137" s="21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15">
      <c r="A138" s="42" t="s">
        <v>60</v>
      </c>
      <c r="B138" s="21"/>
      <c r="C138" s="43">
        <v>205756.969143133</v>
      </c>
      <c r="D138" s="23"/>
      <c r="E138" s="40">
        <f>ROUND(C138/C$144*E$144,0)</f>
        <v>210197</v>
      </c>
      <c r="F138" s="23"/>
      <c r="G138" s="69">
        <v>-0.78</v>
      </c>
      <c r="H138" s="68"/>
      <c r="I138" s="29">
        <f>ROUND($G138*C138,0)</f>
        <v>-160490</v>
      </c>
      <c r="J138" s="23"/>
      <c r="K138" s="29">
        <f>ROUND($G138*E138,0)</f>
        <v>-163954</v>
      </c>
      <c r="L138" s="23"/>
      <c r="M138" s="122">
        <f>M110</f>
        <v>-0.9</v>
      </c>
      <c r="N138" s="68"/>
      <c r="O138" s="29">
        <f>ROUND(M138*$E138,0)</f>
        <v>-189177</v>
      </c>
      <c r="P138" s="73"/>
      <c r="Q138" s="21"/>
      <c r="R138" s="26"/>
      <c r="S138" s="78"/>
      <c r="T138" s="26"/>
      <c r="U138" s="26"/>
      <c r="V138" s="26"/>
      <c r="W138" s="26"/>
      <c r="X138" s="26"/>
      <c r="Y138" s="26"/>
      <c r="Z138" s="26"/>
      <c r="AA138" s="26"/>
    </row>
    <row r="139" spans="1:27" ht="15">
      <c r="A139" s="42" t="s">
        <v>56</v>
      </c>
      <c r="B139" s="21"/>
      <c r="C139" s="43">
        <f>SUM(C140:C141)</f>
        <v>686093213</v>
      </c>
      <c r="D139" s="23"/>
      <c r="E139" s="40">
        <f>E144</f>
        <v>703378899.54225</v>
      </c>
      <c r="F139" s="23"/>
      <c r="G139" s="120"/>
      <c r="H139" s="50"/>
      <c r="I139" s="29"/>
      <c r="J139" s="23"/>
      <c r="K139" s="29"/>
      <c r="L139" s="23"/>
      <c r="M139" s="121"/>
      <c r="N139" s="50"/>
      <c r="O139" s="29"/>
      <c r="P139" s="73"/>
      <c r="Q139" s="21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15">
      <c r="A140" s="42" t="s">
        <v>69</v>
      </c>
      <c r="B140" s="21"/>
      <c r="C140" s="43">
        <v>313058037.0541527</v>
      </c>
      <c r="D140" s="23"/>
      <c r="E140" s="40">
        <f>ROUND(C140/(C$144-C$143)*E$144,0)</f>
        <v>320945337</v>
      </c>
      <c r="F140" s="23"/>
      <c r="G140" s="120">
        <v>3.1907</v>
      </c>
      <c r="H140" s="50" t="s">
        <v>20</v>
      </c>
      <c r="I140" s="29">
        <f>ROUND($G140*C140/100,0)</f>
        <v>9988743</v>
      </c>
      <c r="J140" s="23"/>
      <c r="K140" s="29">
        <f>ROUND($G140*E140/100,0)</f>
        <v>10240403</v>
      </c>
      <c r="L140" s="23"/>
      <c r="M140" s="121">
        <f>M112</f>
        <v>3.6807</v>
      </c>
      <c r="N140" s="50" t="s">
        <v>20</v>
      </c>
      <c r="O140" s="29">
        <f>ROUND(M140*$E140/100,0)</f>
        <v>11813035</v>
      </c>
      <c r="P140" s="73"/>
      <c r="Q140" s="21"/>
      <c r="R140" s="124"/>
      <c r="S140" s="26"/>
      <c r="T140" s="78"/>
      <c r="U140" s="26"/>
      <c r="V140" s="26"/>
      <c r="W140" s="26"/>
      <c r="X140" s="26"/>
      <c r="Y140" s="26"/>
      <c r="Z140" s="26"/>
      <c r="AA140" s="26"/>
    </row>
    <row r="141" spans="1:27" ht="15">
      <c r="A141" s="42" t="s">
        <v>70</v>
      </c>
      <c r="B141" s="21"/>
      <c r="C141" s="43">
        <v>373035175.9458473</v>
      </c>
      <c r="D141" s="23"/>
      <c r="E141" s="40">
        <f>E139-E140</f>
        <v>382433562.54225004</v>
      </c>
      <c r="F141" s="23"/>
      <c r="G141" s="120">
        <v>2.9416</v>
      </c>
      <c r="H141" s="50" t="s">
        <v>20</v>
      </c>
      <c r="I141" s="29">
        <f>ROUND($G141*C141/100,0)</f>
        <v>10973203</v>
      </c>
      <c r="J141" s="23"/>
      <c r="K141" s="29">
        <f>ROUND($G141*E141/100,0)</f>
        <v>11249666</v>
      </c>
      <c r="L141" s="23"/>
      <c r="M141" s="121">
        <f>M113</f>
        <v>3.3925</v>
      </c>
      <c r="N141" s="50" t="s">
        <v>20</v>
      </c>
      <c r="O141" s="29">
        <f>ROUND(M141*$E141/100,0)</f>
        <v>12974059</v>
      </c>
      <c r="P141" s="73"/>
      <c r="Q141" s="21"/>
      <c r="R141" s="124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15">
      <c r="A142" s="42" t="s">
        <v>65</v>
      </c>
      <c r="B142" s="21"/>
      <c r="C142" s="48">
        <v>0</v>
      </c>
      <c r="D142" s="23"/>
      <c r="E142" s="40">
        <f>ROUND(C142*E135/C135,0)</f>
        <v>0</v>
      </c>
      <c r="F142" s="23"/>
      <c r="G142" s="69">
        <v>540</v>
      </c>
      <c r="H142" s="68"/>
      <c r="I142" s="29">
        <f>ROUND($G142*C142,0)</f>
        <v>0</v>
      </c>
      <c r="J142" s="23"/>
      <c r="K142" s="29">
        <f>ROUND($G142*E142,0)</f>
        <v>0</v>
      </c>
      <c r="L142" s="23"/>
      <c r="M142" s="122">
        <f>M128</f>
        <v>588</v>
      </c>
      <c r="N142" s="68"/>
      <c r="O142" s="29">
        <f>ROUND(M142*$E142,0)</f>
        <v>0</v>
      </c>
      <c r="P142" s="73"/>
      <c r="Q142" s="21"/>
      <c r="R142" s="26"/>
      <c r="S142" s="26"/>
      <c r="T142" s="26"/>
      <c r="U142" s="78"/>
      <c r="V142" s="26"/>
      <c r="W142" s="26"/>
      <c r="X142" s="26"/>
      <c r="Y142" s="26"/>
      <c r="Z142" s="26"/>
      <c r="AA142" s="26"/>
    </row>
    <row r="143" spans="1:27" ht="15">
      <c r="A143" s="42" t="s">
        <v>44</v>
      </c>
      <c r="B143" s="21"/>
      <c r="C143" s="82">
        <v>2429040</v>
      </c>
      <c r="D143" s="23"/>
      <c r="E143" s="133">
        <v>0</v>
      </c>
      <c r="F143" s="23"/>
      <c r="G143" s="20"/>
      <c r="H143" s="23"/>
      <c r="I143" s="84">
        <v>111261</v>
      </c>
      <c r="J143" s="23"/>
      <c r="K143" s="84">
        <v>0</v>
      </c>
      <c r="L143" s="23"/>
      <c r="M143" s="21"/>
      <c r="N143" s="23"/>
      <c r="O143" s="84">
        <v>0</v>
      </c>
      <c r="P143" s="21"/>
      <c r="Q143" s="21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15.75" thickBot="1">
      <c r="A144" s="42" t="s">
        <v>46</v>
      </c>
      <c r="B144" s="21"/>
      <c r="C144" s="118">
        <f>C139+C143</f>
        <v>688522253</v>
      </c>
      <c r="D144" s="23"/>
      <c r="E144" s="118">
        <v>703378899.54225</v>
      </c>
      <c r="F144" s="23"/>
      <c r="G144" s="110"/>
      <c r="H144" s="23"/>
      <c r="I144" s="111">
        <f>SUM(I135:I143)</f>
        <v>51249109</v>
      </c>
      <c r="J144" s="23"/>
      <c r="K144" s="111">
        <f>SUM(K135:K143)</f>
        <v>52266729</v>
      </c>
      <c r="L144" s="23"/>
      <c r="M144" s="112"/>
      <c r="N144" s="23"/>
      <c r="O144" s="111">
        <f>SUM(O135:O143)</f>
        <v>60252621</v>
      </c>
      <c r="P144" s="21"/>
      <c r="Q144" s="21" t="s">
        <v>29</v>
      </c>
      <c r="R144" s="104">
        <f>O144/K144-1</f>
        <v>0.15279111880140817</v>
      </c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15.75" thickTop="1">
      <c r="A145" s="42" t="s">
        <v>48</v>
      </c>
      <c r="B145" s="21"/>
      <c r="C145" s="40"/>
      <c r="D145" s="23"/>
      <c r="E145" s="40"/>
      <c r="F145" s="23"/>
      <c r="G145" s="92"/>
      <c r="H145" s="93"/>
      <c r="I145" s="83">
        <f>ROUND($I$117*I144/$I$116,0)</f>
        <v>2470694</v>
      </c>
      <c r="J145" s="23"/>
      <c r="K145" s="83">
        <f>I145</f>
        <v>2470694</v>
      </c>
      <c r="L145" s="23"/>
      <c r="M145" s="37"/>
      <c r="N145" s="93"/>
      <c r="O145" s="83">
        <v>0</v>
      </c>
      <c r="P145" s="29"/>
      <c r="Q145" s="20" t="s">
        <v>51</v>
      </c>
      <c r="R145" s="117">
        <f>(O144+O145)/(K144+K145)-1</f>
        <v>0.1007573557125625</v>
      </c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15">
      <c r="A146" s="42" t="s">
        <v>49</v>
      </c>
      <c r="B146" s="21"/>
      <c r="C146" s="40"/>
      <c r="D146" s="23"/>
      <c r="E146" s="40"/>
      <c r="F146" s="23"/>
      <c r="G146" s="92">
        <f>M146</f>
        <v>0.0376</v>
      </c>
      <c r="H146" s="114"/>
      <c r="I146" s="83">
        <f>ROUND(SUM(I136:I141,I145)*$G146,0)</f>
        <v>1990692</v>
      </c>
      <c r="J146" s="23"/>
      <c r="K146" s="83">
        <f>ROUND(SUM(K136:K141,K145)*$G146,0)</f>
        <v>2034493</v>
      </c>
      <c r="L146" s="23"/>
      <c r="M146" s="115">
        <f>M118</f>
        <v>0.0376</v>
      </c>
      <c r="N146" s="114"/>
      <c r="O146" s="83">
        <f>ROUND(SUM(O136:O141,O145)*M146,0)</f>
        <v>2239764</v>
      </c>
      <c r="P146" s="29"/>
      <c r="Q146" s="21"/>
      <c r="R146" s="78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15">
      <c r="A147" s="20"/>
      <c r="B147" s="21"/>
      <c r="C147" s="40"/>
      <c r="D147" s="23"/>
      <c r="E147" s="40"/>
      <c r="F147" s="23"/>
      <c r="G147" s="20"/>
      <c r="H147" s="23"/>
      <c r="I147" s="21"/>
      <c r="J147" s="23"/>
      <c r="K147" s="21"/>
      <c r="L147" s="23"/>
      <c r="M147" s="21"/>
      <c r="N147" s="23"/>
      <c r="O147" s="21"/>
      <c r="P147" s="29"/>
      <c r="Q147" s="21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15">
      <c r="A148" s="38" t="s">
        <v>77</v>
      </c>
      <c r="B148" s="21"/>
      <c r="C148" s="40"/>
      <c r="D148" s="23"/>
      <c r="E148" s="40"/>
      <c r="F148" s="23"/>
      <c r="G148" s="20"/>
      <c r="H148" s="23"/>
      <c r="I148" s="21"/>
      <c r="J148" s="23"/>
      <c r="K148" s="21"/>
      <c r="L148" s="23"/>
      <c r="M148" s="21"/>
      <c r="N148" s="23"/>
      <c r="O148" s="21"/>
      <c r="P148" s="29"/>
      <c r="Q148" s="21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15">
      <c r="A149" s="42" t="s">
        <v>16</v>
      </c>
      <c r="B149" s="21"/>
      <c r="C149" s="43">
        <v>48.0001481481481</v>
      </c>
      <c r="D149" s="23"/>
      <c r="E149" s="40">
        <v>48</v>
      </c>
      <c r="F149" s="23"/>
      <c r="G149" s="69">
        <v>45</v>
      </c>
      <c r="H149" s="68"/>
      <c r="I149" s="29">
        <f>ROUND($G149*C149,0)</f>
        <v>2160</v>
      </c>
      <c r="J149" s="23"/>
      <c r="K149" s="29">
        <f>ROUND($G149*E149,0)</f>
        <v>2160</v>
      </c>
      <c r="L149" s="23"/>
      <c r="M149" s="122">
        <f>M107</f>
        <v>49</v>
      </c>
      <c r="N149" s="68"/>
      <c r="O149" s="29">
        <f>ROUND(M149*$E149,0)</f>
        <v>2352</v>
      </c>
      <c r="P149" s="29"/>
      <c r="Q149" s="21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15">
      <c r="A150" s="42" t="s">
        <v>67</v>
      </c>
      <c r="B150" s="21"/>
      <c r="C150" s="43">
        <v>2949.03493889974</v>
      </c>
      <c r="D150" s="23"/>
      <c r="E150" s="40">
        <f>ROUND(C150/C$158*E$158,0)</f>
        <v>2973</v>
      </c>
      <c r="F150" s="23"/>
      <c r="G150" s="69">
        <v>15.16</v>
      </c>
      <c r="H150" s="68"/>
      <c r="I150" s="29">
        <f>ROUND($G150*C150,0)</f>
        <v>44707</v>
      </c>
      <c r="J150" s="23"/>
      <c r="K150" s="29">
        <f>ROUND($G150*E150,0)</f>
        <v>45071</v>
      </c>
      <c r="L150" s="23"/>
      <c r="M150" s="122">
        <f>M108</f>
        <v>17.49</v>
      </c>
      <c r="N150" s="68"/>
      <c r="O150" s="29">
        <f>ROUND(M150*$E150,0)</f>
        <v>51998</v>
      </c>
      <c r="P150" s="29"/>
      <c r="Q150" s="21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15">
      <c r="A151" s="42" t="s">
        <v>68</v>
      </c>
      <c r="B151" s="21"/>
      <c r="C151" s="43">
        <v>3536.96580483736</v>
      </c>
      <c r="D151" s="23"/>
      <c r="E151" s="40">
        <f>ROUND(C151/C$158*E$158,0)</f>
        <v>3565</v>
      </c>
      <c r="F151" s="23"/>
      <c r="G151" s="69">
        <v>12.17</v>
      </c>
      <c r="H151" s="68"/>
      <c r="I151" s="29">
        <f>ROUND($G151*C151,0)</f>
        <v>43045</v>
      </c>
      <c r="J151" s="23"/>
      <c r="K151" s="29">
        <f>ROUND($G151*E151,0)</f>
        <v>43386</v>
      </c>
      <c r="L151" s="23"/>
      <c r="M151" s="122">
        <f>M109</f>
        <v>14.04</v>
      </c>
      <c r="N151" s="68"/>
      <c r="O151" s="29">
        <f>ROUND(M151*$E151,0)</f>
        <v>50053</v>
      </c>
      <c r="P151" s="29"/>
      <c r="Q151" s="21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15">
      <c r="A152" s="42" t="s">
        <v>60</v>
      </c>
      <c r="B152" s="21"/>
      <c r="C152" s="43">
        <v>0</v>
      </c>
      <c r="D152" s="23"/>
      <c r="E152" s="40">
        <f>ROUND(C152/C$158*E$158,0)</f>
        <v>0</v>
      </c>
      <c r="F152" s="23"/>
      <c r="G152" s="69">
        <v>-0.78</v>
      </c>
      <c r="H152" s="68"/>
      <c r="I152" s="29">
        <f>ROUND($G152*C152,0)</f>
        <v>0</v>
      </c>
      <c r="J152" s="23"/>
      <c r="K152" s="29">
        <f>ROUND($G152*E152,0)</f>
        <v>0</v>
      </c>
      <c r="L152" s="23"/>
      <c r="M152" s="122">
        <f>M110</f>
        <v>-0.9</v>
      </c>
      <c r="N152" s="68"/>
      <c r="O152" s="29">
        <f>ROUND(M152*$E152,0)</f>
        <v>0</v>
      </c>
      <c r="P152" s="73"/>
      <c r="Q152" s="21"/>
      <c r="R152" s="26"/>
      <c r="S152" s="78"/>
      <c r="T152" s="26"/>
      <c r="U152" s="26"/>
      <c r="V152" s="26"/>
      <c r="W152" s="26"/>
      <c r="X152" s="26"/>
      <c r="Y152" s="26"/>
      <c r="Z152" s="26"/>
      <c r="AA152" s="26"/>
    </row>
    <row r="153" spans="1:27" ht="15">
      <c r="A153" s="42" t="s">
        <v>56</v>
      </c>
      <c r="B153" s="21"/>
      <c r="C153" s="43">
        <f>SUM(C154:C155)</f>
        <v>2332080</v>
      </c>
      <c r="D153" s="23"/>
      <c r="E153" s="40">
        <f>E158</f>
        <v>2345481.23666378</v>
      </c>
      <c r="F153" s="23"/>
      <c r="G153" s="120"/>
      <c r="H153" s="50"/>
      <c r="I153" s="29"/>
      <c r="J153" s="23"/>
      <c r="K153" s="29"/>
      <c r="L153" s="23"/>
      <c r="M153" s="121"/>
      <c r="N153" s="50"/>
      <c r="O153" s="29"/>
      <c r="P153" s="73"/>
      <c r="Q153" s="21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15">
      <c r="A154" s="42" t="s">
        <v>69</v>
      </c>
      <c r="B154" s="21"/>
      <c r="C154" s="43">
        <v>1012313.2910085</v>
      </c>
      <c r="D154" s="23"/>
      <c r="E154" s="40">
        <f>ROUND(C154/(C$158-C$157)*E$158,0)</f>
        <v>1018131</v>
      </c>
      <c r="F154" s="23"/>
      <c r="G154" s="120">
        <v>3.1907</v>
      </c>
      <c r="H154" s="50" t="s">
        <v>20</v>
      </c>
      <c r="I154" s="29">
        <f>ROUND($G154*C154/100,0)</f>
        <v>32300</v>
      </c>
      <c r="J154" s="23"/>
      <c r="K154" s="29">
        <f>ROUND($G154*E154/100,0)</f>
        <v>32486</v>
      </c>
      <c r="L154" s="23"/>
      <c r="M154" s="121">
        <f>M112</f>
        <v>3.6807</v>
      </c>
      <c r="N154" s="50" t="s">
        <v>20</v>
      </c>
      <c r="O154" s="29">
        <f>ROUND(M154*$E154/100,0)</f>
        <v>37474</v>
      </c>
      <c r="P154" s="73"/>
      <c r="Q154" s="21"/>
      <c r="R154" s="124"/>
      <c r="S154" s="26"/>
      <c r="T154" s="78"/>
      <c r="U154" s="26"/>
      <c r="V154" s="26"/>
      <c r="W154" s="26"/>
      <c r="X154" s="26"/>
      <c r="Y154" s="26"/>
      <c r="Z154" s="26"/>
      <c r="AA154" s="26"/>
    </row>
    <row r="155" spans="1:27" ht="15">
      <c r="A155" s="42" t="s">
        <v>70</v>
      </c>
      <c r="B155" s="21"/>
      <c r="C155" s="43">
        <v>1319766.7089915</v>
      </c>
      <c r="D155" s="23"/>
      <c r="E155" s="40">
        <f>E153-E154</f>
        <v>1327350.2366637802</v>
      </c>
      <c r="F155" s="23"/>
      <c r="G155" s="120">
        <v>2.9416</v>
      </c>
      <c r="H155" s="50" t="s">
        <v>20</v>
      </c>
      <c r="I155" s="29">
        <f>ROUND($G155*C155/100,0)</f>
        <v>38822</v>
      </c>
      <c r="J155" s="23"/>
      <c r="K155" s="29">
        <f>ROUND($G155*E155/100,0)</f>
        <v>39045</v>
      </c>
      <c r="L155" s="23"/>
      <c r="M155" s="121">
        <f>M113</f>
        <v>3.3925</v>
      </c>
      <c r="N155" s="50" t="s">
        <v>20</v>
      </c>
      <c r="O155" s="29">
        <f>ROUND(M155*$E155/100,0)</f>
        <v>45030</v>
      </c>
      <c r="P155" s="73"/>
      <c r="Q155" s="21"/>
      <c r="R155" s="124"/>
      <c r="S155" s="113"/>
      <c r="T155" s="26"/>
      <c r="U155" s="26"/>
      <c r="V155" s="26"/>
      <c r="W155" s="26"/>
      <c r="X155" s="26"/>
      <c r="Y155" s="26"/>
      <c r="Z155" s="26"/>
      <c r="AA155" s="26"/>
    </row>
    <row r="156" spans="1:27" ht="15">
      <c r="A156" s="42" t="s">
        <v>65</v>
      </c>
      <c r="B156" s="21"/>
      <c r="C156" s="48">
        <v>0</v>
      </c>
      <c r="D156" s="23"/>
      <c r="E156" s="40">
        <f>ROUND(C156*E149/C149,0)</f>
        <v>0</v>
      </c>
      <c r="F156" s="23"/>
      <c r="G156" s="69">
        <v>540</v>
      </c>
      <c r="H156" s="68"/>
      <c r="I156" s="29">
        <f>ROUND($G156*C156,0)</f>
        <v>0</v>
      </c>
      <c r="J156" s="23"/>
      <c r="K156" s="29">
        <f>ROUND($G156*E156,0)</f>
        <v>0</v>
      </c>
      <c r="L156" s="23"/>
      <c r="M156" s="122">
        <f>M128</f>
        <v>588</v>
      </c>
      <c r="N156" s="68"/>
      <c r="O156" s="29">
        <f>ROUND(M156*$E156,0)</f>
        <v>0</v>
      </c>
      <c r="P156" s="73"/>
      <c r="Q156" s="21"/>
      <c r="R156" s="26"/>
      <c r="S156" s="113"/>
      <c r="T156" s="26"/>
      <c r="U156" s="78"/>
      <c r="V156" s="26"/>
      <c r="W156" s="26"/>
      <c r="X156" s="26"/>
      <c r="Y156" s="26"/>
      <c r="Z156" s="26"/>
      <c r="AA156" s="26"/>
    </row>
    <row r="157" spans="1:27" ht="15">
      <c r="A157" s="42" t="s">
        <v>44</v>
      </c>
      <c r="B157" s="21"/>
      <c r="C157" s="82">
        <v>-5258</v>
      </c>
      <c r="D157" s="23"/>
      <c r="E157" s="133">
        <v>0</v>
      </c>
      <c r="F157" s="23"/>
      <c r="G157" s="20"/>
      <c r="H157" s="23"/>
      <c r="I157" s="84">
        <v>538</v>
      </c>
      <c r="J157" s="23"/>
      <c r="K157" s="84">
        <v>0</v>
      </c>
      <c r="L157" s="23"/>
      <c r="M157" s="21"/>
      <c r="N157" s="23"/>
      <c r="O157" s="84">
        <v>0</v>
      </c>
      <c r="P157" s="21"/>
      <c r="Q157" s="21"/>
      <c r="R157" s="26"/>
      <c r="S157" s="113"/>
      <c r="T157" s="29"/>
      <c r="U157" s="26"/>
      <c r="V157" s="26"/>
      <c r="W157" s="26"/>
      <c r="X157" s="26"/>
      <c r="Y157" s="26"/>
      <c r="Z157" s="26"/>
      <c r="AA157" s="26"/>
    </row>
    <row r="158" spans="1:27" ht="15.75" thickBot="1">
      <c r="A158" s="42" t="s">
        <v>46</v>
      </c>
      <c r="B158" s="21"/>
      <c r="C158" s="118">
        <f>C153+C157</f>
        <v>2326822</v>
      </c>
      <c r="D158" s="23"/>
      <c r="E158" s="118">
        <v>2345481.23666378</v>
      </c>
      <c r="F158" s="23"/>
      <c r="G158" s="110"/>
      <c r="H158" s="23"/>
      <c r="I158" s="111">
        <f>SUM(I149:I157)</f>
        <v>161572</v>
      </c>
      <c r="J158" s="23"/>
      <c r="K158" s="111">
        <f>SUM(K149:K157)</f>
        <v>162148</v>
      </c>
      <c r="L158" s="23"/>
      <c r="M158" s="112"/>
      <c r="N158" s="23"/>
      <c r="O158" s="111">
        <f>SUM(O149:O157)</f>
        <v>186907</v>
      </c>
      <c r="P158" s="21"/>
      <c r="Q158" s="21" t="s">
        <v>29</v>
      </c>
      <c r="R158" s="104">
        <f>O158/K158-1</f>
        <v>0.15269383526161295</v>
      </c>
      <c r="S158" s="113"/>
      <c r="T158" s="29"/>
      <c r="U158" s="26"/>
      <c r="V158" s="26"/>
      <c r="W158" s="26"/>
      <c r="X158" s="26"/>
      <c r="Y158" s="26"/>
      <c r="Z158" s="26"/>
      <c r="AA158" s="26"/>
    </row>
    <row r="159" spans="1:27" ht="15.75" thickTop="1">
      <c r="A159" s="42" t="s">
        <v>48</v>
      </c>
      <c r="B159" s="21"/>
      <c r="C159" s="40"/>
      <c r="D159" s="23"/>
      <c r="E159" s="40"/>
      <c r="F159" s="23"/>
      <c r="G159" s="92"/>
      <c r="H159" s="93"/>
      <c r="I159" s="83">
        <f>I117-I131-I145</f>
        <v>7789.819099999964</v>
      </c>
      <c r="J159" s="23"/>
      <c r="K159" s="83">
        <f>I159</f>
        <v>7789.819099999964</v>
      </c>
      <c r="L159" s="23"/>
      <c r="M159" s="37"/>
      <c r="N159" s="93"/>
      <c r="O159" s="83">
        <v>0</v>
      </c>
      <c r="P159" s="29"/>
      <c r="Q159" s="20" t="s">
        <v>51</v>
      </c>
      <c r="R159" s="117">
        <f>(O158+O159)/(K158+K159)-1</f>
        <v>0.09985523522585948</v>
      </c>
      <c r="S159" s="113"/>
      <c r="T159" s="29"/>
      <c r="U159" s="40"/>
      <c r="V159" s="26"/>
      <c r="W159" s="26"/>
      <c r="X159" s="26"/>
      <c r="Y159" s="26"/>
      <c r="Z159" s="26"/>
      <c r="AA159" s="26"/>
    </row>
    <row r="160" spans="1:27" ht="15">
      <c r="A160" s="42" t="s">
        <v>49</v>
      </c>
      <c r="B160" s="21"/>
      <c r="C160" s="40"/>
      <c r="D160" s="23"/>
      <c r="E160" s="40"/>
      <c r="F160" s="23"/>
      <c r="G160" s="92">
        <f>M160</f>
        <v>0.0376</v>
      </c>
      <c r="H160" s="114"/>
      <c r="I160" s="83">
        <f>ROUND(SUM(I150:I155,I159)*$G160,0)</f>
        <v>6267</v>
      </c>
      <c r="J160" s="23"/>
      <c r="K160" s="83">
        <f>ROUND(SUM(K150:K155,K159)*$G160,0)</f>
        <v>6308</v>
      </c>
      <c r="L160" s="23"/>
      <c r="M160" s="115">
        <f>M118</f>
        <v>0.0376</v>
      </c>
      <c r="N160" s="114"/>
      <c r="O160" s="83">
        <f>ROUND(SUM(O150:O155,O159)*M160,0)</f>
        <v>6939</v>
      </c>
      <c r="P160" s="29"/>
      <c r="Q160" s="21"/>
      <c r="R160" s="78"/>
      <c r="S160" s="113"/>
      <c r="T160" s="29"/>
      <c r="U160" s="40"/>
      <c r="V160" s="26"/>
      <c r="W160" s="26"/>
      <c r="X160" s="26"/>
      <c r="Y160" s="26"/>
      <c r="Z160" s="26"/>
      <c r="AA160" s="26"/>
    </row>
    <row r="161" spans="1:27" ht="15">
      <c r="A161" s="20"/>
      <c r="B161" s="21"/>
      <c r="C161" s="21"/>
      <c r="D161" s="23"/>
      <c r="E161" s="21"/>
      <c r="F161" s="23"/>
      <c r="G161" s="20"/>
      <c r="H161" s="23"/>
      <c r="I161" s="21"/>
      <c r="J161" s="23"/>
      <c r="K161" s="21"/>
      <c r="L161" s="23"/>
      <c r="M161" s="21"/>
      <c r="N161" s="23"/>
      <c r="O161" s="21"/>
      <c r="P161" s="29"/>
      <c r="Q161" s="21"/>
      <c r="R161" s="26"/>
      <c r="S161" s="113"/>
      <c r="T161" s="29"/>
      <c r="U161" s="40"/>
      <c r="V161" s="26"/>
      <c r="W161" s="26"/>
      <c r="X161" s="26"/>
      <c r="Y161" s="26"/>
      <c r="Z161" s="26"/>
      <c r="AA161" s="26"/>
    </row>
    <row r="162" spans="1:27" ht="15">
      <c r="A162" s="38" t="s">
        <v>78</v>
      </c>
      <c r="B162" s="21"/>
      <c r="C162" s="40"/>
      <c r="D162" s="68"/>
      <c r="E162" s="40"/>
      <c r="F162" s="68"/>
      <c r="G162" s="20"/>
      <c r="H162" s="23"/>
      <c r="I162" s="21"/>
      <c r="J162" s="68"/>
      <c r="K162" s="21"/>
      <c r="L162" s="68"/>
      <c r="M162" s="21"/>
      <c r="N162" s="23"/>
      <c r="O162" s="21"/>
      <c r="P162" s="29"/>
      <c r="Q162" s="21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 ht="15">
      <c r="A163" s="42" t="s">
        <v>16</v>
      </c>
      <c r="B163" s="21"/>
      <c r="C163" s="43">
        <v>231.498622222222</v>
      </c>
      <c r="D163" s="23"/>
      <c r="E163" s="40">
        <v>264</v>
      </c>
      <c r="F163" s="23"/>
      <c r="G163" s="44">
        <v>45</v>
      </c>
      <c r="H163" s="136"/>
      <c r="I163" s="29">
        <f>ROUND($G163*C163,0)</f>
        <v>10417</v>
      </c>
      <c r="J163" s="23"/>
      <c r="K163" s="29">
        <f>ROUND($G163*E163,0)</f>
        <v>11880</v>
      </c>
      <c r="L163" s="23"/>
      <c r="M163" s="44">
        <f>M107</f>
        <v>49</v>
      </c>
      <c r="N163" s="136"/>
      <c r="O163" s="29">
        <f>ROUND(M163*$E163,0)</f>
        <v>12936</v>
      </c>
      <c r="P163" s="29"/>
      <c r="Q163" s="21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 ht="15">
      <c r="A164" s="42" t="s">
        <v>79</v>
      </c>
      <c r="B164" s="21"/>
      <c r="C164" s="43">
        <v>13416.2829621847</v>
      </c>
      <c r="D164" s="23"/>
      <c r="E164" s="40">
        <f>ROUND(C164*$E$172/$C$172,0)</f>
        <v>21128</v>
      </c>
      <c r="F164" s="23"/>
      <c r="G164" s="44">
        <v>15.16</v>
      </c>
      <c r="H164" s="136"/>
      <c r="I164" s="29">
        <f>ROUND($G164*C164,0)</f>
        <v>203391</v>
      </c>
      <c r="J164" s="23"/>
      <c r="K164" s="29">
        <f>ROUND($G164*E164,0)</f>
        <v>320300</v>
      </c>
      <c r="L164" s="23"/>
      <c r="M164" s="44">
        <f>M108</f>
        <v>17.49</v>
      </c>
      <c r="N164" s="136"/>
      <c r="O164" s="29">
        <f>ROUND(M164*$E164,0)</f>
        <v>369529</v>
      </c>
      <c r="P164" s="29"/>
      <c r="Q164" s="21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 ht="15">
      <c r="A165" s="42" t="s">
        <v>80</v>
      </c>
      <c r="B165" s="21"/>
      <c r="C165" s="43">
        <v>14064.6538782319</v>
      </c>
      <c r="D165" s="23"/>
      <c r="E165" s="40">
        <f>ROUND(C165*$E$172/$C$172,0)</f>
        <v>22149</v>
      </c>
      <c r="F165" s="23"/>
      <c r="G165" s="44">
        <v>12.17</v>
      </c>
      <c r="H165" s="136"/>
      <c r="I165" s="29">
        <f>ROUND($G165*C165,0)</f>
        <v>171167</v>
      </c>
      <c r="J165" s="23"/>
      <c r="K165" s="29">
        <f>ROUND($G165*E165,0)</f>
        <v>269553</v>
      </c>
      <c r="L165" s="23"/>
      <c r="M165" s="44">
        <f>M109</f>
        <v>14.04</v>
      </c>
      <c r="N165" s="136"/>
      <c r="O165" s="29">
        <f>ROUND(M165*$E165,0)</f>
        <v>310972</v>
      </c>
      <c r="P165" s="29"/>
      <c r="Q165" s="21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 ht="15">
      <c r="A166" s="42" t="s">
        <v>60</v>
      </c>
      <c r="B166" s="21"/>
      <c r="C166" s="43">
        <v>0</v>
      </c>
      <c r="D166" s="23"/>
      <c r="E166" s="40">
        <f>ROUND(C166*$E$172/$C$172,0)</f>
        <v>0</v>
      </c>
      <c r="F166" s="23"/>
      <c r="G166" s="44">
        <v>-0.78</v>
      </c>
      <c r="H166" s="136"/>
      <c r="I166" s="29">
        <f>ROUND($G166*C166,0)</f>
        <v>0</v>
      </c>
      <c r="J166" s="23"/>
      <c r="K166" s="29">
        <f>ROUND($G166*E166,0)</f>
        <v>0</v>
      </c>
      <c r="L166" s="23"/>
      <c r="M166" s="44">
        <f>M110</f>
        <v>-0.9</v>
      </c>
      <c r="N166" s="136"/>
      <c r="O166" s="29">
        <f>ROUND(M166*$E166,0)</f>
        <v>0</v>
      </c>
      <c r="P166" s="29"/>
      <c r="Q166" s="21"/>
      <c r="R166" s="124"/>
      <c r="S166" s="78"/>
      <c r="T166" s="26"/>
      <c r="U166" s="26"/>
      <c r="V166" s="26"/>
      <c r="W166" s="26"/>
      <c r="X166" s="26"/>
      <c r="Y166" s="26"/>
      <c r="Z166" s="26"/>
      <c r="AA166" s="26"/>
    </row>
    <row r="167" spans="1:27" ht="15">
      <c r="A167" s="42" t="s">
        <v>56</v>
      </c>
      <c r="B167" s="21"/>
      <c r="C167" s="127">
        <f>C168+C169</f>
        <v>9092918.03417452</v>
      </c>
      <c r="D167" s="23"/>
      <c r="E167" s="40">
        <f>SUM(E168:E169)</f>
        <v>14361290</v>
      </c>
      <c r="F167" s="23"/>
      <c r="G167" s="120"/>
      <c r="H167" s="50"/>
      <c r="I167" s="29"/>
      <c r="J167" s="23"/>
      <c r="K167" s="29"/>
      <c r="L167" s="23"/>
      <c r="M167" s="121"/>
      <c r="N167" s="50"/>
      <c r="O167" s="29"/>
      <c r="P167" s="73"/>
      <c r="Q167" s="21"/>
      <c r="R167" s="124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 ht="15">
      <c r="A168" s="42" t="s">
        <v>69</v>
      </c>
      <c r="B168" s="21"/>
      <c r="C168" s="43">
        <v>4583893.045521063</v>
      </c>
      <c r="D168" s="23"/>
      <c r="E168" s="40">
        <f>ROUND(C168*$E$172/($C$172-$C$171),0)</f>
        <v>7239768</v>
      </c>
      <c r="F168" s="23"/>
      <c r="G168" s="120">
        <v>3.1907</v>
      </c>
      <c r="H168" s="50" t="s">
        <v>20</v>
      </c>
      <c r="I168" s="29">
        <f>ROUND($G168*C168/100,0)</f>
        <v>146258</v>
      </c>
      <c r="J168" s="23"/>
      <c r="K168" s="29">
        <f>ROUND($G168*E168/100,0)</f>
        <v>230999</v>
      </c>
      <c r="L168" s="23"/>
      <c r="M168" s="121">
        <f>M112</f>
        <v>3.6807</v>
      </c>
      <c r="N168" s="50" t="s">
        <v>20</v>
      </c>
      <c r="O168" s="29">
        <f>ROUND(M168*$E168/100,0)</f>
        <v>266474</v>
      </c>
      <c r="P168" s="73"/>
      <c r="Q168" s="21"/>
      <c r="R168" s="26"/>
      <c r="S168" s="26"/>
      <c r="T168" s="78"/>
      <c r="U168" s="26"/>
      <c r="V168" s="26"/>
      <c r="W168" s="26"/>
      <c r="X168" s="26"/>
      <c r="Y168" s="26"/>
      <c r="Z168" s="26"/>
      <c r="AA168" s="26"/>
    </row>
    <row r="169" spans="1:27" ht="15">
      <c r="A169" s="42" t="s">
        <v>70</v>
      </c>
      <c r="B169" s="21"/>
      <c r="C169" s="43">
        <v>4509024.988653458</v>
      </c>
      <c r="D169" s="23"/>
      <c r="E169" s="40">
        <f>E172-E168</f>
        <v>7121522</v>
      </c>
      <c r="F169" s="23"/>
      <c r="G169" s="120">
        <v>2.9416</v>
      </c>
      <c r="H169" s="50" t="s">
        <v>20</v>
      </c>
      <c r="I169" s="29">
        <f>ROUND($G169*C169/100,0)</f>
        <v>132637</v>
      </c>
      <c r="J169" s="23"/>
      <c r="K169" s="29">
        <f>ROUND($G169*E169/100,0)</f>
        <v>209487</v>
      </c>
      <c r="L169" s="23"/>
      <c r="M169" s="121">
        <f>M113</f>
        <v>3.3925</v>
      </c>
      <c r="N169" s="50" t="s">
        <v>20</v>
      </c>
      <c r="O169" s="29">
        <f>ROUND(M169*$E169/100,0)</f>
        <v>241598</v>
      </c>
      <c r="P169" s="73"/>
      <c r="Q169" s="21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 ht="15">
      <c r="A170" s="42" t="s">
        <v>65</v>
      </c>
      <c r="B170" s="21"/>
      <c r="C170" s="43">
        <v>0</v>
      </c>
      <c r="D170" s="68"/>
      <c r="E170" s="40">
        <f>ROUND(C170*E163/C163,0)</f>
        <v>0</v>
      </c>
      <c r="F170" s="68"/>
      <c r="G170" s="44">
        <v>540</v>
      </c>
      <c r="H170" s="96"/>
      <c r="I170" s="29">
        <f>ROUND($G170*C170,0)</f>
        <v>0</v>
      </c>
      <c r="J170" s="68"/>
      <c r="K170" s="29">
        <f>ROUND($G170*E170,0)</f>
        <v>0</v>
      </c>
      <c r="L170" s="68"/>
      <c r="M170" s="44">
        <f>M114</f>
        <v>588</v>
      </c>
      <c r="N170" s="96"/>
      <c r="O170" s="29">
        <f>ROUND(M170*$E170,0)</f>
        <v>0</v>
      </c>
      <c r="P170" s="73"/>
      <c r="Q170" s="21" t="s">
        <v>29</v>
      </c>
      <c r="R170" s="104">
        <f>O172/K172-1</f>
        <v>0.15283735951848887</v>
      </c>
      <c r="S170" s="26"/>
      <c r="T170" s="26"/>
      <c r="U170" s="78"/>
      <c r="V170" s="26"/>
      <c r="W170" s="26"/>
      <c r="X170" s="26"/>
      <c r="Y170" s="26"/>
      <c r="Z170" s="26"/>
      <c r="AA170" s="26"/>
    </row>
    <row r="171" spans="1:27" ht="15">
      <c r="A171" s="42" t="s">
        <v>44</v>
      </c>
      <c r="B171" s="21"/>
      <c r="C171" s="82">
        <v>26543</v>
      </c>
      <c r="D171" s="23"/>
      <c r="E171" s="82">
        <v>0</v>
      </c>
      <c r="F171" s="23"/>
      <c r="G171" s="20"/>
      <c r="H171" s="23"/>
      <c r="I171" s="84">
        <v>3158</v>
      </c>
      <c r="J171" s="23"/>
      <c r="K171" s="84">
        <v>0</v>
      </c>
      <c r="L171" s="23"/>
      <c r="M171" s="21"/>
      <c r="N171" s="23"/>
      <c r="O171" s="84">
        <v>0</v>
      </c>
      <c r="P171" s="21"/>
      <c r="Q171" s="20" t="s">
        <v>51</v>
      </c>
      <c r="R171" s="117">
        <f>(O172+O173)/(K172+K173)-1</f>
        <v>0.14130383434232763</v>
      </c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 ht="15.75" thickBot="1">
      <c r="A172" s="42" t="s">
        <v>46</v>
      </c>
      <c r="B172" s="21"/>
      <c r="C172" s="118">
        <f>C167+C171</f>
        <v>9119461.03417452</v>
      </c>
      <c r="D172" s="23"/>
      <c r="E172" s="118">
        <v>14361290</v>
      </c>
      <c r="F172" s="23"/>
      <c r="G172" s="110"/>
      <c r="H172" s="23"/>
      <c r="I172" s="111">
        <f>SUM(I163:I171)</f>
        <v>667028</v>
      </c>
      <c r="J172" s="23"/>
      <c r="K172" s="111">
        <f>SUM(K163:K171)</f>
        <v>1042219</v>
      </c>
      <c r="L172" s="23"/>
      <c r="M172" s="112"/>
      <c r="N172" s="23"/>
      <c r="O172" s="111">
        <f>SUM(O163:O171)</f>
        <v>1201509</v>
      </c>
      <c r="P172" s="21"/>
      <c r="Q172" s="21"/>
      <c r="R172" s="78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 ht="15.75" thickTop="1">
      <c r="A173" s="42" t="s">
        <v>48</v>
      </c>
      <c r="B173" s="21"/>
      <c r="C173" s="40"/>
      <c r="D173" s="23"/>
      <c r="E173" s="40"/>
      <c r="F173" s="23"/>
      <c r="G173" s="92"/>
      <c r="H173" s="93"/>
      <c r="I173" s="83">
        <v>10532.216499999999</v>
      </c>
      <c r="J173" s="23"/>
      <c r="K173" s="83">
        <f>I173</f>
        <v>10532.216499999999</v>
      </c>
      <c r="L173" s="23"/>
      <c r="M173" s="37"/>
      <c r="N173" s="93"/>
      <c r="O173" s="83">
        <v>0</v>
      </c>
      <c r="P173" s="29"/>
      <c r="Q173" s="21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 ht="15">
      <c r="A174" s="42" t="s">
        <v>49</v>
      </c>
      <c r="B174" s="21"/>
      <c r="C174" s="40"/>
      <c r="D174" s="23"/>
      <c r="E174" s="40"/>
      <c r="F174" s="23"/>
      <c r="G174" s="92">
        <f>M174</f>
        <v>0.0376</v>
      </c>
      <c r="H174" s="114"/>
      <c r="I174" s="83">
        <f>ROUND(SUM(I164:I170,I173)*$G174,0)</f>
        <v>24966</v>
      </c>
      <c r="J174" s="23"/>
      <c r="K174" s="83">
        <f>ROUND(SUM(K164:K170,K173)*$G174,0)</f>
        <v>39137</v>
      </c>
      <c r="L174" s="23"/>
      <c r="M174" s="115">
        <f>M160</f>
        <v>0.0376</v>
      </c>
      <c r="N174" s="114"/>
      <c r="O174" s="83">
        <f>ROUND(SUM(O164:O169,O173)*M174,0)</f>
        <v>44690</v>
      </c>
      <c r="P174" s="29"/>
      <c r="Q174" s="21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 ht="15">
      <c r="A175" s="20"/>
      <c r="B175" s="21"/>
      <c r="C175" s="40"/>
      <c r="D175" s="23"/>
      <c r="E175" s="40"/>
      <c r="F175" s="23"/>
      <c r="G175" s="20"/>
      <c r="H175" s="23"/>
      <c r="I175" s="21"/>
      <c r="J175" s="23"/>
      <c r="K175" s="21"/>
      <c r="L175" s="23"/>
      <c r="M175" s="21"/>
      <c r="N175" s="23"/>
      <c r="O175" s="21"/>
      <c r="P175" s="29"/>
      <c r="Q175" s="21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 ht="15">
      <c r="A176" s="38" t="s">
        <v>81</v>
      </c>
      <c r="B176" s="21"/>
      <c r="C176" s="40"/>
      <c r="D176" s="23"/>
      <c r="E176" s="40"/>
      <c r="F176" s="23"/>
      <c r="G176" s="20"/>
      <c r="H176" s="23"/>
      <c r="I176" s="21"/>
      <c r="J176" s="23"/>
      <c r="K176" s="21"/>
      <c r="L176" s="23"/>
      <c r="M176" s="21"/>
      <c r="N176" s="23"/>
      <c r="O176" s="21"/>
      <c r="P176" s="29"/>
      <c r="Q176" s="21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 ht="15">
      <c r="A177" s="137" t="s">
        <v>16</v>
      </c>
      <c r="B177" s="21"/>
      <c r="C177" s="43">
        <v>108.999214814815</v>
      </c>
      <c r="D177" s="23"/>
      <c r="E177" s="40">
        <v>96</v>
      </c>
      <c r="F177" s="23"/>
      <c r="G177" s="44">
        <v>45</v>
      </c>
      <c r="H177" s="136"/>
      <c r="I177" s="29">
        <f>ROUND($G177*C177,0)</f>
        <v>4905</v>
      </c>
      <c r="J177" s="23"/>
      <c r="K177" s="29">
        <f>ROUND($G177*E177,0)</f>
        <v>4320</v>
      </c>
      <c r="L177" s="23"/>
      <c r="M177" s="44">
        <f>M107</f>
        <v>49</v>
      </c>
      <c r="N177" s="136"/>
      <c r="O177" s="29">
        <f>ROUND(M177*$E177,0)</f>
        <v>4704</v>
      </c>
      <c r="P177" s="29"/>
      <c r="Q177" s="21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 ht="15">
      <c r="A178" s="42" t="s">
        <v>79</v>
      </c>
      <c r="B178" s="21"/>
      <c r="C178" s="43">
        <v>10738.4543979599</v>
      </c>
      <c r="D178" s="23"/>
      <c r="E178" s="40">
        <f>ROUND(C178*$E$186/$C$186,0)</f>
        <v>10928</v>
      </c>
      <c r="F178" s="23"/>
      <c r="G178" s="44">
        <v>15.16</v>
      </c>
      <c r="H178" s="136"/>
      <c r="I178" s="29">
        <f>ROUND($G178*C178,0)</f>
        <v>162795</v>
      </c>
      <c r="J178" s="23"/>
      <c r="K178" s="29">
        <f>ROUND($G178*E178,0)</f>
        <v>165668</v>
      </c>
      <c r="L178" s="23"/>
      <c r="M178" s="44">
        <f>M108</f>
        <v>17.49</v>
      </c>
      <c r="N178" s="136"/>
      <c r="O178" s="29">
        <f>ROUND(M178*$E178,0)</f>
        <v>191131</v>
      </c>
      <c r="P178" s="29"/>
      <c r="Q178" s="21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 ht="15">
      <c r="A179" s="42" t="s">
        <v>80</v>
      </c>
      <c r="B179" s="21"/>
      <c r="C179" s="43">
        <v>12815.5446205171</v>
      </c>
      <c r="D179" s="23"/>
      <c r="E179" s="40">
        <f>ROUND(C179*$E$186/$C$186,0)</f>
        <v>13042</v>
      </c>
      <c r="F179" s="23"/>
      <c r="G179" s="44">
        <v>12.17</v>
      </c>
      <c r="H179" s="136"/>
      <c r="I179" s="29">
        <f>ROUND($G179*C179,0)</f>
        <v>155965</v>
      </c>
      <c r="J179" s="23"/>
      <c r="K179" s="29">
        <f>ROUND($G179*E179,0)</f>
        <v>158721</v>
      </c>
      <c r="L179" s="23"/>
      <c r="M179" s="44">
        <f>M109</f>
        <v>14.04</v>
      </c>
      <c r="N179" s="136"/>
      <c r="O179" s="29">
        <f>ROUND(M179*$E179,0)</f>
        <v>183110</v>
      </c>
      <c r="P179" s="29"/>
      <c r="Q179" s="21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 ht="15">
      <c r="A180" s="42" t="s">
        <v>60</v>
      </c>
      <c r="B180" s="21"/>
      <c r="C180" s="43">
        <v>0</v>
      </c>
      <c r="D180" s="23"/>
      <c r="E180" s="40">
        <f>ROUND(C180*$E$186/$C$186,0)</f>
        <v>0</v>
      </c>
      <c r="F180" s="23"/>
      <c r="G180" s="44">
        <v>-0.78</v>
      </c>
      <c r="H180" s="136"/>
      <c r="I180" s="29">
        <f>ROUND($G180*C180,0)</f>
        <v>0</v>
      </c>
      <c r="J180" s="23"/>
      <c r="K180" s="29">
        <f>ROUND($G180*E180,0)</f>
        <v>0</v>
      </c>
      <c r="L180" s="23"/>
      <c r="M180" s="44">
        <f>M110</f>
        <v>-0.9</v>
      </c>
      <c r="N180" s="136"/>
      <c r="O180" s="29">
        <f>ROUND(M180*$E180,0)</f>
        <v>0</v>
      </c>
      <c r="P180" s="29"/>
      <c r="Q180" s="21"/>
      <c r="R180" s="124"/>
      <c r="S180" s="78"/>
      <c r="T180" s="26"/>
      <c r="U180" s="26"/>
      <c r="V180" s="26"/>
      <c r="W180" s="26"/>
      <c r="X180" s="26"/>
      <c r="Y180" s="26"/>
      <c r="Z180" s="26"/>
      <c r="AA180" s="26"/>
    </row>
    <row r="181" spans="1:27" ht="15">
      <c r="A181" s="42" t="s">
        <v>56</v>
      </c>
      <c r="B181" s="21"/>
      <c r="C181" s="43">
        <f>C182+C183</f>
        <v>7619856</v>
      </c>
      <c r="D181" s="23"/>
      <c r="E181" s="40">
        <f>SUM(E182:E183)</f>
        <v>7781950</v>
      </c>
      <c r="F181" s="23"/>
      <c r="G181" s="120"/>
      <c r="H181" s="50"/>
      <c r="I181" s="29"/>
      <c r="J181" s="23"/>
      <c r="K181" s="29"/>
      <c r="L181" s="23"/>
      <c r="M181" s="121"/>
      <c r="N181" s="50"/>
      <c r="O181" s="29"/>
      <c r="P181" s="73"/>
      <c r="Q181" s="21"/>
      <c r="R181" s="124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 ht="15">
      <c r="A182" s="42" t="s">
        <v>69</v>
      </c>
      <c r="B182" s="21"/>
      <c r="C182" s="43">
        <v>3782760.97916988</v>
      </c>
      <c r="D182" s="23"/>
      <c r="E182" s="40">
        <f>ROUND(C182*$E$186/($C$186-$C$185),0)</f>
        <v>3863230</v>
      </c>
      <c r="F182" s="23"/>
      <c r="G182" s="120">
        <v>3.1907</v>
      </c>
      <c r="H182" s="50" t="s">
        <v>20</v>
      </c>
      <c r="I182" s="29">
        <f>ROUND($G182*C182/100,0)</f>
        <v>120697</v>
      </c>
      <c r="J182" s="23"/>
      <c r="K182" s="29">
        <f>ROUND($G182*E182/100,0)</f>
        <v>123264</v>
      </c>
      <c r="L182" s="23"/>
      <c r="M182" s="121">
        <f>M112</f>
        <v>3.6807</v>
      </c>
      <c r="N182" s="50" t="s">
        <v>20</v>
      </c>
      <c r="O182" s="29">
        <f>ROUND(M182*$E182/100,0)</f>
        <v>142194</v>
      </c>
      <c r="P182" s="73"/>
      <c r="Q182" s="21"/>
      <c r="R182" s="26"/>
      <c r="S182" s="26"/>
      <c r="T182" s="78"/>
      <c r="U182" s="26"/>
      <c r="V182" s="26"/>
      <c r="W182" s="26"/>
      <c r="X182" s="26"/>
      <c r="Y182" s="26"/>
      <c r="Z182" s="26"/>
      <c r="AA182" s="26"/>
    </row>
    <row r="183" spans="1:27" ht="15">
      <c r="A183" s="42" t="s">
        <v>70</v>
      </c>
      <c r="B183" s="21"/>
      <c r="C183" s="43">
        <v>3837095.02083012</v>
      </c>
      <c r="D183" s="23"/>
      <c r="E183" s="40">
        <f>E186-E182</f>
        <v>3918720</v>
      </c>
      <c r="F183" s="23"/>
      <c r="G183" s="120">
        <v>2.9416</v>
      </c>
      <c r="H183" s="50" t="s">
        <v>20</v>
      </c>
      <c r="I183" s="29">
        <f>ROUND($G183*C183/100,0)</f>
        <v>112872</v>
      </c>
      <c r="J183" s="23"/>
      <c r="K183" s="29">
        <f>ROUND($G183*E183/100,0)</f>
        <v>115273</v>
      </c>
      <c r="L183" s="23"/>
      <c r="M183" s="121">
        <f>M113</f>
        <v>3.3925</v>
      </c>
      <c r="N183" s="50" t="s">
        <v>20</v>
      </c>
      <c r="O183" s="29">
        <f>ROUND(M183*$E183/100,0)</f>
        <v>132943</v>
      </c>
      <c r="P183" s="73"/>
      <c r="Q183" s="21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 ht="15">
      <c r="A184" s="42" t="s">
        <v>65</v>
      </c>
      <c r="B184" s="21"/>
      <c r="C184" s="43">
        <v>0</v>
      </c>
      <c r="D184" s="68"/>
      <c r="E184" s="40">
        <f>ROUND(C184*E177/C177,0)</f>
        <v>0</v>
      </c>
      <c r="F184" s="68"/>
      <c r="G184" s="44">
        <v>540</v>
      </c>
      <c r="H184" s="96"/>
      <c r="I184" s="29">
        <f>ROUND($G184*C184,0)</f>
        <v>0</v>
      </c>
      <c r="J184" s="68"/>
      <c r="K184" s="29">
        <f>ROUND($G184*E184,0)</f>
        <v>0</v>
      </c>
      <c r="L184" s="68"/>
      <c r="M184" s="44">
        <f>M114</f>
        <v>588</v>
      </c>
      <c r="N184" s="96"/>
      <c r="O184" s="29">
        <f>ROUND(M184*$E184,0)</f>
        <v>0</v>
      </c>
      <c r="P184" s="73"/>
      <c r="Q184" s="21" t="s">
        <v>29</v>
      </c>
      <c r="R184" s="104">
        <f>O186/K186-1</f>
        <v>0.15308349463901028</v>
      </c>
      <c r="S184" s="109"/>
      <c r="T184" s="26"/>
      <c r="U184" s="78"/>
      <c r="V184" s="26"/>
      <c r="W184" s="26"/>
      <c r="X184" s="26"/>
      <c r="Y184" s="26"/>
      <c r="Z184" s="26"/>
      <c r="AA184" s="26"/>
    </row>
    <row r="185" spans="1:27" ht="15">
      <c r="A185" s="42" t="s">
        <v>44</v>
      </c>
      <c r="B185" s="21"/>
      <c r="C185" s="82">
        <v>26977</v>
      </c>
      <c r="D185" s="23"/>
      <c r="E185" s="82">
        <v>0</v>
      </c>
      <c r="F185" s="23"/>
      <c r="G185" s="20"/>
      <c r="H185" s="23"/>
      <c r="I185" s="84">
        <v>1214</v>
      </c>
      <c r="J185" s="23"/>
      <c r="K185" s="84">
        <v>0</v>
      </c>
      <c r="L185" s="23"/>
      <c r="M185" s="21"/>
      <c r="N185" s="23"/>
      <c r="O185" s="84">
        <v>0</v>
      </c>
      <c r="P185" s="21"/>
      <c r="Q185" s="20" t="s">
        <v>51</v>
      </c>
      <c r="R185" s="117">
        <f>(O186+O187)/(K186+K187)-1</f>
        <v>0.1266824869930423</v>
      </c>
      <c r="S185" s="109"/>
      <c r="T185" s="26"/>
      <c r="U185" s="26"/>
      <c r="V185" s="26"/>
      <c r="W185" s="26"/>
      <c r="X185" s="26"/>
      <c r="Y185" s="26"/>
      <c r="Z185" s="26"/>
      <c r="AA185" s="26"/>
    </row>
    <row r="186" spans="1:27" ht="15.75" thickBot="1">
      <c r="A186" s="42" t="s">
        <v>46</v>
      </c>
      <c r="B186" s="21"/>
      <c r="C186" s="118">
        <f>C181+C185</f>
        <v>7646833</v>
      </c>
      <c r="D186" s="23"/>
      <c r="E186" s="118">
        <v>7781950</v>
      </c>
      <c r="F186" s="23"/>
      <c r="G186" s="110"/>
      <c r="H186" s="23"/>
      <c r="I186" s="111">
        <f>SUM(I177:I185)</f>
        <v>558448</v>
      </c>
      <c r="J186" s="23"/>
      <c r="K186" s="111">
        <f>SUM(K177:K185)</f>
        <v>567246</v>
      </c>
      <c r="L186" s="23"/>
      <c r="M186" s="112"/>
      <c r="N186" s="23"/>
      <c r="O186" s="111">
        <f>SUM(O177:O185)</f>
        <v>654082</v>
      </c>
      <c r="P186" s="21"/>
      <c r="Q186" s="21"/>
      <c r="R186" s="78"/>
      <c r="S186" s="109"/>
      <c r="T186" s="26"/>
      <c r="U186" s="26"/>
      <c r="V186" s="26"/>
      <c r="W186" s="26"/>
      <c r="X186" s="26"/>
      <c r="Y186" s="26"/>
      <c r="Z186" s="26"/>
      <c r="AA186" s="26"/>
    </row>
    <row r="187" spans="1:27" ht="15.75" thickTop="1">
      <c r="A187" s="42" t="s">
        <v>48</v>
      </c>
      <c r="B187" s="21"/>
      <c r="C187" s="40"/>
      <c r="D187" s="23"/>
      <c r="E187" s="40"/>
      <c r="F187" s="23"/>
      <c r="G187" s="92"/>
      <c r="H187" s="93"/>
      <c r="I187" s="83">
        <v>13292.002099999998</v>
      </c>
      <c r="J187" s="23"/>
      <c r="K187" s="83">
        <f>I187</f>
        <v>13292.002099999998</v>
      </c>
      <c r="L187" s="23"/>
      <c r="M187" s="37"/>
      <c r="N187" s="93"/>
      <c r="O187" s="83">
        <v>0</v>
      </c>
      <c r="P187" s="29"/>
      <c r="Q187" s="21"/>
      <c r="R187" s="26"/>
      <c r="S187" s="109"/>
      <c r="T187" s="26"/>
      <c r="U187" s="26"/>
      <c r="V187" s="26"/>
      <c r="W187" s="26"/>
      <c r="X187" s="26"/>
      <c r="Y187" s="26"/>
      <c r="Z187" s="26"/>
      <c r="AA187" s="26"/>
    </row>
    <row r="188" spans="1:27" ht="15">
      <c r="A188" s="42" t="s">
        <v>49</v>
      </c>
      <c r="B188" s="21"/>
      <c r="C188" s="40"/>
      <c r="D188" s="23"/>
      <c r="E188" s="40"/>
      <c r="F188" s="23"/>
      <c r="G188" s="92">
        <f>M188</f>
        <v>0.0376</v>
      </c>
      <c r="H188" s="114"/>
      <c r="I188" s="83">
        <f>ROUND(SUM(I178:I184,I187)*$G188,0)</f>
        <v>21267</v>
      </c>
      <c r="J188" s="23"/>
      <c r="K188" s="83">
        <f>ROUND(SUM(K178:K184,K187)*$G188,0)</f>
        <v>21666</v>
      </c>
      <c r="L188" s="23"/>
      <c r="M188" s="115">
        <f>M174</f>
        <v>0.0376</v>
      </c>
      <c r="N188" s="114"/>
      <c r="O188" s="83">
        <f>ROUND(SUM(O178:O183,O187)*M188,0)</f>
        <v>24417</v>
      </c>
      <c r="P188" s="122"/>
      <c r="Q188" s="21"/>
      <c r="R188" s="26"/>
      <c r="S188" s="109"/>
      <c r="T188" s="26"/>
      <c r="U188" s="138"/>
      <c r="V188" s="26"/>
      <c r="W188" s="26"/>
      <c r="X188" s="26"/>
      <c r="Y188" s="26"/>
      <c r="Z188" s="26"/>
      <c r="AA188" s="26"/>
    </row>
    <row r="189" spans="1:27" ht="15">
      <c r="A189" s="20"/>
      <c r="B189" s="21"/>
      <c r="C189" s="40"/>
      <c r="D189" s="23"/>
      <c r="E189" s="40"/>
      <c r="F189" s="23"/>
      <c r="G189" s="20"/>
      <c r="H189" s="23"/>
      <c r="I189" s="21"/>
      <c r="J189" s="23"/>
      <c r="K189" s="21"/>
      <c r="L189" s="23"/>
      <c r="M189" s="21"/>
      <c r="N189" s="23"/>
      <c r="O189" s="21"/>
      <c r="P189" s="29"/>
      <c r="Q189" s="115"/>
      <c r="R189" s="81"/>
      <c r="S189" s="109"/>
      <c r="T189" s="26"/>
      <c r="U189" s="138"/>
      <c r="V189" s="26"/>
      <c r="W189" s="26"/>
      <c r="X189" s="26"/>
      <c r="Y189" s="26"/>
      <c r="Z189" s="26"/>
      <c r="AA189" s="26"/>
    </row>
    <row r="190" spans="1:27" ht="15">
      <c r="A190" s="38" t="s">
        <v>82</v>
      </c>
      <c r="B190" s="21"/>
      <c r="C190" s="40"/>
      <c r="D190" s="23"/>
      <c r="E190" s="40"/>
      <c r="F190" s="23"/>
      <c r="G190" s="120"/>
      <c r="H190" s="119"/>
      <c r="I190" s="21"/>
      <c r="J190" s="23"/>
      <c r="K190" s="21"/>
      <c r="L190" s="23"/>
      <c r="M190" s="121"/>
      <c r="N190" s="119"/>
      <c r="O190" s="21"/>
      <c r="P190" s="29"/>
      <c r="Q190" s="21"/>
      <c r="R190" s="26"/>
      <c r="S190" s="113"/>
      <c r="T190" s="29"/>
      <c r="U190" s="40"/>
      <c r="V190" s="26"/>
      <c r="W190" s="26"/>
      <c r="X190" s="26"/>
      <c r="Y190" s="26"/>
      <c r="Z190" s="26"/>
      <c r="AA190" s="26"/>
    </row>
    <row r="191" spans="1:27" ht="15">
      <c r="A191" s="42" t="s">
        <v>16</v>
      </c>
      <c r="B191" s="21"/>
      <c r="C191" s="40">
        <f aca="true" t="shared" si="7" ref="C191:C200">C205+C219</f>
        <v>23972.12219259269</v>
      </c>
      <c r="D191" s="23"/>
      <c r="E191" s="40">
        <f aca="true" t="shared" si="8" ref="E191:E200">E205+E219</f>
        <v>25273</v>
      </c>
      <c r="F191" s="23"/>
      <c r="G191" s="44">
        <v>45</v>
      </c>
      <c r="H191" s="96"/>
      <c r="I191" s="29">
        <f>ROUND($G191*C191,0)</f>
        <v>1078745</v>
      </c>
      <c r="J191" s="23"/>
      <c r="K191" s="29">
        <f>ROUND($G191*E191,0)</f>
        <v>1137285</v>
      </c>
      <c r="L191" s="23"/>
      <c r="M191" s="44">
        <f>M107</f>
        <v>49</v>
      </c>
      <c r="N191" s="96"/>
      <c r="O191" s="29">
        <f>ROUND(M191*$E191,0)</f>
        <v>1238377</v>
      </c>
      <c r="P191" s="29"/>
      <c r="Q191" s="55" t="s">
        <v>23</v>
      </c>
      <c r="R191" s="56">
        <f>O200</f>
        <v>30068672</v>
      </c>
      <c r="S191" s="26"/>
      <c r="T191" s="29"/>
      <c r="U191" s="40"/>
      <c r="V191" s="26"/>
      <c r="W191" s="26"/>
      <c r="X191" s="26"/>
      <c r="Y191" s="26"/>
      <c r="Z191" s="26"/>
      <c r="AA191" s="26"/>
    </row>
    <row r="192" spans="1:27" ht="15">
      <c r="A192" s="42" t="s">
        <v>83</v>
      </c>
      <c r="B192" s="21"/>
      <c r="C192" s="40">
        <f t="shared" si="7"/>
        <v>764460.3206239734</v>
      </c>
      <c r="D192" s="68"/>
      <c r="E192" s="40">
        <f t="shared" si="8"/>
        <v>845471</v>
      </c>
      <c r="F192" s="68"/>
      <c r="G192" s="44">
        <v>5.37</v>
      </c>
      <c r="H192" s="45"/>
      <c r="I192" s="29">
        <f>ROUND($G192*C192,0)</f>
        <v>4105152</v>
      </c>
      <c r="J192" s="68"/>
      <c r="K192" s="29">
        <f>ROUND($G192*E192,0)</f>
        <v>4540179</v>
      </c>
      <c r="L192" s="68"/>
      <c r="M192" s="44">
        <f>ROUND(G192*(1+$R$196),2)</f>
        <v>6.33</v>
      </c>
      <c r="N192" s="45"/>
      <c r="O192" s="29">
        <f>ROUND(M192*$E192,0)</f>
        <v>5351831</v>
      </c>
      <c r="P192" s="29"/>
      <c r="Q192" s="58" t="s">
        <v>25</v>
      </c>
      <c r="R192" s="59">
        <v>30068705</v>
      </c>
      <c r="S192" s="26"/>
      <c r="T192" s="29"/>
      <c r="U192" s="40"/>
      <c r="V192" s="26"/>
      <c r="W192" s="26"/>
      <c r="X192" s="26"/>
      <c r="Y192" s="26"/>
      <c r="Z192" s="26"/>
      <c r="AA192" s="26"/>
    </row>
    <row r="193" spans="1:27" ht="15">
      <c r="A193" s="42" t="s">
        <v>84</v>
      </c>
      <c r="B193" s="21"/>
      <c r="C193" s="40">
        <f t="shared" si="7"/>
        <v>913634.908685968</v>
      </c>
      <c r="D193" s="68"/>
      <c r="E193" s="40">
        <f t="shared" si="8"/>
        <v>1010482</v>
      </c>
      <c r="F193" s="68"/>
      <c r="G193" s="44">
        <v>4.5</v>
      </c>
      <c r="H193" s="45"/>
      <c r="I193" s="29">
        <f>ROUND($G193*C193,0)</f>
        <v>4111357</v>
      </c>
      <c r="J193" s="68"/>
      <c r="K193" s="29">
        <f>ROUND($G193*E193,0)</f>
        <v>4547169</v>
      </c>
      <c r="L193" s="68"/>
      <c r="M193" s="44">
        <f>ROUND(G193*(1+$R$196),2)</f>
        <v>5.31</v>
      </c>
      <c r="N193" s="45"/>
      <c r="O193" s="29">
        <f>ROUND(M193*$E193,0)</f>
        <v>5365659</v>
      </c>
      <c r="P193" s="29"/>
      <c r="Q193" s="63" t="s">
        <v>27</v>
      </c>
      <c r="R193" s="64">
        <f>R192-R191</f>
        <v>33</v>
      </c>
      <c r="S193" s="26"/>
      <c r="T193" s="26"/>
      <c r="U193" s="40"/>
      <c r="V193" s="26"/>
      <c r="W193" s="26"/>
      <c r="X193" s="26"/>
      <c r="Y193" s="26"/>
      <c r="Z193" s="26"/>
      <c r="AA193" s="26"/>
    </row>
    <row r="194" spans="1:27" ht="15">
      <c r="A194" s="42" t="s">
        <v>60</v>
      </c>
      <c r="B194" s="21"/>
      <c r="C194" s="40">
        <f t="shared" si="7"/>
        <v>23625</v>
      </c>
      <c r="D194" s="68"/>
      <c r="E194" s="40">
        <f t="shared" si="8"/>
        <v>26033</v>
      </c>
      <c r="F194" s="68"/>
      <c r="G194" s="44">
        <v>-0.5</v>
      </c>
      <c r="H194" s="45"/>
      <c r="I194" s="29">
        <f>ROUND($G194*C194,0)</f>
        <v>-11813</v>
      </c>
      <c r="J194" s="68"/>
      <c r="K194" s="29">
        <f>ROUND($G194*E194,0)</f>
        <v>-13017</v>
      </c>
      <c r="L194" s="68"/>
      <c r="M194" s="44">
        <f>ROUND(G194*(1+$R$196),2)</f>
        <v>-0.59</v>
      </c>
      <c r="N194" s="45"/>
      <c r="O194" s="29">
        <f>ROUND(M194*$E194,0)</f>
        <v>-15359</v>
      </c>
      <c r="P194" s="29"/>
      <c r="Q194" s="66" t="s">
        <v>29</v>
      </c>
      <c r="R194" s="131">
        <f>R191/K200-1</f>
        <v>0.175509111360306</v>
      </c>
      <c r="S194" s="26"/>
      <c r="T194" s="29"/>
      <c r="U194" s="40"/>
      <c r="V194" s="26"/>
      <c r="W194" s="26"/>
      <c r="X194" s="26"/>
      <c r="Y194" s="26"/>
      <c r="Z194" s="26"/>
      <c r="AA194" s="26"/>
    </row>
    <row r="195" spans="1:27" ht="15">
      <c r="A195" s="42" t="s">
        <v>53</v>
      </c>
      <c r="B195" s="21"/>
      <c r="C195" s="40">
        <f t="shared" si="7"/>
        <v>47538268</v>
      </c>
      <c r="D195" s="68"/>
      <c r="E195" s="40">
        <f t="shared" si="8"/>
        <v>52632310</v>
      </c>
      <c r="F195" s="68"/>
      <c r="G195" s="107">
        <v>9.8184</v>
      </c>
      <c r="H195" s="50" t="s">
        <v>20</v>
      </c>
      <c r="I195" s="29">
        <f>ROUND($G195*C195/100,0)</f>
        <v>4667497</v>
      </c>
      <c r="J195" s="68"/>
      <c r="K195" s="29">
        <f>ROUND($G195*E195/100,0)</f>
        <v>5167651</v>
      </c>
      <c r="L195" s="68"/>
      <c r="M195" s="107">
        <f>ROUND(G195*(1+$R$196),4)</f>
        <v>11.5812</v>
      </c>
      <c r="N195" s="50" t="s">
        <v>20</v>
      </c>
      <c r="O195" s="29">
        <f>ROUND(M195*$E195/100,0)</f>
        <v>6095453</v>
      </c>
      <c r="P195" s="73"/>
      <c r="Q195" s="70" t="s">
        <v>31</v>
      </c>
      <c r="R195" s="132">
        <f>R192/K200-1</f>
        <v>0.17551040146718777</v>
      </c>
      <c r="S195" s="26"/>
      <c r="T195" s="29"/>
      <c r="U195" s="40"/>
      <c r="V195" s="26"/>
      <c r="W195" s="26"/>
      <c r="X195" s="26"/>
      <c r="Y195" s="26"/>
      <c r="Z195" s="26"/>
      <c r="AA195" s="26"/>
    </row>
    <row r="196" spans="1:27" ht="15">
      <c r="A196" s="42" t="s">
        <v>54</v>
      </c>
      <c r="B196" s="21"/>
      <c r="C196" s="40">
        <f t="shared" si="7"/>
        <v>49066764.721354015</v>
      </c>
      <c r="D196" s="68"/>
      <c r="E196" s="40">
        <f t="shared" si="8"/>
        <v>54439038</v>
      </c>
      <c r="F196" s="68"/>
      <c r="G196" s="107">
        <v>2.956</v>
      </c>
      <c r="H196" s="50" t="s">
        <v>20</v>
      </c>
      <c r="I196" s="29">
        <f>ROUND($G196*C196/100,0)</f>
        <v>1450414</v>
      </c>
      <c r="J196" s="68"/>
      <c r="K196" s="29">
        <f>ROUND($G196*E196/100,0)</f>
        <v>1609218</v>
      </c>
      <c r="L196" s="68"/>
      <c r="M196" s="107">
        <f>ROUND(G196*(1+$R$196),4)</f>
        <v>3.4867</v>
      </c>
      <c r="N196" s="50" t="s">
        <v>20</v>
      </c>
      <c r="O196" s="29">
        <f>ROUND(M196*$E196/100,0)</f>
        <v>1898126</v>
      </c>
      <c r="P196" s="73"/>
      <c r="Q196" s="85" t="s">
        <v>74</v>
      </c>
      <c r="R196" s="135">
        <f>(R192-O191)/(K200-K191)-1</f>
        <v>0.17954089746616786</v>
      </c>
      <c r="S196" s="26"/>
      <c r="T196" s="26"/>
      <c r="U196" s="78"/>
      <c r="V196" s="26"/>
      <c r="W196" s="26"/>
      <c r="X196" s="26"/>
      <c r="Y196" s="26"/>
      <c r="Z196" s="26"/>
      <c r="AA196" s="26"/>
    </row>
    <row r="197" spans="1:27" ht="15">
      <c r="A197" s="42" t="s">
        <v>85</v>
      </c>
      <c r="B197" s="21"/>
      <c r="C197" s="40">
        <f t="shared" si="7"/>
        <v>73841984</v>
      </c>
      <c r="D197" s="68"/>
      <c r="E197" s="40">
        <f t="shared" si="8"/>
        <v>81904480</v>
      </c>
      <c r="F197" s="68"/>
      <c r="G197" s="107">
        <v>8.2071</v>
      </c>
      <c r="H197" s="50" t="s">
        <v>20</v>
      </c>
      <c r="I197" s="29">
        <f>ROUND($G197*C197/100,0)</f>
        <v>6060285</v>
      </c>
      <c r="J197" s="68"/>
      <c r="K197" s="29">
        <f>ROUND($G197*E197/100,0)</f>
        <v>6721983</v>
      </c>
      <c r="L197" s="68"/>
      <c r="M197" s="107">
        <f>ROUND(G197*(1+$R$196),4)</f>
        <v>9.6806</v>
      </c>
      <c r="N197" s="50" t="s">
        <v>20</v>
      </c>
      <c r="O197" s="29">
        <f>ROUND(M197*$E197/100,0)</f>
        <v>7928845</v>
      </c>
      <c r="P197" s="73"/>
      <c r="Q197" s="139" t="s">
        <v>51</v>
      </c>
      <c r="R197" s="131">
        <f>(O200+O201)/(K200+K201)-1</f>
        <v>0.125762097077464</v>
      </c>
      <c r="S197" s="26"/>
      <c r="T197" s="29"/>
      <c r="U197" s="78"/>
      <c r="V197" s="26"/>
      <c r="W197" s="26"/>
      <c r="X197" s="26"/>
      <c r="Y197" s="26"/>
      <c r="Z197" s="26"/>
      <c r="AA197" s="26"/>
    </row>
    <row r="198" spans="1:27" ht="15">
      <c r="A198" s="42" t="s">
        <v>86</v>
      </c>
      <c r="B198" s="21"/>
      <c r="C198" s="40">
        <f t="shared" si="7"/>
        <v>67862464.80409648</v>
      </c>
      <c r="D198" s="68"/>
      <c r="E198" s="40">
        <f t="shared" si="8"/>
        <v>75409909.9598627</v>
      </c>
      <c r="F198" s="68"/>
      <c r="G198" s="107">
        <v>2.4782</v>
      </c>
      <c r="H198" s="50" t="s">
        <v>20</v>
      </c>
      <c r="I198" s="29">
        <f>ROUND($G198*C198/100,0)</f>
        <v>1681768</v>
      </c>
      <c r="J198" s="68"/>
      <c r="K198" s="29">
        <f>ROUND($G198*E198/100,0)</f>
        <v>1868808</v>
      </c>
      <c r="L198" s="68"/>
      <c r="M198" s="140">
        <f>ROUND((R192-SUM(O191:O197))/E198*100,4)</f>
        <v>2.925</v>
      </c>
      <c r="N198" s="50" t="s">
        <v>20</v>
      </c>
      <c r="O198" s="29">
        <f>ROUND(M198*$E198/100,0)</f>
        <v>2205740</v>
      </c>
      <c r="P198" s="73"/>
      <c r="Q198" s="66" t="s">
        <v>87</v>
      </c>
      <c r="R198" s="67">
        <f>E195/(E195+E196)</f>
        <v>0.49156297163644563</v>
      </c>
      <c r="S198" s="26"/>
      <c r="T198" s="26"/>
      <c r="U198" s="78"/>
      <c r="V198" s="26"/>
      <c r="W198" s="26"/>
      <c r="X198" s="26"/>
      <c r="Y198" s="26"/>
      <c r="Z198" s="26"/>
      <c r="AA198" s="26"/>
    </row>
    <row r="199" spans="1:27" ht="15">
      <c r="A199" s="42" t="s">
        <v>44</v>
      </c>
      <c r="B199" s="21"/>
      <c r="C199" s="133">
        <f t="shared" si="7"/>
        <v>735195</v>
      </c>
      <c r="D199" s="23"/>
      <c r="E199" s="133">
        <f t="shared" si="8"/>
        <v>0</v>
      </c>
      <c r="F199" s="23"/>
      <c r="G199" s="20"/>
      <c r="H199" s="23"/>
      <c r="I199" s="84">
        <f>I213+I227</f>
        <v>97549</v>
      </c>
      <c r="J199" s="23"/>
      <c r="K199" s="84">
        <f>K213+K227</f>
        <v>0</v>
      </c>
      <c r="L199" s="23"/>
      <c r="M199" s="21"/>
      <c r="N199" s="23"/>
      <c r="O199" s="83">
        <v>0</v>
      </c>
      <c r="P199" s="21"/>
      <c r="Q199" s="70" t="s">
        <v>88</v>
      </c>
      <c r="R199" s="71">
        <f>E197/(E197+E198)</f>
        <v>0.5206420087882435</v>
      </c>
      <c r="S199" s="26"/>
      <c r="T199" s="26"/>
      <c r="U199" s="78"/>
      <c r="V199" s="26"/>
      <c r="W199" s="26"/>
      <c r="X199" s="26"/>
      <c r="Y199" s="26"/>
      <c r="Z199" s="26"/>
      <c r="AA199" s="26"/>
    </row>
    <row r="200" spans="1:27" ht="15.75" thickBot="1">
      <c r="A200" s="42" t="s">
        <v>46</v>
      </c>
      <c r="B200" s="21"/>
      <c r="C200" s="118">
        <f t="shared" si="7"/>
        <v>239044676.52545047</v>
      </c>
      <c r="D200" s="23"/>
      <c r="E200" s="118">
        <f t="shared" si="8"/>
        <v>264385737.9598627</v>
      </c>
      <c r="F200" s="23"/>
      <c r="G200" s="110"/>
      <c r="H200" s="23"/>
      <c r="I200" s="111">
        <f>SUM(I191:I199)</f>
        <v>23240954</v>
      </c>
      <c r="J200" s="23"/>
      <c r="K200" s="111">
        <f>SUM(K191:K199)</f>
        <v>25579276</v>
      </c>
      <c r="L200" s="23"/>
      <c r="M200" s="112"/>
      <c r="N200" s="23"/>
      <c r="O200" s="111">
        <f>SUM(O191:O199)</f>
        <v>30068672</v>
      </c>
      <c r="P200" s="21"/>
      <c r="Q200" s="70" t="s">
        <v>55</v>
      </c>
      <c r="R200" s="141">
        <f>E200/E191</f>
        <v>10461.193287692902</v>
      </c>
      <c r="S200" s="26"/>
      <c r="T200" s="26"/>
      <c r="U200" s="26"/>
      <c r="V200" s="26"/>
      <c r="W200" s="26"/>
      <c r="X200" s="26"/>
      <c r="Y200" s="26"/>
      <c r="Z200" s="26"/>
      <c r="AA200" s="26"/>
    </row>
    <row r="201" spans="1:27" ht="15.75" thickTop="1">
      <c r="A201" s="42" t="s">
        <v>48</v>
      </c>
      <c r="B201" s="21"/>
      <c r="C201" s="40"/>
      <c r="D201" s="23"/>
      <c r="E201" s="40"/>
      <c r="F201" s="23"/>
      <c r="G201" s="92"/>
      <c r="H201" s="93"/>
      <c r="I201" s="83">
        <v>1130338.8272000002</v>
      </c>
      <c r="J201" s="23"/>
      <c r="K201" s="83">
        <f>I201</f>
        <v>1130338.8272000002</v>
      </c>
      <c r="L201" s="23"/>
      <c r="M201" s="37"/>
      <c r="N201" s="93"/>
      <c r="O201" s="83">
        <v>0</v>
      </c>
      <c r="P201" s="29"/>
      <c r="Q201" s="85" t="s">
        <v>89</v>
      </c>
      <c r="R201" s="142">
        <f>(E192+E193)/E191</f>
        <v>73.43619673168995</v>
      </c>
      <c r="S201" s="26"/>
      <c r="T201" s="26"/>
      <c r="U201" s="26"/>
      <c r="V201" s="26"/>
      <c r="W201" s="26"/>
      <c r="X201" s="26"/>
      <c r="Y201" s="26"/>
      <c r="Z201" s="26"/>
      <c r="AA201" s="26"/>
    </row>
    <row r="202" spans="1:27" ht="15">
      <c r="A202" s="42" t="s">
        <v>49</v>
      </c>
      <c r="B202" s="21"/>
      <c r="C202" s="40"/>
      <c r="D202" s="23"/>
      <c r="E202" s="40"/>
      <c r="F202" s="23"/>
      <c r="G202" s="92">
        <f>M202</f>
        <v>0.0387</v>
      </c>
      <c r="H202" s="93"/>
      <c r="I202" s="83">
        <f>ROUND(SUM(I192:I198,I201)*$G202,0)</f>
        <v>897646</v>
      </c>
      <c r="J202" s="23"/>
      <c r="K202" s="83">
        <f>ROUND(SUM(K192:K198,K201)*$G202,0)</f>
        <v>989649</v>
      </c>
      <c r="L202" s="23"/>
      <c r="M202" s="37">
        <v>0.0387</v>
      </c>
      <c r="N202" s="93"/>
      <c r="O202" s="83">
        <f>ROUND(SUM(O192:O198,O201)*M202,0)</f>
        <v>1115732</v>
      </c>
      <c r="P202" s="29"/>
      <c r="Q202" s="21"/>
      <c r="R202" s="26"/>
      <c r="S202" s="26"/>
      <c r="T202" s="26"/>
      <c r="U202" s="26"/>
      <c r="V202" s="26"/>
      <c r="W202" s="26"/>
      <c r="X202" s="26"/>
      <c r="Y202" s="26"/>
      <c r="Z202" s="26"/>
      <c r="AA202" s="26"/>
    </row>
    <row r="203" spans="1:27" ht="15">
      <c r="A203" s="20"/>
      <c r="B203" s="21"/>
      <c r="C203" s="40"/>
      <c r="D203" s="23"/>
      <c r="E203" s="40"/>
      <c r="F203" s="23"/>
      <c r="G203" s="20"/>
      <c r="H203" s="23"/>
      <c r="I203" s="21"/>
      <c r="J203" s="23"/>
      <c r="K203" s="21"/>
      <c r="L203" s="23"/>
      <c r="M203" s="21"/>
      <c r="N203" s="23"/>
      <c r="O203" s="21"/>
      <c r="P203" s="29"/>
      <c r="Q203" s="21"/>
      <c r="R203" s="26"/>
      <c r="S203" s="26"/>
      <c r="T203" s="26"/>
      <c r="U203" s="26"/>
      <c r="V203" s="26"/>
      <c r="W203" s="26"/>
      <c r="X203" s="26"/>
      <c r="Y203" s="26"/>
      <c r="Z203" s="26"/>
      <c r="AA203" s="26"/>
    </row>
    <row r="204" spans="1:27" ht="15">
      <c r="A204" s="38" t="s">
        <v>90</v>
      </c>
      <c r="B204" s="21"/>
      <c r="C204" s="40"/>
      <c r="D204" s="23"/>
      <c r="E204" s="40"/>
      <c r="F204" s="23"/>
      <c r="G204" s="120"/>
      <c r="H204" s="119"/>
      <c r="I204" s="21"/>
      <c r="J204" s="23"/>
      <c r="K204" s="21"/>
      <c r="L204" s="23"/>
      <c r="M204" s="121"/>
      <c r="N204" s="119"/>
      <c r="O204" s="21"/>
      <c r="P204" s="29"/>
      <c r="Q204" s="21"/>
      <c r="R204" s="26"/>
      <c r="S204" s="26"/>
      <c r="T204" s="26"/>
      <c r="U204" s="26"/>
      <c r="V204" s="26"/>
      <c r="W204" s="26"/>
      <c r="X204" s="26"/>
      <c r="Y204" s="26"/>
      <c r="Z204" s="26"/>
      <c r="AA204" s="26"/>
    </row>
    <row r="205" spans="1:27" ht="15">
      <c r="A205" s="42" t="s">
        <v>16</v>
      </c>
      <c r="B205" s="21"/>
      <c r="C205" s="43">
        <v>20977.2180000001</v>
      </c>
      <c r="D205" s="23"/>
      <c r="E205" s="40">
        <v>22363</v>
      </c>
      <c r="F205" s="23"/>
      <c r="G205" s="69">
        <v>45</v>
      </c>
      <c r="H205" s="68"/>
      <c r="I205" s="29">
        <f>ROUND($G205*C205,0)</f>
        <v>943975</v>
      </c>
      <c r="J205" s="23"/>
      <c r="K205" s="29">
        <f>ROUND($G205*E205,0)</f>
        <v>1006335</v>
      </c>
      <c r="L205" s="23"/>
      <c r="M205" s="122">
        <f aca="true" t="shared" si="9" ref="M205:M212">M191</f>
        <v>49</v>
      </c>
      <c r="N205" s="68"/>
      <c r="O205" s="29">
        <f>ROUND(M205*$E205,0)</f>
        <v>1095787</v>
      </c>
      <c r="P205" s="29"/>
      <c r="Q205" s="21"/>
      <c r="R205" s="26"/>
      <c r="S205" s="26"/>
      <c r="T205" s="26"/>
      <c r="U205" s="26"/>
      <c r="V205" s="26"/>
      <c r="W205" s="26"/>
      <c r="X205" s="26"/>
      <c r="Y205" s="26"/>
      <c r="Z205" s="26"/>
      <c r="AA205" s="26"/>
    </row>
    <row r="206" spans="1:27" ht="15">
      <c r="A206" s="42" t="s">
        <v>83</v>
      </c>
      <c r="B206" s="21"/>
      <c r="C206" s="43">
        <v>602996.2596297539</v>
      </c>
      <c r="D206" s="23"/>
      <c r="E206" s="40">
        <f>ROUND(C206*$E$214/$C$214,0)</f>
        <v>670482</v>
      </c>
      <c r="F206" s="23"/>
      <c r="G206" s="69">
        <v>5.37</v>
      </c>
      <c r="H206" s="68"/>
      <c r="I206" s="29">
        <f>ROUND($G206*C206,0)</f>
        <v>3238090</v>
      </c>
      <c r="J206" s="23"/>
      <c r="K206" s="29">
        <f>ROUND($G206*E206,0)</f>
        <v>3600488</v>
      </c>
      <c r="L206" s="23"/>
      <c r="M206" s="122">
        <f t="shared" si="9"/>
        <v>6.33</v>
      </c>
      <c r="N206" s="68"/>
      <c r="O206" s="29">
        <f>ROUND(M206*$E206,0)</f>
        <v>4244151</v>
      </c>
      <c r="P206" s="29"/>
      <c r="Q206" s="21"/>
      <c r="R206" s="26"/>
      <c r="S206" s="26"/>
      <c r="T206" s="26"/>
      <c r="U206" s="26"/>
      <c r="V206" s="26"/>
      <c r="W206" s="26"/>
      <c r="X206" s="26"/>
      <c r="Y206" s="26"/>
      <c r="Z206" s="26"/>
      <c r="AA206" s="26"/>
    </row>
    <row r="207" spans="1:27" ht="15">
      <c r="A207" s="42" t="s">
        <v>84</v>
      </c>
      <c r="B207" s="21"/>
      <c r="C207" s="43">
        <v>721646.5055679281</v>
      </c>
      <c r="D207" s="23"/>
      <c r="E207" s="40">
        <f>ROUND(C207*$E$214/$C$214,0)</f>
        <v>802411</v>
      </c>
      <c r="F207" s="23"/>
      <c r="G207" s="69">
        <v>4.5</v>
      </c>
      <c r="H207" s="68"/>
      <c r="I207" s="29">
        <f>ROUND($G207*C207,0)</f>
        <v>3247409</v>
      </c>
      <c r="J207" s="23"/>
      <c r="K207" s="29">
        <f>ROUND($G207*E207,0)</f>
        <v>3610850</v>
      </c>
      <c r="L207" s="23"/>
      <c r="M207" s="122">
        <f t="shared" si="9"/>
        <v>5.31</v>
      </c>
      <c r="N207" s="68"/>
      <c r="O207" s="29">
        <f>ROUND(M207*$E207,0)</f>
        <v>4260802</v>
      </c>
      <c r="P207" s="29"/>
      <c r="Q207" s="21"/>
      <c r="R207" s="26"/>
      <c r="S207" s="26"/>
      <c r="T207" s="26"/>
      <c r="U207" s="26"/>
      <c r="V207" s="26"/>
      <c r="W207" s="26"/>
      <c r="X207" s="26"/>
      <c r="Y207" s="26"/>
      <c r="Z207" s="26"/>
      <c r="AA207" s="26"/>
    </row>
    <row r="208" spans="1:27" ht="15">
      <c r="A208" s="42" t="s">
        <v>60</v>
      </c>
      <c r="B208" s="21"/>
      <c r="C208" s="43">
        <v>15226</v>
      </c>
      <c r="D208" s="23"/>
      <c r="E208" s="40">
        <f>ROUND(C208*$E$214/$C$214,0)</f>
        <v>16930</v>
      </c>
      <c r="F208" s="23"/>
      <c r="G208" s="69">
        <v>-0.5</v>
      </c>
      <c r="H208" s="68"/>
      <c r="I208" s="29">
        <f>ROUND($G208*C208,0)</f>
        <v>-7613</v>
      </c>
      <c r="J208" s="23"/>
      <c r="K208" s="29">
        <f>ROUND($G208*E208,0)</f>
        <v>-8465</v>
      </c>
      <c r="L208" s="23"/>
      <c r="M208" s="122">
        <f t="shared" si="9"/>
        <v>-0.59</v>
      </c>
      <c r="N208" s="68"/>
      <c r="O208" s="29">
        <f>ROUND(M208*$E208,0)</f>
        <v>-9989</v>
      </c>
      <c r="P208" s="29"/>
      <c r="Q208" s="21"/>
      <c r="R208" s="26"/>
      <c r="S208" s="78"/>
      <c r="T208" s="26"/>
      <c r="U208" s="26"/>
      <c r="V208" s="26"/>
      <c r="W208" s="26"/>
      <c r="X208" s="26"/>
      <c r="Y208" s="26"/>
      <c r="Z208" s="26"/>
      <c r="AA208" s="26"/>
    </row>
    <row r="209" spans="1:27" ht="15">
      <c r="A209" s="42" t="s">
        <v>53</v>
      </c>
      <c r="B209" s="21"/>
      <c r="C209" s="43">
        <v>33666634</v>
      </c>
      <c r="D209" s="23"/>
      <c r="E209" s="40">
        <f>ROUND(C209*($E$214-$E$213)/($C$214-$C$213),0)</f>
        <v>37545465</v>
      </c>
      <c r="F209" s="23"/>
      <c r="G209" s="143">
        <v>9.8184</v>
      </c>
      <c r="H209" s="50" t="s">
        <v>20</v>
      </c>
      <c r="I209" s="29">
        <f>ROUND($G209*C209/100,0)</f>
        <v>3305525</v>
      </c>
      <c r="J209" s="23"/>
      <c r="K209" s="29">
        <f>ROUND($G209*E209/100,0)</f>
        <v>3686364</v>
      </c>
      <c r="L209" s="23"/>
      <c r="M209" s="144">
        <f t="shared" si="9"/>
        <v>11.5812</v>
      </c>
      <c r="N209" s="50" t="s">
        <v>20</v>
      </c>
      <c r="O209" s="29">
        <f>ROUND(M209*$E209/100,0)</f>
        <v>4348215</v>
      </c>
      <c r="P209" s="73"/>
      <c r="Q209" s="21"/>
      <c r="R209" s="26"/>
      <c r="S209" s="26"/>
      <c r="T209" s="26"/>
      <c r="U209" s="26"/>
      <c r="V209" s="26"/>
      <c r="W209" s="26"/>
      <c r="X209" s="26"/>
      <c r="Y209" s="26"/>
      <c r="Z209" s="26"/>
      <c r="AA209" s="26"/>
    </row>
    <row r="210" spans="1:27" ht="15">
      <c r="A210" s="42" t="s">
        <v>54</v>
      </c>
      <c r="B210" s="21"/>
      <c r="C210" s="43">
        <v>38894259.721354015</v>
      </c>
      <c r="D210" s="68"/>
      <c r="E210" s="40">
        <f>ROUND(C210*($E$214-$E$213)/($C$214-$C$213),0)</f>
        <v>43375380</v>
      </c>
      <c r="F210" s="68"/>
      <c r="G210" s="143">
        <v>2.956</v>
      </c>
      <c r="H210" s="50" t="s">
        <v>20</v>
      </c>
      <c r="I210" s="29">
        <f>ROUND($G210*C210/100,0)</f>
        <v>1149714</v>
      </c>
      <c r="J210" s="68"/>
      <c r="K210" s="29">
        <f>ROUND($G210*E210/100,0)</f>
        <v>1282176</v>
      </c>
      <c r="L210" s="68"/>
      <c r="M210" s="144">
        <f t="shared" si="9"/>
        <v>3.4867</v>
      </c>
      <c r="N210" s="50" t="s">
        <v>20</v>
      </c>
      <c r="O210" s="29">
        <f>ROUND(M210*$E210/100,0)</f>
        <v>1512369</v>
      </c>
      <c r="P210" s="73"/>
      <c r="Q210" s="21"/>
      <c r="R210" s="26"/>
      <c r="S210" s="26"/>
      <c r="T210" s="78"/>
      <c r="U210" s="26"/>
      <c r="V210" s="26"/>
      <c r="W210" s="26"/>
      <c r="X210" s="26"/>
      <c r="Y210" s="26"/>
      <c r="Z210" s="26"/>
      <c r="AA210" s="26"/>
    </row>
    <row r="211" spans="1:27" ht="15">
      <c r="A211" s="42" t="s">
        <v>85</v>
      </c>
      <c r="B211" s="21"/>
      <c r="C211" s="43">
        <v>57722035</v>
      </c>
      <c r="D211" s="23"/>
      <c r="E211" s="40">
        <f>ROUND(C211*($E$214-$E$213)/($C$214-$C$213),0)</f>
        <v>64372358</v>
      </c>
      <c r="F211" s="23"/>
      <c r="G211" s="143">
        <v>8.2071</v>
      </c>
      <c r="H211" s="50" t="s">
        <v>20</v>
      </c>
      <c r="I211" s="29">
        <f>ROUND($G211*C211/100,0)</f>
        <v>4737305</v>
      </c>
      <c r="J211" s="23"/>
      <c r="K211" s="29">
        <f>ROUND($G211*E211/100,0)</f>
        <v>5283104</v>
      </c>
      <c r="L211" s="23"/>
      <c r="M211" s="144">
        <f t="shared" si="9"/>
        <v>9.6806</v>
      </c>
      <c r="N211" s="50" t="s">
        <v>20</v>
      </c>
      <c r="O211" s="29">
        <f>ROUND(M211*$E211/100,0)</f>
        <v>6231630</v>
      </c>
      <c r="P211" s="73"/>
      <c r="Q211" s="21"/>
      <c r="R211" s="26"/>
      <c r="S211" s="26"/>
      <c r="T211" s="26"/>
      <c r="U211" s="26"/>
      <c r="V211" s="26"/>
      <c r="W211" s="26"/>
      <c r="X211" s="26"/>
      <c r="Y211" s="26"/>
      <c r="Z211" s="26"/>
      <c r="AA211" s="26"/>
    </row>
    <row r="212" spans="1:27" ht="15">
      <c r="A212" s="42" t="s">
        <v>86</v>
      </c>
      <c r="B212" s="21"/>
      <c r="C212" s="43">
        <v>58040035.804096475</v>
      </c>
      <c r="D212" s="68"/>
      <c r="E212" s="40">
        <f>E214-E209-E210-E211</f>
        <v>64726997</v>
      </c>
      <c r="F212" s="68"/>
      <c r="G212" s="143">
        <v>2.4782</v>
      </c>
      <c r="H212" s="50" t="s">
        <v>20</v>
      </c>
      <c r="I212" s="29">
        <f>ROUND($G212*C212/100,0)</f>
        <v>1438348</v>
      </c>
      <c r="J212" s="68"/>
      <c r="K212" s="29">
        <f>ROUND($G212*E212/100,0)</f>
        <v>1604064</v>
      </c>
      <c r="L212" s="68"/>
      <c r="M212" s="144">
        <f t="shared" si="9"/>
        <v>2.925</v>
      </c>
      <c r="N212" s="50" t="s">
        <v>20</v>
      </c>
      <c r="O212" s="29">
        <f>ROUND(M212*$E212/100,0)</f>
        <v>1893265</v>
      </c>
      <c r="P212" s="73"/>
      <c r="Q212" s="21" t="s">
        <v>29</v>
      </c>
      <c r="R212" s="104">
        <f>O214/K214-1</f>
        <v>0.17499769248971697</v>
      </c>
      <c r="S212" s="26"/>
      <c r="T212" s="26"/>
      <c r="U212" s="78"/>
      <c r="V212" s="26"/>
      <c r="W212" s="26"/>
      <c r="X212" s="26"/>
      <c r="Y212" s="26"/>
      <c r="Z212" s="26"/>
      <c r="AA212" s="26"/>
    </row>
    <row r="213" spans="1:27" ht="15">
      <c r="A213" s="42" t="s">
        <v>44</v>
      </c>
      <c r="B213" s="21"/>
      <c r="C213" s="82">
        <v>558223</v>
      </c>
      <c r="D213" s="23"/>
      <c r="E213" s="133">
        <v>0</v>
      </c>
      <c r="F213" s="23"/>
      <c r="G213" s="20"/>
      <c r="H213" s="23"/>
      <c r="I213" s="84">
        <v>86407</v>
      </c>
      <c r="J213" s="23"/>
      <c r="K213" s="84">
        <v>0</v>
      </c>
      <c r="L213" s="23"/>
      <c r="M213" s="21"/>
      <c r="N213" s="23"/>
      <c r="O213" s="83">
        <v>0</v>
      </c>
      <c r="P213" s="21"/>
      <c r="Q213" s="20" t="s">
        <v>51</v>
      </c>
      <c r="R213" s="117">
        <f>(O214+O215)/(K214+K215)-1</f>
        <v>0.12551144247664325</v>
      </c>
      <c r="S213" s="26"/>
      <c r="T213" s="26"/>
      <c r="U213" s="26"/>
      <c r="V213" s="26"/>
      <c r="W213" s="26"/>
      <c r="X213" s="26"/>
      <c r="Y213" s="26"/>
      <c r="Z213" s="26"/>
      <c r="AA213" s="26"/>
    </row>
    <row r="214" spans="1:27" ht="15.75" thickBot="1">
      <c r="A214" s="42" t="s">
        <v>46</v>
      </c>
      <c r="B214" s="21"/>
      <c r="C214" s="118">
        <f>C209+C210+C213+C211+C212</f>
        <v>188881187.52545047</v>
      </c>
      <c r="D214" s="23"/>
      <c r="E214" s="118">
        <v>210020200</v>
      </c>
      <c r="F214" s="23"/>
      <c r="G214" s="110"/>
      <c r="H214" s="23"/>
      <c r="I214" s="111">
        <f>SUM(I205:I213)</f>
        <v>18139160</v>
      </c>
      <c r="J214" s="23"/>
      <c r="K214" s="111">
        <f>SUM(K205:K213)</f>
        <v>20064916</v>
      </c>
      <c r="L214" s="23"/>
      <c r="M214" s="112"/>
      <c r="N214" s="23"/>
      <c r="O214" s="111">
        <f>SUM(O205:O213)</f>
        <v>23576230</v>
      </c>
      <c r="P214" s="21"/>
      <c r="Q214" s="21"/>
      <c r="R214" s="78"/>
      <c r="S214" s="26"/>
      <c r="T214" s="26"/>
      <c r="U214" s="26"/>
      <c r="V214" s="26"/>
      <c r="W214" s="26"/>
      <c r="X214" s="26"/>
      <c r="Y214" s="26"/>
      <c r="Z214" s="26"/>
      <c r="AA214" s="26"/>
    </row>
    <row r="215" spans="1:27" ht="15.75" thickTop="1">
      <c r="A215" s="42" t="s">
        <v>48</v>
      </c>
      <c r="B215" s="21"/>
      <c r="C215" s="40"/>
      <c r="D215" s="23"/>
      <c r="E215" s="40"/>
      <c r="F215" s="23"/>
      <c r="G215" s="92"/>
      <c r="H215" s="93"/>
      <c r="I215" s="83">
        <f>ROUND(I201*I214/I200,0)</f>
        <v>882210</v>
      </c>
      <c r="J215" s="23"/>
      <c r="K215" s="83">
        <f>I215</f>
        <v>882210</v>
      </c>
      <c r="L215" s="23"/>
      <c r="M215" s="37"/>
      <c r="N215" s="93"/>
      <c r="O215" s="83">
        <v>0</v>
      </c>
      <c r="P215" s="29"/>
      <c r="Q215" s="21"/>
      <c r="R215" s="26"/>
      <c r="S215" s="26"/>
      <c r="T215" s="26"/>
      <c r="U215" s="26"/>
      <c r="V215" s="26"/>
      <c r="W215" s="26"/>
      <c r="X215" s="26"/>
      <c r="Y215" s="26"/>
      <c r="Z215" s="26"/>
      <c r="AA215" s="26"/>
    </row>
    <row r="216" spans="1:27" ht="15">
      <c r="A216" s="42" t="s">
        <v>49</v>
      </c>
      <c r="B216" s="21"/>
      <c r="C216" s="40"/>
      <c r="D216" s="23"/>
      <c r="E216" s="40"/>
      <c r="F216" s="23"/>
      <c r="G216" s="92">
        <f>M216</f>
        <v>0.0387</v>
      </c>
      <c r="H216" s="114"/>
      <c r="I216" s="83">
        <f>ROUND(SUM(I206:I212,I215)*G216,0)</f>
        <v>696251</v>
      </c>
      <c r="J216" s="23"/>
      <c r="K216" s="83">
        <f>ROUND(SUM(K206:K212,K215)*G216,0)</f>
        <v>771709</v>
      </c>
      <c r="L216" s="23"/>
      <c r="M216" s="115">
        <f>M202</f>
        <v>0.0387</v>
      </c>
      <c r="N216" s="114"/>
      <c r="O216" s="83">
        <f>ROUND(SUM(O206:O212,O215)*M216,0)</f>
        <v>869993</v>
      </c>
      <c r="P216" s="29"/>
      <c r="Q216" s="21"/>
      <c r="R216" s="26"/>
      <c r="S216" s="26"/>
      <c r="T216" s="26"/>
      <c r="U216" s="26"/>
      <c r="V216" s="26"/>
      <c r="W216" s="26"/>
      <c r="X216" s="26"/>
      <c r="Y216" s="26"/>
      <c r="Z216" s="26"/>
      <c r="AA216" s="26"/>
    </row>
    <row r="217" spans="1:27" ht="15">
      <c r="A217" s="20"/>
      <c r="B217" s="21"/>
      <c r="C217" s="40"/>
      <c r="D217" s="23"/>
      <c r="E217" s="40"/>
      <c r="F217" s="23"/>
      <c r="G217" s="20"/>
      <c r="H217" s="23"/>
      <c r="I217" s="21"/>
      <c r="J217" s="23"/>
      <c r="K217" s="21"/>
      <c r="L217" s="23"/>
      <c r="M217" s="21"/>
      <c r="N217" s="23"/>
      <c r="O217" s="21"/>
      <c r="P217" s="29"/>
      <c r="Q217" s="21"/>
      <c r="R217" s="26"/>
      <c r="S217" s="26"/>
      <c r="T217" s="26"/>
      <c r="U217" s="26"/>
      <c r="V217" s="26"/>
      <c r="W217" s="26"/>
      <c r="X217" s="26"/>
      <c r="Y217" s="26"/>
      <c r="Z217" s="26"/>
      <c r="AA217" s="26"/>
    </row>
    <row r="218" spans="1:27" ht="15">
      <c r="A218" s="38" t="s">
        <v>91</v>
      </c>
      <c r="B218" s="21"/>
      <c r="C218" s="40"/>
      <c r="D218" s="23"/>
      <c r="E218" s="40"/>
      <c r="F218" s="23"/>
      <c r="G218" s="120"/>
      <c r="H218" s="119"/>
      <c r="I218" s="21"/>
      <c r="J218" s="23"/>
      <c r="K218" s="21"/>
      <c r="L218" s="23"/>
      <c r="M218" s="121"/>
      <c r="N218" s="119"/>
      <c r="O218" s="21"/>
      <c r="P218" s="29"/>
      <c r="Q218" s="21"/>
      <c r="R218" s="26"/>
      <c r="S218" s="26"/>
      <c r="T218" s="26"/>
      <c r="U218" s="26"/>
      <c r="V218" s="26"/>
      <c r="W218" s="26"/>
      <c r="X218" s="26"/>
      <c r="Y218" s="26"/>
      <c r="Z218" s="26"/>
      <c r="AA218" s="26"/>
    </row>
    <row r="219" spans="1:27" ht="15">
      <c r="A219" s="42" t="s">
        <v>16</v>
      </c>
      <c r="B219" s="21"/>
      <c r="C219" s="43">
        <v>2994.9041925925912</v>
      </c>
      <c r="D219" s="23"/>
      <c r="E219" s="127">
        <v>2910</v>
      </c>
      <c r="F219" s="23"/>
      <c r="G219" s="69">
        <v>45</v>
      </c>
      <c r="H219" s="68"/>
      <c r="I219" s="29">
        <f>ROUND($G219*C219,0)</f>
        <v>134771</v>
      </c>
      <c r="J219" s="23"/>
      <c r="K219" s="29">
        <f>ROUND($G219*E219,0)</f>
        <v>130950</v>
      </c>
      <c r="L219" s="23"/>
      <c r="M219" s="122">
        <f aca="true" t="shared" si="10" ref="M219:M226">M191</f>
        <v>49</v>
      </c>
      <c r="N219" s="68"/>
      <c r="O219" s="29">
        <f>ROUND(M219*$E219,0)</f>
        <v>142590</v>
      </c>
      <c r="P219" s="29"/>
      <c r="Q219" s="21"/>
      <c r="R219" s="26"/>
      <c r="S219" s="26"/>
      <c r="T219" s="26"/>
      <c r="U219" s="26"/>
      <c r="V219" s="26"/>
      <c r="W219" s="26"/>
      <c r="X219" s="26"/>
      <c r="Y219" s="26"/>
      <c r="Z219" s="26"/>
      <c r="AA219" s="26"/>
    </row>
    <row r="220" spans="1:27" ht="15">
      <c r="A220" s="42" t="s">
        <v>83</v>
      </c>
      <c r="B220" s="21"/>
      <c r="C220" s="43">
        <v>161464.06099421953</v>
      </c>
      <c r="D220" s="23"/>
      <c r="E220" s="40">
        <f>ROUND(C220*$E$228/$C$228,0)</f>
        <v>174989</v>
      </c>
      <c r="F220" s="23"/>
      <c r="G220" s="69">
        <v>5.37</v>
      </c>
      <c r="H220" s="68"/>
      <c r="I220" s="29">
        <f>ROUND($G220*C220,0)</f>
        <v>867062</v>
      </c>
      <c r="J220" s="23"/>
      <c r="K220" s="29">
        <f>ROUND($G220*E220,0)</f>
        <v>939691</v>
      </c>
      <c r="L220" s="23"/>
      <c r="M220" s="122">
        <f t="shared" si="10"/>
        <v>6.33</v>
      </c>
      <c r="N220" s="68"/>
      <c r="O220" s="29">
        <f>ROUND(M220*$E220,0)</f>
        <v>1107680</v>
      </c>
      <c r="P220" s="29"/>
      <c r="Q220" s="21"/>
      <c r="R220" s="26"/>
      <c r="S220" s="26"/>
      <c r="T220" s="26"/>
      <c r="U220" s="26"/>
      <c r="V220" s="26"/>
      <c r="W220" s="26"/>
      <c r="X220" s="26"/>
      <c r="Y220" s="26"/>
      <c r="Z220" s="26"/>
      <c r="AA220" s="26"/>
    </row>
    <row r="221" spans="1:27" ht="15">
      <c r="A221" s="42" t="s">
        <v>84</v>
      </c>
      <c r="B221" s="21"/>
      <c r="C221" s="43">
        <v>191988.40311804</v>
      </c>
      <c r="D221" s="23"/>
      <c r="E221" s="40">
        <f>ROUND(C221*$E$228/$C$228,0)</f>
        <v>208071</v>
      </c>
      <c r="F221" s="23"/>
      <c r="G221" s="69">
        <v>4.5</v>
      </c>
      <c r="H221" s="68"/>
      <c r="I221" s="29">
        <f>ROUND($G221*C221,0)</f>
        <v>863948</v>
      </c>
      <c r="J221" s="23"/>
      <c r="K221" s="29">
        <f>ROUND($G221*E221,0)</f>
        <v>936320</v>
      </c>
      <c r="L221" s="23"/>
      <c r="M221" s="122">
        <f t="shared" si="10"/>
        <v>5.31</v>
      </c>
      <c r="N221" s="68"/>
      <c r="O221" s="29">
        <f>ROUND(M221*$E221,0)</f>
        <v>1104857</v>
      </c>
      <c r="P221" s="29"/>
      <c r="Q221" s="21"/>
      <c r="R221" s="26"/>
      <c r="S221" s="26"/>
      <c r="T221" s="26"/>
      <c r="U221" s="26"/>
      <c r="V221" s="26"/>
      <c r="W221" s="26"/>
      <c r="X221" s="26"/>
      <c r="Y221" s="26"/>
      <c r="Z221" s="26"/>
      <c r="AA221" s="26"/>
    </row>
    <row r="222" spans="1:27" ht="15">
      <c r="A222" s="42" t="s">
        <v>60</v>
      </c>
      <c r="B222" s="21"/>
      <c r="C222" s="43">
        <v>8399</v>
      </c>
      <c r="D222" s="68"/>
      <c r="E222" s="40">
        <f>ROUND(C222*$E$228/$C$228,0)</f>
        <v>9103</v>
      </c>
      <c r="F222" s="68"/>
      <c r="G222" s="69">
        <v>-0.5</v>
      </c>
      <c r="H222" s="68"/>
      <c r="I222" s="29">
        <f>ROUND($G222*C222,0)</f>
        <v>-4200</v>
      </c>
      <c r="J222" s="68"/>
      <c r="K222" s="29">
        <f>ROUND($G222*E222,0)</f>
        <v>-4552</v>
      </c>
      <c r="L222" s="68"/>
      <c r="M222" s="122">
        <f t="shared" si="10"/>
        <v>-0.59</v>
      </c>
      <c r="N222" s="68"/>
      <c r="O222" s="29">
        <f>ROUND(M222*$E222,0)</f>
        <v>-5371</v>
      </c>
      <c r="P222" s="29"/>
      <c r="Q222" s="21"/>
      <c r="R222" s="26"/>
      <c r="S222" s="78"/>
      <c r="T222" s="26"/>
      <c r="U222" s="26"/>
      <c r="V222" s="26"/>
      <c r="W222" s="26"/>
      <c r="X222" s="26"/>
      <c r="Y222" s="26"/>
      <c r="Z222" s="26"/>
      <c r="AA222" s="26"/>
    </row>
    <row r="223" spans="1:27" ht="15">
      <c r="A223" s="42" t="s">
        <v>53</v>
      </c>
      <c r="B223" s="21"/>
      <c r="C223" s="43">
        <v>13871634</v>
      </c>
      <c r="D223" s="68"/>
      <c r="E223" s="40">
        <f>ROUND(C223*($E$228-$E$227)/($C$228-$C$227),0)</f>
        <v>15086845</v>
      </c>
      <c r="F223" s="68"/>
      <c r="G223" s="143">
        <v>9.8184</v>
      </c>
      <c r="H223" s="50" t="s">
        <v>20</v>
      </c>
      <c r="I223" s="29">
        <f>ROUND($G223*C223/100,0)</f>
        <v>1361973</v>
      </c>
      <c r="J223" s="68"/>
      <c r="K223" s="29">
        <f>ROUND($G223*E223/100,0)</f>
        <v>1481287</v>
      </c>
      <c r="L223" s="68"/>
      <c r="M223" s="144">
        <f t="shared" si="10"/>
        <v>11.5812</v>
      </c>
      <c r="N223" s="50" t="s">
        <v>20</v>
      </c>
      <c r="O223" s="29">
        <f>ROUND(M223*$E223/100,0)</f>
        <v>1747238</v>
      </c>
      <c r="P223" s="73"/>
      <c r="Q223" s="21"/>
      <c r="R223" s="26"/>
      <c r="S223" s="26"/>
      <c r="T223" s="26"/>
      <c r="U223" s="26"/>
      <c r="V223" s="26"/>
      <c r="W223" s="26"/>
      <c r="X223" s="26"/>
      <c r="Y223" s="26"/>
      <c r="Z223" s="26"/>
      <c r="AA223" s="26"/>
    </row>
    <row r="224" spans="1:27" ht="15">
      <c r="A224" s="42" t="s">
        <v>54</v>
      </c>
      <c r="B224" s="21"/>
      <c r="C224" s="43">
        <v>10172505</v>
      </c>
      <c r="D224" s="68"/>
      <c r="E224" s="40">
        <f>ROUND(C224*($E$228-$E$227)/($C$228-$C$227),0)</f>
        <v>11063658</v>
      </c>
      <c r="F224" s="68"/>
      <c r="G224" s="143">
        <v>2.956</v>
      </c>
      <c r="H224" s="50" t="s">
        <v>20</v>
      </c>
      <c r="I224" s="29">
        <f>ROUND($G224*C224/100,0)</f>
        <v>300699</v>
      </c>
      <c r="J224" s="68"/>
      <c r="K224" s="29">
        <f>ROUND($G224*E224/100,0)</f>
        <v>327042</v>
      </c>
      <c r="L224" s="68"/>
      <c r="M224" s="144">
        <f t="shared" si="10"/>
        <v>3.4867</v>
      </c>
      <c r="N224" s="50" t="s">
        <v>20</v>
      </c>
      <c r="O224" s="29">
        <f>ROUND(M224*$E224/100,0)</f>
        <v>385757</v>
      </c>
      <c r="P224" s="73"/>
      <c r="Q224" s="21"/>
      <c r="R224" s="26"/>
      <c r="S224" s="26"/>
      <c r="T224" s="78"/>
      <c r="U224" s="26"/>
      <c r="V224" s="26"/>
      <c r="W224" s="26"/>
      <c r="X224" s="26"/>
      <c r="Y224" s="26"/>
      <c r="Z224" s="26"/>
      <c r="AA224" s="26"/>
    </row>
    <row r="225" spans="1:27" ht="15">
      <c r="A225" s="42" t="s">
        <v>85</v>
      </c>
      <c r="B225" s="21"/>
      <c r="C225" s="43">
        <v>16119949</v>
      </c>
      <c r="D225" s="68"/>
      <c r="E225" s="40">
        <f>ROUND(C225*($E$228-$E$227)/($C$228-$C$227),0)</f>
        <v>17532122</v>
      </c>
      <c r="F225" s="68"/>
      <c r="G225" s="143">
        <v>8.2071</v>
      </c>
      <c r="H225" s="50" t="s">
        <v>20</v>
      </c>
      <c r="I225" s="29">
        <f>ROUND($G225*C225/100,0)</f>
        <v>1322980</v>
      </c>
      <c r="J225" s="68"/>
      <c r="K225" s="29">
        <f>ROUND($G225*E225/100,0)</f>
        <v>1438879</v>
      </c>
      <c r="L225" s="68"/>
      <c r="M225" s="144">
        <f t="shared" si="10"/>
        <v>9.6806</v>
      </c>
      <c r="N225" s="50" t="s">
        <v>20</v>
      </c>
      <c r="O225" s="29">
        <f>ROUND(M225*$E225/100,0)</f>
        <v>1697215</v>
      </c>
      <c r="P225" s="73"/>
      <c r="Q225" s="21"/>
      <c r="R225" s="26"/>
      <c r="S225" s="26"/>
      <c r="T225" s="26"/>
      <c r="U225" s="26"/>
      <c r="V225" s="26"/>
      <c r="W225" s="26"/>
      <c r="X225" s="26"/>
      <c r="Y225" s="26"/>
      <c r="Z225" s="26"/>
      <c r="AA225" s="26"/>
    </row>
    <row r="226" spans="1:27" ht="15">
      <c r="A226" s="42" t="s">
        <v>86</v>
      </c>
      <c r="B226" s="21"/>
      <c r="C226" s="43">
        <v>9822429</v>
      </c>
      <c r="D226" s="68"/>
      <c r="E226" s="40">
        <f>E228-E223-E224-E225</f>
        <v>10682912.959862694</v>
      </c>
      <c r="F226" s="68"/>
      <c r="G226" s="143">
        <v>2.4782</v>
      </c>
      <c r="H226" s="50" t="s">
        <v>20</v>
      </c>
      <c r="I226" s="29">
        <f>ROUND($G226*C226/100,0)</f>
        <v>243419</v>
      </c>
      <c r="J226" s="68"/>
      <c r="K226" s="29">
        <f>ROUND($G226*E226/100,0)</f>
        <v>264744</v>
      </c>
      <c r="L226" s="68"/>
      <c r="M226" s="144">
        <f t="shared" si="10"/>
        <v>2.925</v>
      </c>
      <c r="N226" s="50" t="s">
        <v>20</v>
      </c>
      <c r="O226" s="29">
        <f>ROUND(M226*$E226/100,0)</f>
        <v>312475</v>
      </c>
      <c r="P226" s="73"/>
      <c r="Q226" s="21" t="s">
        <v>29</v>
      </c>
      <c r="R226" s="104">
        <f>O228/K228-1</f>
        <v>0.17736959912490313</v>
      </c>
      <c r="S226" s="26"/>
      <c r="T226" s="26"/>
      <c r="U226" s="78"/>
      <c r="V226" s="26"/>
      <c r="W226" s="26"/>
      <c r="X226" s="26"/>
      <c r="Y226" s="26"/>
      <c r="Z226" s="26"/>
      <c r="AA226" s="26"/>
    </row>
    <row r="227" spans="1:27" ht="15">
      <c r="A227" s="42" t="s">
        <v>44</v>
      </c>
      <c r="B227" s="21"/>
      <c r="C227" s="82">
        <v>176972</v>
      </c>
      <c r="D227" s="23"/>
      <c r="E227" s="133">
        <v>0</v>
      </c>
      <c r="F227" s="23"/>
      <c r="G227" s="20"/>
      <c r="H227" s="23"/>
      <c r="I227" s="84">
        <v>11142</v>
      </c>
      <c r="J227" s="23"/>
      <c r="K227" s="84">
        <v>0</v>
      </c>
      <c r="L227" s="23"/>
      <c r="M227" s="21"/>
      <c r="N227" s="23"/>
      <c r="O227" s="83">
        <v>0</v>
      </c>
      <c r="P227" s="21"/>
      <c r="Q227" s="20" t="s">
        <v>51</v>
      </c>
      <c r="R227" s="117">
        <f>(O228+O229)/(K228+K229)-1</f>
        <v>0.12667287833715513</v>
      </c>
      <c r="S227" s="26"/>
      <c r="T227" s="26"/>
      <c r="U227" s="26"/>
      <c r="V227" s="26"/>
      <c r="W227" s="26"/>
      <c r="X227" s="26"/>
      <c r="Y227" s="26"/>
      <c r="Z227" s="26"/>
      <c r="AA227" s="26"/>
    </row>
    <row r="228" spans="1:27" ht="15.75" thickBot="1">
      <c r="A228" s="42" t="s">
        <v>46</v>
      </c>
      <c r="B228" s="21"/>
      <c r="C228" s="118">
        <f>C223+C224+C227+C225+C226</f>
        <v>50163489</v>
      </c>
      <c r="D228" s="68"/>
      <c r="E228" s="118">
        <v>54365537.959862694</v>
      </c>
      <c r="F228" s="68"/>
      <c r="G228" s="110"/>
      <c r="H228" s="23"/>
      <c r="I228" s="111">
        <f>SUM(I219:I227)</f>
        <v>5101794</v>
      </c>
      <c r="J228" s="23"/>
      <c r="K228" s="111">
        <f>SUM(K219:K227)</f>
        <v>5514361</v>
      </c>
      <c r="L228" s="68"/>
      <c r="M228" s="112"/>
      <c r="N228" s="23"/>
      <c r="O228" s="111">
        <f>SUM(O219:O227)</f>
        <v>6492441</v>
      </c>
      <c r="P228" s="21"/>
      <c r="Q228" s="21"/>
      <c r="R228" s="78"/>
      <c r="S228" s="26"/>
      <c r="T228" s="26"/>
      <c r="U228" s="26"/>
      <c r="V228" s="26"/>
      <c r="W228" s="26"/>
      <c r="X228" s="26"/>
      <c r="Y228" s="26"/>
      <c r="Z228" s="26"/>
      <c r="AA228" s="26"/>
    </row>
    <row r="229" spans="1:27" ht="15.75" thickTop="1">
      <c r="A229" s="42" t="s">
        <v>48</v>
      </c>
      <c r="B229" s="21"/>
      <c r="C229" s="40"/>
      <c r="D229" s="23"/>
      <c r="E229" s="40"/>
      <c r="F229" s="23"/>
      <c r="G229" s="92"/>
      <c r="H229" s="93"/>
      <c r="I229" s="83">
        <f>I201-I215</f>
        <v>248128.82720000017</v>
      </c>
      <c r="J229" s="23"/>
      <c r="K229" s="83">
        <f>I229</f>
        <v>248128.82720000017</v>
      </c>
      <c r="L229" s="23"/>
      <c r="M229" s="37"/>
      <c r="N229" s="93"/>
      <c r="O229" s="83">
        <v>0</v>
      </c>
      <c r="P229" s="29"/>
      <c r="Q229" s="21"/>
      <c r="R229" s="26"/>
      <c r="S229" s="26"/>
      <c r="T229" s="26"/>
      <c r="U229" s="26"/>
      <c r="V229" s="26"/>
      <c r="W229" s="26"/>
      <c r="X229" s="26"/>
      <c r="Y229" s="26"/>
      <c r="Z229" s="26"/>
      <c r="AA229" s="26"/>
    </row>
    <row r="230" spans="1:27" ht="15">
      <c r="A230" s="42" t="s">
        <v>49</v>
      </c>
      <c r="B230" s="21"/>
      <c r="C230" s="40"/>
      <c r="D230" s="23"/>
      <c r="E230" s="40"/>
      <c r="F230" s="23"/>
      <c r="G230" s="92">
        <f>M230</f>
        <v>0.0387</v>
      </c>
      <c r="H230" s="114"/>
      <c r="I230" s="83">
        <f>ROUND(SUM(I220:I226,I229)*G230,0)</f>
        <v>201395</v>
      </c>
      <c r="J230" s="23"/>
      <c r="K230" s="83">
        <f>ROUND(SUM(K220:K226,K229)*G230,0)</f>
        <v>217941</v>
      </c>
      <c r="L230" s="23"/>
      <c r="M230" s="115">
        <f>M202</f>
        <v>0.0387</v>
      </c>
      <c r="N230" s="114"/>
      <c r="O230" s="83">
        <f>ROUND(SUM(O220:O226,O229)*M230,0)</f>
        <v>245739</v>
      </c>
      <c r="P230" s="29"/>
      <c r="Q230" s="21"/>
      <c r="R230" s="26"/>
      <c r="S230" s="26"/>
      <c r="T230" s="26"/>
      <c r="U230" s="26"/>
      <c r="V230" s="26"/>
      <c r="W230" s="26"/>
      <c r="X230" s="26"/>
      <c r="Y230" s="26"/>
      <c r="Z230" s="26"/>
      <c r="AA230" s="26"/>
    </row>
    <row r="231" spans="1:27" ht="15">
      <c r="A231" s="20"/>
      <c r="B231" s="21"/>
      <c r="C231" s="21"/>
      <c r="D231" s="68"/>
      <c r="E231" s="21"/>
      <c r="F231" s="68"/>
      <c r="G231" s="20"/>
      <c r="H231" s="23"/>
      <c r="I231" s="21"/>
      <c r="J231" s="68"/>
      <c r="K231" s="21"/>
      <c r="L231" s="68"/>
      <c r="M231" s="21"/>
      <c r="N231" s="23"/>
      <c r="O231" s="21"/>
      <c r="P231" s="29"/>
      <c r="Q231" s="21"/>
      <c r="R231" s="26"/>
      <c r="S231" s="26"/>
      <c r="T231" s="26"/>
      <c r="U231" s="26"/>
      <c r="V231" s="26"/>
      <c r="W231" s="26"/>
      <c r="X231" s="26"/>
      <c r="Y231" s="26"/>
      <c r="Z231" s="26"/>
      <c r="AA231" s="26"/>
    </row>
    <row r="232" spans="1:27" ht="15">
      <c r="A232" s="20"/>
      <c r="B232" s="21"/>
      <c r="C232" s="40"/>
      <c r="D232" s="23"/>
      <c r="E232" s="40"/>
      <c r="F232" s="23"/>
      <c r="G232" s="20"/>
      <c r="H232" s="23"/>
      <c r="I232" s="21"/>
      <c r="J232" s="23"/>
      <c r="K232" s="21"/>
      <c r="L232" s="23"/>
      <c r="M232" s="21"/>
      <c r="N232" s="23"/>
      <c r="O232" s="21"/>
      <c r="P232" s="29"/>
      <c r="Q232" s="21"/>
      <c r="R232" s="26"/>
      <c r="S232" s="113"/>
      <c r="T232" s="29"/>
      <c r="U232" s="40"/>
      <c r="V232" s="26"/>
      <c r="W232" s="26"/>
      <c r="X232" s="26"/>
      <c r="Y232" s="26"/>
      <c r="Z232" s="26"/>
      <c r="AA232" s="26"/>
    </row>
    <row r="233" spans="1:27" ht="15">
      <c r="A233" s="38" t="s">
        <v>92</v>
      </c>
      <c r="B233" s="21"/>
      <c r="C233" s="40"/>
      <c r="D233" s="23"/>
      <c r="E233" s="40"/>
      <c r="F233" s="23"/>
      <c r="G233" s="20"/>
      <c r="H233" s="23"/>
      <c r="I233" s="21"/>
      <c r="J233" s="23"/>
      <c r="K233" s="21"/>
      <c r="L233" s="23"/>
      <c r="M233" s="21"/>
      <c r="N233" s="23"/>
      <c r="O233" s="21"/>
      <c r="P233" s="29"/>
      <c r="Q233" s="21"/>
      <c r="R233" s="26"/>
      <c r="S233" s="113"/>
      <c r="T233" s="29"/>
      <c r="U233" s="40"/>
      <c r="V233" s="26"/>
      <c r="W233" s="26"/>
      <c r="X233" s="26"/>
      <c r="Y233" s="26"/>
      <c r="Z233" s="26"/>
      <c r="AA233" s="26"/>
    </row>
    <row r="234" spans="1:27" ht="15">
      <c r="A234" s="42" t="s">
        <v>16</v>
      </c>
      <c r="B234" s="21"/>
      <c r="C234" s="40">
        <f aca="true" t="shared" si="11" ref="C234:C243">C248+C262</f>
        <v>3262.195749494954</v>
      </c>
      <c r="D234" s="23"/>
      <c r="E234" s="40">
        <f aca="true" t="shared" si="12" ref="E234:E243">E248+E262</f>
        <v>3538</v>
      </c>
      <c r="F234" s="23"/>
      <c r="G234" s="44">
        <v>55</v>
      </c>
      <c r="H234" s="96"/>
      <c r="I234" s="29">
        <f>ROUND($G234*C234,0)</f>
        <v>179421</v>
      </c>
      <c r="J234" s="23"/>
      <c r="K234" s="29">
        <f>ROUND($G234*E234,0)</f>
        <v>194590</v>
      </c>
      <c r="L234" s="23"/>
      <c r="M234" s="46">
        <v>61</v>
      </c>
      <c r="N234" s="96"/>
      <c r="O234" s="29">
        <f>ROUND(M234*$E234,0)</f>
        <v>215818</v>
      </c>
      <c r="P234" s="29"/>
      <c r="Q234" s="97"/>
      <c r="R234" s="26"/>
      <c r="S234" s="26"/>
      <c r="T234" s="29"/>
      <c r="U234" s="40"/>
      <c r="V234" s="26"/>
      <c r="W234" s="26"/>
      <c r="X234" s="26"/>
      <c r="Y234" s="26"/>
      <c r="Z234" s="26"/>
      <c r="AA234" s="26"/>
    </row>
    <row r="235" spans="1:27" ht="15">
      <c r="A235" s="42" t="s">
        <v>93</v>
      </c>
      <c r="B235" s="21"/>
      <c r="C235" s="40">
        <f t="shared" si="11"/>
        <v>4537564.870415982</v>
      </c>
      <c r="D235" s="23"/>
      <c r="E235" s="40">
        <f t="shared" si="12"/>
        <v>5046329</v>
      </c>
      <c r="F235" s="23"/>
      <c r="G235" s="44">
        <v>3.77</v>
      </c>
      <c r="H235" s="96"/>
      <c r="I235" s="29">
        <f>ROUND($G235*C235,0)</f>
        <v>17106620</v>
      </c>
      <c r="J235" s="23"/>
      <c r="K235" s="29">
        <f>ROUND($G235*E235,0)</f>
        <v>19024660</v>
      </c>
      <c r="L235" s="23"/>
      <c r="M235" s="44">
        <f>ROUND(G235*(1+$R$240),2)</f>
        <v>4.28</v>
      </c>
      <c r="N235" s="96"/>
      <c r="O235" s="29">
        <f>ROUND(M235*$E235,0)</f>
        <v>21598288</v>
      </c>
      <c r="P235" s="29"/>
      <c r="Q235" s="55" t="s">
        <v>23</v>
      </c>
      <c r="R235" s="56">
        <f>O243</f>
        <v>151088507</v>
      </c>
      <c r="S235" s="26"/>
      <c r="T235" s="29"/>
      <c r="U235" s="40"/>
      <c r="V235" s="26"/>
      <c r="W235" s="26"/>
      <c r="X235" s="26"/>
      <c r="Y235" s="26"/>
      <c r="Z235" s="26"/>
      <c r="AA235" s="26"/>
    </row>
    <row r="236" spans="1:27" ht="15">
      <c r="A236" s="42" t="s">
        <v>94</v>
      </c>
      <c r="B236" s="21"/>
      <c r="C236" s="40">
        <f t="shared" si="11"/>
        <v>1898533.804019745</v>
      </c>
      <c r="D236" s="23"/>
      <c r="E236" s="40">
        <f t="shared" si="12"/>
        <v>2114813</v>
      </c>
      <c r="F236" s="23"/>
      <c r="G236" s="44">
        <v>12.33</v>
      </c>
      <c r="H236" s="45"/>
      <c r="I236" s="29">
        <f>ROUND($G236*C236,0)</f>
        <v>23408922</v>
      </c>
      <c r="J236" s="23"/>
      <c r="K236" s="29">
        <f>ROUND($G236*E236,0)</f>
        <v>26075644</v>
      </c>
      <c r="L236" s="23"/>
      <c r="M236" s="44">
        <f>ROUND(G236*(1+$R$240),2)</f>
        <v>14</v>
      </c>
      <c r="N236" s="45"/>
      <c r="O236" s="29">
        <f>ROUND(M236*$E236,0)</f>
        <v>29607382</v>
      </c>
      <c r="P236" s="29"/>
      <c r="Q236" s="58" t="s">
        <v>25</v>
      </c>
      <c r="R236" s="59">
        <v>151088034</v>
      </c>
      <c r="S236" s="26"/>
      <c r="T236" s="26"/>
      <c r="U236" s="40"/>
      <c r="V236" s="26"/>
      <c r="W236" s="26"/>
      <c r="X236" s="26"/>
      <c r="Y236" s="26"/>
      <c r="Z236" s="26"/>
      <c r="AA236" s="26"/>
    </row>
    <row r="237" spans="1:27" ht="15">
      <c r="A237" s="42" t="s">
        <v>95</v>
      </c>
      <c r="B237" s="21"/>
      <c r="C237" s="40">
        <f t="shared" si="11"/>
        <v>2525177.0413793074</v>
      </c>
      <c r="D237" s="23"/>
      <c r="E237" s="40">
        <f t="shared" si="12"/>
        <v>2805841</v>
      </c>
      <c r="F237" s="23"/>
      <c r="G237" s="44">
        <v>8.88</v>
      </c>
      <c r="H237" s="45"/>
      <c r="I237" s="29">
        <f>ROUND($G237*C237,0)</f>
        <v>22423572</v>
      </c>
      <c r="J237" s="23"/>
      <c r="K237" s="29">
        <f>ROUND($G237*E237,0)</f>
        <v>24915868</v>
      </c>
      <c r="L237" s="23"/>
      <c r="M237" s="44">
        <f>ROUND(G237*(1+$R$240),2)</f>
        <v>10.08</v>
      </c>
      <c r="N237" s="45"/>
      <c r="O237" s="29">
        <f>ROUND(M237*$E237,0)</f>
        <v>28282877</v>
      </c>
      <c r="P237" s="29"/>
      <c r="Q237" s="63" t="s">
        <v>27</v>
      </c>
      <c r="R237" s="64">
        <f>R236-R235</f>
        <v>-473</v>
      </c>
      <c r="S237" s="145"/>
      <c r="T237" s="26"/>
      <c r="U237" s="40"/>
      <c r="V237" s="26"/>
      <c r="W237" s="26"/>
      <c r="X237" s="26"/>
      <c r="Y237" s="26"/>
      <c r="Z237" s="26"/>
      <c r="AA237" s="26"/>
    </row>
    <row r="238" spans="1:27" ht="15">
      <c r="A238" s="42" t="s">
        <v>60</v>
      </c>
      <c r="B238" s="21"/>
      <c r="C238" s="40">
        <f t="shared" si="11"/>
        <v>1797636.2906458012</v>
      </c>
      <c r="D238" s="23"/>
      <c r="E238" s="40">
        <f t="shared" si="12"/>
        <v>1990234</v>
      </c>
      <c r="F238" s="23"/>
      <c r="G238" s="44">
        <v>-0.9</v>
      </c>
      <c r="H238" s="45"/>
      <c r="I238" s="29">
        <f>ROUND($G238*C238,0)</f>
        <v>-1617873</v>
      </c>
      <c r="J238" s="23"/>
      <c r="K238" s="29">
        <f>ROUND($G238*E238,0)</f>
        <v>-1791211</v>
      </c>
      <c r="L238" s="23"/>
      <c r="M238" s="44">
        <f>ROUND(G238*(1+$R$240),2)</f>
        <v>-1.02</v>
      </c>
      <c r="N238" s="45"/>
      <c r="O238" s="29">
        <f>ROUND(M238*$E238,0)</f>
        <v>-2030039</v>
      </c>
      <c r="P238" s="73"/>
      <c r="Q238" s="66" t="s">
        <v>29</v>
      </c>
      <c r="R238" s="131">
        <f>R235/K243-1</f>
        <v>0.13529688911902804</v>
      </c>
      <c r="S238" s="26"/>
      <c r="T238" s="26"/>
      <c r="U238" s="26"/>
      <c r="V238" s="26"/>
      <c r="W238" s="26"/>
      <c r="X238" s="26"/>
      <c r="Y238" s="26"/>
      <c r="Z238" s="26"/>
      <c r="AA238" s="26"/>
    </row>
    <row r="239" spans="1:27" ht="15">
      <c r="A239" s="42" t="s">
        <v>53</v>
      </c>
      <c r="B239" s="21"/>
      <c r="C239" s="40">
        <f t="shared" si="11"/>
        <v>235060108</v>
      </c>
      <c r="D239" s="23"/>
      <c r="E239" s="40">
        <f t="shared" si="12"/>
        <v>263346088</v>
      </c>
      <c r="F239" s="23"/>
      <c r="G239" s="148">
        <v>4.0021</v>
      </c>
      <c r="H239" s="50" t="s">
        <v>20</v>
      </c>
      <c r="I239" s="29">
        <f>ROUND($G239*C239/100,0)</f>
        <v>9407341</v>
      </c>
      <c r="J239" s="23"/>
      <c r="K239" s="29">
        <f>ROUND($G239*E239/100,0)</f>
        <v>10539374</v>
      </c>
      <c r="L239" s="23"/>
      <c r="M239" s="148">
        <f>ROUND(G239*(1+$R$240),4)</f>
        <v>4.5437</v>
      </c>
      <c r="N239" s="50" t="s">
        <v>20</v>
      </c>
      <c r="O239" s="29">
        <f>ROUND(M239*$E239/100,0)</f>
        <v>11965656</v>
      </c>
      <c r="P239" s="73"/>
      <c r="Q239" s="70" t="s">
        <v>31</v>
      </c>
      <c r="R239" s="132">
        <f>R236/K243-1</f>
        <v>0.13529333494115425</v>
      </c>
      <c r="S239" s="26"/>
      <c r="T239" s="145"/>
      <c r="U239" s="26"/>
      <c r="V239" s="26"/>
      <c r="W239" s="26"/>
      <c r="X239" s="26"/>
      <c r="Y239" s="26"/>
      <c r="Z239" s="26"/>
      <c r="AA239" s="26"/>
    </row>
    <row r="240" spans="1:27" ht="15">
      <c r="A240" s="42" t="s">
        <v>85</v>
      </c>
      <c r="B240" s="21"/>
      <c r="C240" s="40">
        <f t="shared" si="11"/>
        <v>561254789</v>
      </c>
      <c r="D240" s="23"/>
      <c r="E240" s="40">
        <f t="shared" si="12"/>
        <v>627671327</v>
      </c>
      <c r="F240" s="23"/>
      <c r="G240" s="148">
        <v>3.1328</v>
      </c>
      <c r="H240" s="50" t="s">
        <v>20</v>
      </c>
      <c r="I240" s="29">
        <f>ROUND($G240*C240/100,0)</f>
        <v>17582990</v>
      </c>
      <c r="J240" s="23"/>
      <c r="K240" s="29">
        <f>ROUND($G240*E240/100,0)</f>
        <v>19663687</v>
      </c>
      <c r="L240" s="23"/>
      <c r="M240" s="148">
        <f>ROUND(G240*(1+$R$240),4)</f>
        <v>3.5568</v>
      </c>
      <c r="N240" s="50" t="s">
        <v>20</v>
      </c>
      <c r="O240" s="29">
        <f>ROUND(M240*$E240/100,0)</f>
        <v>22325014</v>
      </c>
      <c r="P240" s="73"/>
      <c r="Q240" s="70" t="s">
        <v>74</v>
      </c>
      <c r="R240" s="132">
        <f>(R236-O234)/(K243-K234)-1</f>
        <v>0.13533170350246082</v>
      </c>
      <c r="S240" s="26"/>
      <c r="T240" s="26"/>
      <c r="U240" s="26"/>
      <c r="V240" s="26"/>
      <c r="W240" s="26"/>
      <c r="X240" s="26"/>
      <c r="Y240" s="26"/>
      <c r="Z240" s="26"/>
      <c r="AA240" s="26"/>
    </row>
    <row r="241" spans="1:27" ht="15">
      <c r="A241" s="42" t="s">
        <v>96</v>
      </c>
      <c r="B241" s="21"/>
      <c r="C241" s="40">
        <f t="shared" si="11"/>
        <v>1137692487.183744</v>
      </c>
      <c r="D241" s="23"/>
      <c r="E241" s="40">
        <f t="shared" si="12"/>
        <v>1276918663.6941051</v>
      </c>
      <c r="F241" s="23"/>
      <c r="G241" s="148">
        <v>2.6987</v>
      </c>
      <c r="H241" s="50" t="s">
        <v>20</v>
      </c>
      <c r="I241" s="29">
        <f>ROUND($G241*C241/100,0)</f>
        <v>30702907</v>
      </c>
      <c r="J241" s="23"/>
      <c r="K241" s="29">
        <f>ROUND($G241*E241/100,0)</f>
        <v>34460204</v>
      </c>
      <c r="L241" s="23"/>
      <c r="M241" s="148">
        <f>ROUND((R236-SUM(O234:O240))/E241*100,4)</f>
        <v>3.0639</v>
      </c>
      <c r="N241" s="50" t="s">
        <v>20</v>
      </c>
      <c r="O241" s="29">
        <f>ROUND(M241*$E241/100,0)</f>
        <v>39123511</v>
      </c>
      <c r="P241" s="73"/>
      <c r="Q241" s="85" t="s">
        <v>35</v>
      </c>
      <c r="R241" s="149">
        <f>M234/G234-1</f>
        <v>0.10909090909090913</v>
      </c>
      <c r="S241" s="26"/>
      <c r="T241" s="26"/>
      <c r="U241" s="145"/>
      <c r="V241" s="26"/>
      <c r="W241" s="26"/>
      <c r="X241" s="26"/>
      <c r="Y241" s="26"/>
      <c r="Z241" s="26"/>
      <c r="AA241" s="26"/>
    </row>
    <row r="242" spans="1:27" ht="15">
      <c r="A242" s="42" t="s">
        <v>44</v>
      </c>
      <c r="B242" s="21"/>
      <c r="C242" s="133">
        <f t="shared" si="11"/>
        <v>6245291</v>
      </c>
      <c r="D242" s="23"/>
      <c r="E242" s="133">
        <f t="shared" si="12"/>
        <v>0</v>
      </c>
      <c r="F242" s="23"/>
      <c r="G242" s="20"/>
      <c r="H242" s="23"/>
      <c r="I242" s="83">
        <f>I256+I270</f>
        <v>412208.9907249999</v>
      </c>
      <c r="J242" s="23"/>
      <c r="K242" s="83">
        <f>K256+K270</f>
        <v>0</v>
      </c>
      <c r="L242" s="23"/>
      <c r="M242" s="20"/>
      <c r="N242" s="23"/>
      <c r="O242" s="83">
        <v>0</v>
      </c>
      <c r="P242" s="21"/>
      <c r="Q242" s="51" t="s">
        <v>51</v>
      </c>
      <c r="R242" s="146">
        <f>(O243+O244)/(K243+K244)-1</f>
        <v>0.08793283746930136</v>
      </c>
      <c r="S242" s="113"/>
      <c r="T242" s="26"/>
      <c r="U242" s="26"/>
      <c r="V242" s="26"/>
      <c r="W242" s="26"/>
      <c r="X242" s="26"/>
      <c r="Y242" s="26"/>
      <c r="Z242" s="26"/>
      <c r="AA242" s="26"/>
    </row>
    <row r="243" spans="1:27" ht="15.75" thickBot="1">
      <c r="A243" s="42" t="s">
        <v>46</v>
      </c>
      <c r="B243" s="21"/>
      <c r="C243" s="118">
        <f t="shared" si="11"/>
        <v>1940252675.183744</v>
      </c>
      <c r="D243" s="23"/>
      <c r="E243" s="118">
        <f t="shared" si="12"/>
        <v>2167936078.694105</v>
      </c>
      <c r="F243" s="23"/>
      <c r="G243" s="110"/>
      <c r="H243" s="23"/>
      <c r="I243" s="111">
        <f>SUM(I234:I242)</f>
        <v>119606108.990725</v>
      </c>
      <c r="J243" s="23"/>
      <c r="K243" s="111">
        <f>SUM(K234:K242)</f>
        <v>133082816</v>
      </c>
      <c r="L243" s="23"/>
      <c r="M243" s="110"/>
      <c r="N243" s="23"/>
      <c r="O243" s="111">
        <f>SUM(O234:O242)</f>
        <v>151088507</v>
      </c>
      <c r="P243" s="21"/>
      <c r="Q243" s="23"/>
      <c r="R243" s="150"/>
      <c r="S243" s="151"/>
      <c r="T243" s="26"/>
      <c r="U243" s="26"/>
      <c r="V243" s="26"/>
      <c r="W243" s="26"/>
      <c r="X243" s="26"/>
      <c r="Y243" s="26"/>
      <c r="Z243" s="26"/>
      <c r="AA243" s="26"/>
    </row>
    <row r="244" spans="1:27" ht="15.75" thickTop="1">
      <c r="A244" s="42" t="s">
        <v>48</v>
      </c>
      <c r="B244" s="21"/>
      <c r="C244" s="40"/>
      <c r="D244" s="23"/>
      <c r="E244" s="40"/>
      <c r="F244" s="23"/>
      <c r="G244" s="92"/>
      <c r="H244" s="93"/>
      <c r="I244" s="83">
        <v>5793869.9464</v>
      </c>
      <c r="J244" s="23"/>
      <c r="K244" s="83">
        <f>I244</f>
        <v>5793869.9464</v>
      </c>
      <c r="L244" s="23"/>
      <c r="M244" s="37"/>
      <c r="N244" s="93"/>
      <c r="O244" s="83">
        <v>0</v>
      </c>
      <c r="P244" s="29"/>
      <c r="Q244" s="23"/>
      <c r="R244" s="150"/>
      <c r="S244" s="152"/>
      <c r="T244" s="29"/>
      <c r="U244" s="26"/>
      <c r="V244" s="26"/>
      <c r="W244" s="26"/>
      <c r="X244" s="26"/>
      <c r="Y244" s="26"/>
      <c r="Z244" s="26"/>
      <c r="AA244" s="26"/>
    </row>
    <row r="245" spans="1:27" ht="15">
      <c r="A245" s="42" t="s">
        <v>49</v>
      </c>
      <c r="B245" s="21"/>
      <c r="C245" s="40"/>
      <c r="D245" s="23"/>
      <c r="E245" s="40"/>
      <c r="F245" s="23"/>
      <c r="G245" s="92">
        <f>M245</f>
        <v>0.037</v>
      </c>
      <c r="H245" s="93"/>
      <c r="I245" s="83">
        <f>ROUND(SUM(I235:I241,I244)*$G245,0)</f>
        <v>4617909</v>
      </c>
      <c r="J245" s="23"/>
      <c r="K245" s="83">
        <f>ROUND(SUM(K235:K241,K244)*$G245,0)</f>
        <v>5131238</v>
      </c>
      <c r="L245" s="23"/>
      <c r="M245" s="37">
        <v>0.037</v>
      </c>
      <c r="N245" s="93"/>
      <c r="O245" s="83">
        <f>ROUND(SUM(O235:O241,O244)*M245,0)</f>
        <v>5582289</v>
      </c>
      <c r="P245" s="29"/>
      <c r="Q245" s="21"/>
      <c r="R245" s="26"/>
      <c r="S245" s="113"/>
      <c r="T245" s="29"/>
      <c r="U245" s="26"/>
      <c r="V245" s="26"/>
      <c r="W245" s="26"/>
      <c r="X245" s="26"/>
      <c r="Y245" s="26"/>
      <c r="Z245" s="26"/>
      <c r="AA245" s="26"/>
    </row>
    <row r="246" spans="1:27" ht="15">
      <c r="A246" s="20"/>
      <c r="B246" s="21"/>
      <c r="C246" s="21"/>
      <c r="D246" s="23"/>
      <c r="E246" s="21"/>
      <c r="F246" s="23"/>
      <c r="G246" s="20"/>
      <c r="H246" s="23"/>
      <c r="I246" s="21"/>
      <c r="J246" s="23"/>
      <c r="K246" s="21"/>
      <c r="L246" s="23"/>
      <c r="M246" s="21"/>
      <c r="N246" s="23"/>
      <c r="O246" s="21"/>
      <c r="P246" s="29"/>
      <c r="Q246" s="21"/>
      <c r="R246" s="26"/>
      <c r="S246" s="113"/>
      <c r="T246" s="29"/>
      <c r="U246" s="40"/>
      <c r="V246" s="26"/>
      <c r="W246" s="26"/>
      <c r="X246" s="26"/>
      <c r="Y246" s="26"/>
      <c r="Z246" s="26"/>
      <c r="AA246" s="26"/>
    </row>
    <row r="247" spans="1:27" ht="15">
      <c r="A247" s="38" t="s">
        <v>97</v>
      </c>
      <c r="B247" s="21"/>
      <c r="C247" s="21"/>
      <c r="D247" s="23"/>
      <c r="E247" s="21"/>
      <c r="F247" s="23"/>
      <c r="G247" s="20"/>
      <c r="H247" s="23"/>
      <c r="I247" s="21"/>
      <c r="J247" s="23"/>
      <c r="K247" s="21"/>
      <c r="L247" s="23"/>
      <c r="M247" s="21"/>
      <c r="N247" s="23"/>
      <c r="O247" s="21"/>
      <c r="P247" s="29"/>
      <c r="Q247" s="21"/>
      <c r="R247" s="26"/>
      <c r="S247" s="113"/>
      <c r="T247" s="29"/>
      <c r="U247" s="40"/>
      <c r="V247" s="26"/>
      <c r="W247" s="26"/>
      <c r="X247" s="26"/>
      <c r="Y247" s="26"/>
      <c r="Z247" s="26"/>
      <c r="AA247" s="26"/>
    </row>
    <row r="248" spans="1:27" ht="15">
      <c r="A248" s="42" t="s">
        <v>16</v>
      </c>
      <c r="B248" s="21"/>
      <c r="C248" s="43">
        <v>1809.6983299663314</v>
      </c>
      <c r="D248" s="23"/>
      <c r="E248" s="40">
        <v>2070</v>
      </c>
      <c r="F248" s="23"/>
      <c r="G248" s="69">
        <v>55</v>
      </c>
      <c r="H248" s="68"/>
      <c r="I248" s="29">
        <f>ROUND($G248*C248,0)</f>
        <v>99533</v>
      </c>
      <c r="J248" s="23"/>
      <c r="K248" s="29">
        <f>ROUND($G248*E248,0)</f>
        <v>113850</v>
      </c>
      <c r="L248" s="23"/>
      <c r="M248" s="122">
        <f aca="true" t="shared" si="13" ref="M248:M255">M234</f>
        <v>61</v>
      </c>
      <c r="N248" s="68"/>
      <c r="O248" s="29">
        <f>ROUND(M248*$E248,0)</f>
        <v>126270</v>
      </c>
      <c r="P248" s="29"/>
      <c r="Q248" s="97"/>
      <c r="R248" s="46"/>
      <c r="S248" s="26"/>
      <c r="T248" s="29"/>
      <c r="U248" s="40"/>
      <c r="V248" s="26"/>
      <c r="W248" s="26"/>
      <c r="X248" s="26"/>
      <c r="Y248" s="26"/>
      <c r="Z248" s="26"/>
      <c r="AA248" s="26"/>
    </row>
    <row r="249" spans="1:27" ht="15">
      <c r="A249" s="42" t="s">
        <v>93</v>
      </c>
      <c r="B249" s="21"/>
      <c r="C249" s="43">
        <v>2184575.1873967242</v>
      </c>
      <c r="D249" s="23"/>
      <c r="E249" s="40">
        <f>ROUND(C249*$E$257/$C$257,0)</f>
        <v>2645012</v>
      </c>
      <c r="F249" s="23"/>
      <c r="G249" s="69">
        <v>3.77</v>
      </c>
      <c r="H249" s="68"/>
      <c r="I249" s="29">
        <f>ROUND($G249*C249,0)</f>
        <v>8235848</v>
      </c>
      <c r="J249" s="23"/>
      <c r="K249" s="29">
        <f>ROUND($G249*E249,0)</f>
        <v>9971695</v>
      </c>
      <c r="L249" s="23"/>
      <c r="M249" s="122">
        <f t="shared" si="13"/>
        <v>4.28</v>
      </c>
      <c r="N249" s="68"/>
      <c r="O249" s="29">
        <f>ROUND(M249*$E249,0)</f>
        <v>11320651</v>
      </c>
      <c r="P249" s="29"/>
      <c r="Q249" s="97"/>
      <c r="R249" s="46"/>
      <c r="S249" s="26"/>
      <c r="T249" s="29"/>
      <c r="U249" s="40"/>
      <c r="V249" s="26"/>
      <c r="W249" s="26"/>
      <c r="X249" s="26"/>
      <c r="Y249" s="26"/>
      <c r="Z249" s="26"/>
      <c r="AA249" s="26"/>
    </row>
    <row r="250" spans="1:27" ht="15">
      <c r="A250" s="42" t="s">
        <v>94</v>
      </c>
      <c r="B250" s="21"/>
      <c r="C250" s="43">
        <v>931962.6356088917</v>
      </c>
      <c r="D250" s="23"/>
      <c r="E250" s="40">
        <f>ROUND(C250*$E$257/$C$257,0)</f>
        <v>1128390</v>
      </c>
      <c r="F250" s="23"/>
      <c r="G250" s="69">
        <v>12.33</v>
      </c>
      <c r="H250" s="68"/>
      <c r="I250" s="29">
        <f>ROUND($G250*C250,0)</f>
        <v>11491099</v>
      </c>
      <c r="J250" s="23"/>
      <c r="K250" s="29">
        <f>ROUND($G250*E250,0)</f>
        <v>13913049</v>
      </c>
      <c r="L250" s="23"/>
      <c r="M250" s="122">
        <f t="shared" si="13"/>
        <v>14</v>
      </c>
      <c r="N250" s="68"/>
      <c r="O250" s="29">
        <f>ROUND(M250*$E250,0)</f>
        <v>15797460</v>
      </c>
      <c r="P250" s="29"/>
      <c r="Q250" s="97"/>
      <c r="R250" s="26"/>
      <c r="S250" s="26"/>
      <c r="T250" s="26"/>
      <c r="U250" s="40"/>
      <c r="V250" s="26"/>
      <c r="W250" s="26"/>
      <c r="X250" s="26"/>
      <c r="Y250" s="26"/>
      <c r="Z250" s="26"/>
      <c r="AA250" s="26"/>
    </row>
    <row r="251" spans="1:27" ht="15">
      <c r="A251" s="42" t="s">
        <v>95</v>
      </c>
      <c r="B251" s="21"/>
      <c r="C251" s="43">
        <v>1202760.4149425284</v>
      </c>
      <c r="D251" s="23"/>
      <c r="E251" s="40">
        <f>ROUND(C251*$E$257/$C$257,0)</f>
        <v>1456263</v>
      </c>
      <c r="F251" s="23"/>
      <c r="G251" s="69">
        <v>8.88</v>
      </c>
      <c r="H251" s="68"/>
      <c r="I251" s="29">
        <f>ROUND($G251*C251,0)</f>
        <v>10680512</v>
      </c>
      <c r="J251" s="23"/>
      <c r="K251" s="29">
        <f>ROUND($G251*E251,0)</f>
        <v>12931615</v>
      </c>
      <c r="L251" s="23"/>
      <c r="M251" s="122">
        <f t="shared" si="13"/>
        <v>10.08</v>
      </c>
      <c r="N251" s="68"/>
      <c r="O251" s="29">
        <f>ROUND(M251*$E251,0)</f>
        <v>14679131</v>
      </c>
      <c r="P251" s="29"/>
      <c r="Q251" s="21"/>
      <c r="R251" s="124"/>
      <c r="S251" s="145"/>
      <c r="T251" s="26"/>
      <c r="U251" s="40"/>
      <c r="V251" s="26"/>
      <c r="W251" s="26"/>
      <c r="X251" s="26"/>
      <c r="Y251" s="26"/>
      <c r="Z251" s="26"/>
      <c r="AA251" s="26"/>
    </row>
    <row r="252" spans="1:27" ht="15">
      <c r="A252" s="42" t="s">
        <v>60</v>
      </c>
      <c r="B252" s="21"/>
      <c r="C252" s="43">
        <v>818370.001196795</v>
      </c>
      <c r="D252" s="23"/>
      <c r="E252" s="40">
        <f>ROUND(C252*$E$257/$C$257,0)</f>
        <v>990855</v>
      </c>
      <c r="F252" s="23"/>
      <c r="G252" s="69">
        <v>-0.9</v>
      </c>
      <c r="H252" s="68"/>
      <c r="I252" s="29">
        <f>ROUND($G252*C252,0)</f>
        <v>-736533</v>
      </c>
      <c r="J252" s="23"/>
      <c r="K252" s="29">
        <f>ROUND($G252*E252,0)</f>
        <v>-891770</v>
      </c>
      <c r="L252" s="23"/>
      <c r="M252" s="122">
        <f t="shared" si="13"/>
        <v>-1.02</v>
      </c>
      <c r="N252" s="68"/>
      <c r="O252" s="29">
        <f>ROUND(M252*$E252,0)</f>
        <v>-1010672</v>
      </c>
      <c r="P252" s="73"/>
      <c r="Q252" s="21"/>
      <c r="R252" s="124"/>
      <c r="S252" s="26"/>
      <c r="T252" s="26"/>
      <c r="U252" s="26"/>
      <c r="V252" s="26"/>
      <c r="W252" s="26"/>
      <c r="X252" s="26"/>
      <c r="Y252" s="26"/>
      <c r="Z252" s="26"/>
      <c r="AA252" s="26"/>
    </row>
    <row r="253" spans="1:27" ht="15">
      <c r="A253" s="42" t="s">
        <v>53</v>
      </c>
      <c r="B253" s="21"/>
      <c r="C253" s="43">
        <v>118892701</v>
      </c>
      <c r="D253" s="23"/>
      <c r="E253" s="40">
        <f>ROUND(C253*($E$257-$E$256)/($C$257-$C$256),0)</f>
        <v>144373013</v>
      </c>
      <c r="F253" s="23"/>
      <c r="G253" s="120">
        <v>4.0021</v>
      </c>
      <c r="H253" s="50" t="s">
        <v>20</v>
      </c>
      <c r="I253" s="29">
        <f>ROUND($G253*C253/100,0)</f>
        <v>4758205</v>
      </c>
      <c r="J253" s="23"/>
      <c r="K253" s="29">
        <f>ROUND($G253*E253/100,0)</f>
        <v>5777952</v>
      </c>
      <c r="L253" s="23"/>
      <c r="M253" s="121">
        <f t="shared" si="13"/>
        <v>4.5437</v>
      </c>
      <c r="N253" s="50" t="s">
        <v>20</v>
      </c>
      <c r="O253" s="29">
        <f>ROUND(M253*$E253/100,0)</f>
        <v>6559877</v>
      </c>
      <c r="P253" s="73"/>
      <c r="Q253" s="21"/>
      <c r="R253" s="124"/>
      <c r="S253" s="26"/>
      <c r="T253" s="145"/>
      <c r="U253" s="26"/>
      <c r="V253" s="26"/>
      <c r="W253" s="26"/>
      <c r="X253" s="26"/>
      <c r="Y253" s="26"/>
      <c r="Z253" s="26"/>
      <c r="AA253" s="26"/>
    </row>
    <row r="254" spans="1:27" ht="15">
      <c r="A254" s="42" t="s">
        <v>85</v>
      </c>
      <c r="B254" s="21"/>
      <c r="C254" s="43">
        <v>277980185</v>
      </c>
      <c r="D254" s="23"/>
      <c r="E254" s="40">
        <f>ROUND(C254*($E$257-$E$256)/($C$257-$C$256),0)</f>
        <v>337555093</v>
      </c>
      <c r="F254" s="23"/>
      <c r="G254" s="120">
        <v>3.1328</v>
      </c>
      <c r="H254" s="50" t="s">
        <v>20</v>
      </c>
      <c r="I254" s="29">
        <f>ROUND($G254*C254/100,0)</f>
        <v>8708563</v>
      </c>
      <c r="J254" s="23"/>
      <c r="K254" s="29">
        <f>ROUND($G254*E254/100,0)</f>
        <v>10574926</v>
      </c>
      <c r="L254" s="23"/>
      <c r="M254" s="121">
        <f t="shared" si="13"/>
        <v>3.5568</v>
      </c>
      <c r="N254" s="50" t="s">
        <v>20</v>
      </c>
      <c r="O254" s="29">
        <f>ROUND(M254*$E254/100,0)</f>
        <v>12006160</v>
      </c>
      <c r="P254" s="73"/>
      <c r="Q254" s="21"/>
      <c r="R254" s="26"/>
      <c r="S254" s="26"/>
      <c r="T254" s="26"/>
      <c r="U254" s="26"/>
      <c r="V254" s="26"/>
      <c r="W254" s="26"/>
      <c r="X254" s="26"/>
      <c r="Y254" s="26"/>
      <c r="Z254" s="26"/>
      <c r="AA254" s="26"/>
    </row>
    <row r="255" spans="1:27" ht="15">
      <c r="A255" s="42" t="s">
        <v>96</v>
      </c>
      <c r="B255" s="21"/>
      <c r="C255" s="43">
        <v>587651324.1837438</v>
      </c>
      <c r="D255" s="23"/>
      <c r="E255" s="40">
        <f>E257-E253-E254</f>
        <v>713592941</v>
      </c>
      <c r="F255" s="23"/>
      <c r="G255" s="120">
        <v>2.6987</v>
      </c>
      <c r="H255" s="50" t="s">
        <v>20</v>
      </c>
      <c r="I255" s="29">
        <f>ROUND($G255*C255/100,0)</f>
        <v>15858946</v>
      </c>
      <c r="J255" s="23"/>
      <c r="K255" s="29">
        <f>ROUND($G255*E255/100,0)</f>
        <v>19257733</v>
      </c>
      <c r="L255" s="23"/>
      <c r="M255" s="121">
        <f t="shared" si="13"/>
        <v>3.0639</v>
      </c>
      <c r="N255" s="50" t="s">
        <v>20</v>
      </c>
      <c r="O255" s="29">
        <f>ROUND(M255*$E255/100,0)</f>
        <v>21863774</v>
      </c>
      <c r="P255" s="73"/>
      <c r="Q255" s="21" t="s">
        <v>29</v>
      </c>
      <c r="R255" s="104">
        <f>O257/K257-1</f>
        <v>0.13529280569665603</v>
      </c>
      <c r="S255" s="26"/>
      <c r="T255" s="26"/>
      <c r="U255" s="145"/>
      <c r="V255" s="26"/>
      <c r="W255" s="26"/>
      <c r="X255" s="26"/>
      <c r="Y255" s="26"/>
      <c r="Z255" s="26"/>
      <c r="AA255" s="26"/>
    </row>
    <row r="256" spans="1:27" ht="15">
      <c r="A256" s="42" t="s">
        <v>44</v>
      </c>
      <c r="B256" s="21"/>
      <c r="C256" s="82">
        <v>2883747</v>
      </c>
      <c r="D256" s="23"/>
      <c r="E256" s="133">
        <v>0</v>
      </c>
      <c r="F256" s="23"/>
      <c r="G256" s="20"/>
      <c r="H256" s="23"/>
      <c r="I256" s="84">
        <v>281678</v>
      </c>
      <c r="J256" s="23"/>
      <c r="K256" s="84">
        <v>0</v>
      </c>
      <c r="L256" s="23"/>
      <c r="M256" s="21"/>
      <c r="N256" s="23"/>
      <c r="O256" s="84">
        <v>0</v>
      </c>
      <c r="P256" s="21"/>
      <c r="Q256" s="21" t="s">
        <v>51</v>
      </c>
      <c r="R256" s="117">
        <f>(O257+O258)/(K257+K258)-1</f>
        <v>0.09147571294764667</v>
      </c>
      <c r="S256" s="26"/>
      <c r="T256" s="26"/>
      <c r="U256" s="26"/>
      <c r="V256" s="26"/>
      <c r="W256" s="26"/>
      <c r="X256" s="26"/>
      <c r="Y256" s="26"/>
      <c r="Z256" s="26"/>
      <c r="AA256" s="26"/>
    </row>
    <row r="257" spans="1:27" ht="15.75" thickBot="1">
      <c r="A257" s="42" t="s">
        <v>46</v>
      </c>
      <c r="B257" s="21"/>
      <c r="C257" s="118">
        <f>SUM(C253:C256)</f>
        <v>987407957.1837438</v>
      </c>
      <c r="D257" s="23"/>
      <c r="E257" s="118">
        <v>1195521047</v>
      </c>
      <c r="F257" s="23"/>
      <c r="G257" s="110"/>
      <c r="H257" s="23"/>
      <c r="I257" s="111">
        <f>SUM(I248:I256)</f>
        <v>59377851</v>
      </c>
      <c r="J257" s="23"/>
      <c r="K257" s="111">
        <f>SUM(K248:K256)</f>
        <v>71649050</v>
      </c>
      <c r="L257" s="23"/>
      <c r="M257" s="112"/>
      <c r="N257" s="23"/>
      <c r="O257" s="111">
        <f>SUM(O248:O256)</f>
        <v>81342651</v>
      </c>
      <c r="P257" s="21"/>
      <c r="Q257" s="21"/>
      <c r="R257" s="145"/>
      <c r="S257" s="26"/>
      <c r="T257" s="26"/>
      <c r="U257" s="26"/>
      <c r="V257" s="26"/>
      <c r="W257" s="26"/>
      <c r="X257" s="26"/>
      <c r="Y257" s="26"/>
      <c r="Z257" s="26"/>
      <c r="AA257" s="26"/>
    </row>
    <row r="258" spans="1:27" ht="15.75" thickTop="1">
      <c r="A258" s="42" t="s">
        <v>48</v>
      </c>
      <c r="B258" s="21"/>
      <c r="C258" s="40"/>
      <c r="D258" s="23"/>
      <c r="E258" s="40"/>
      <c r="F258" s="23"/>
      <c r="G258" s="92"/>
      <c r="H258" s="93"/>
      <c r="I258" s="83">
        <f>ROUND(I244*I257/I243,0)</f>
        <v>2876338</v>
      </c>
      <c r="J258" s="23"/>
      <c r="K258" s="83">
        <f>I258</f>
        <v>2876338</v>
      </c>
      <c r="L258" s="23"/>
      <c r="M258" s="37"/>
      <c r="N258" s="93"/>
      <c r="O258" s="83">
        <v>0</v>
      </c>
      <c r="P258" s="29"/>
      <c r="Q258" s="21"/>
      <c r="R258" s="26"/>
      <c r="S258" s="26"/>
      <c r="T258" s="26"/>
      <c r="U258" s="26"/>
      <c r="V258" s="26"/>
      <c r="W258" s="26"/>
      <c r="X258" s="26"/>
      <c r="Y258" s="26"/>
      <c r="Z258" s="26"/>
      <c r="AA258" s="26"/>
    </row>
    <row r="259" spans="1:27" ht="15">
      <c r="A259" s="42" t="s">
        <v>49</v>
      </c>
      <c r="B259" s="21"/>
      <c r="C259" s="40"/>
      <c r="D259" s="23"/>
      <c r="E259" s="40"/>
      <c r="F259" s="23"/>
      <c r="G259" s="92">
        <f>M259</f>
        <v>0.037</v>
      </c>
      <c r="H259" s="114"/>
      <c r="I259" s="83">
        <f>ROUND(SUM(I249:I255,I258)*$G259,0)</f>
        <v>2289300</v>
      </c>
      <c r="J259" s="23"/>
      <c r="K259" s="83">
        <f>ROUND(SUM(K249:K255,K258)*$G259,0)</f>
        <v>2753227</v>
      </c>
      <c r="L259" s="23"/>
      <c r="M259" s="115">
        <f>M245</f>
        <v>0.037</v>
      </c>
      <c r="N259" s="114"/>
      <c r="O259" s="83">
        <f>ROUND(SUM(O249:O255,O258)*M259,0)</f>
        <v>3005006</v>
      </c>
      <c r="P259" s="29"/>
      <c r="Q259" s="21"/>
      <c r="R259" s="26"/>
      <c r="S259" s="26"/>
      <c r="T259" s="26"/>
      <c r="U259" s="26"/>
      <c r="V259" s="26"/>
      <c r="W259" s="26"/>
      <c r="X259" s="26"/>
      <c r="Y259" s="26"/>
      <c r="Z259" s="26"/>
      <c r="AA259" s="26"/>
    </row>
    <row r="260" spans="1:27" ht="15">
      <c r="A260" s="20"/>
      <c r="B260" s="21"/>
      <c r="C260" s="21"/>
      <c r="D260" s="23"/>
      <c r="E260" s="21"/>
      <c r="F260" s="23"/>
      <c r="G260" s="20"/>
      <c r="H260" s="23"/>
      <c r="I260" s="21"/>
      <c r="J260" s="23"/>
      <c r="K260" s="21"/>
      <c r="L260" s="23"/>
      <c r="M260" s="21"/>
      <c r="N260" s="23"/>
      <c r="O260" s="21"/>
      <c r="P260" s="29"/>
      <c r="Q260" s="21"/>
      <c r="R260" s="26"/>
      <c r="S260" s="26"/>
      <c r="T260" s="26"/>
      <c r="U260" s="26"/>
      <c r="V260" s="26"/>
      <c r="W260" s="26"/>
      <c r="X260" s="26"/>
      <c r="Y260" s="26"/>
      <c r="Z260" s="26"/>
      <c r="AA260" s="26"/>
    </row>
    <row r="261" spans="1:27" ht="15">
      <c r="A261" s="38" t="s">
        <v>98</v>
      </c>
      <c r="B261" s="21"/>
      <c r="C261" s="21"/>
      <c r="D261" s="23"/>
      <c r="E261" s="21"/>
      <c r="F261" s="23"/>
      <c r="G261" s="20"/>
      <c r="H261" s="23"/>
      <c r="I261" s="21"/>
      <c r="J261" s="23"/>
      <c r="K261" s="21"/>
      <c r="L261" s="23"/>
      <c r="M261" s="21"/>
      <c r="N261" s="23"/>
      <c r="O261" s="21"/>
      <c r="P261" s="29"/>
      <c r="Q261" s="21"/>
      <c r="R261" s="26"/>
      <c r="S261" s="26"/>
      <c r="T261" s="26"/>
      <c r="U261" s="26"/>
      <c r="V261" s="26"/>
      <c r="W261" s="26"/>
      <c r="X261" s="26"/>
      <c r="Y261" s="26"/>
      <c r="Z261" s="26"/>
      <c r="AA261" s="26"/>
    </row>
    <row r="262" spans="1:27" ht="15">
      <c r="A262" s="42" t="s">
        <v>16</v>
      </c>
      <c r="B262" s="21"/>
      <c r="C262" s="43">
        <v>1452.4974195286227</v>
      </c>
      <c r="D262" s="23"/>
      <c r="E262" s="40">
        <v>1468</v>
      </c>
      <c r="F262" s="23"/>
      <c r="G262" s="69">
        <v>55</v>
      </c>
      <c r="H262" s="68"/>
      <c r="I262" s="29">
        <f>ROUND($G262*C262,0)</f>
        <v>79887</v>
      </c>
      <c r="J262" s="23"/>
      <c r="K262" s="29">
        <f>ROUND($G262*E262,0)</f>
        <v>80740</v>
      </c>
      <c r="L262" s="23"/>
      <c r="M262" s="122">
        <f aca="true" t="shared" si="14" ref="M262:M269">M248</f>
        <v>61</v>
      </c>
      <c r="N262" s="68"/>
      <c r="O262" s="29">
        <f>ROUND(M262*$E262,0)</f>
        <v>89548</v>
      </c>
      <c r="P262" s="29"/>
      <c r="Q262" s="21"/>
      <c r="R262" s="26"/>
      <c r="S262" s="26"/>
      <c r="T262" s="26"/>
      <c r="U262" s="26"/>
      <c r="V262" s="26"/>
      <c r="W262" s="26"/>
      <c r="X262" s="26"/>
      <c r="Y262" s="26"/>
      <c r="Z262" s="26"/>
      <c r="AA262" s="26"/>
    </row>
    <row r="263" spans="1:27" ht="15">
      <c r="A263" s="42" t="s">
        <v>93</v>
      </c>
      <c r="B263" s="21"/>
      <c r="C263" s="43">
        <v>2352989.6830192576</v>
      </c>
      <c r="D263" s="23"/>
      <c r="E263" s="40">
        <f>ROUND(C263*$E$271/$C$271,0)</f>
        <v>2401317</v>
      </c>
      <c r="F263" s="23"/>
      <c r="G263" s="69">
        <v>3.77</v>
      </c>
      <c r="H263" s="68"/>
      <c r="I263" s="29">
        <f>ROUND($G263*C263,0)</f>
        <v>8870771</v>
      </c>
      <c r="J263" s="23"/>
      <c r="K263" s="29">
        <f>ROUND($G263*E263,0)</f>
        <v>9052965</v>
      </c>
      <c r="L263" s="23"/>
      <c r="M263" s="122">
        <f t="shared" si="14"/>
        <v>4.28</v>
      </c>
      <c r="N263" s="68"/>
      <c r="O263" s="29">
        <f>ROUND(M263*$E263,0)</f>
        <v>10277637</v>
      </c>
      <c r="P263" s="29"/>
      <c r="Q263" s="21"/>
      <c r="R263" s="26"/>
      <c r="S263" s="26"/>
      <c r="T263" s="26"/>
      <c r="U263" s="26"/>
      <c r="V263" s="26"/>
      <c r="W263" s="26"/>
      <c r="X263" s="26"/>
      <c r="Y263" s="26"/>
      <c r="Z263" s="26"/>
      <c r="AA263" s="26"/>
    </row>
    <row r="264" spans="1:27" ht="15">
      <c r="A264" s="42" t="s">
        <v>94</v>
      </c>
      <c r="B264" s="21"/>
      <c r="C264" s="43">
        <v>966571.1684108534</v>
      </c>
      <c r="D264" s="23"/>
      <c r="E264" s="40">
        <f>ROUND(C264*$E$271/$C$271,0)</f>
        <v>986423</v>
      </c>
      <c r="F264" s="23"/>
      <c r="G264" s="69">
        <v>12.33</v>
      </c>
      <c r="H264" s="68"/>
      <c r="I264" s="29">
        <f>ROUND($G264*C264,0)</f>
        <v>11917823</v>
      </c>
      <c r="J264" s="23"/>
      <c r="K264" s="29">
        <f>ROUND($G264*E264,0)</f>
        <v>12162596</v>
      </c>
      <c r="L264" s="23"/>
      <c r="M264" s="122">
        <f t="shared" si="14"/>
        <v>14</v>
      </c>
      <c r="N264" s="68"/>
      <c r="O264" s="29">
        <f>ROUND(M264*$E264,0)</f>
        <v>13809922</v>
      </c>
      <c r="P264" s="29"/>
      <c r="Q264" s="21"/>
      <c r="R264" s="26"/>
      <c r="S264" s="26"/>
      <c r="T264" s="26"/>
      <c r="U264" s="26"/>
      <c r="V264" s="26"/>
      <c r="W264" s="26"/>
      <c r="X264" s="26"/>
      <c r="Y264" s="26"/>
      <c r="Z264" s="26"/>
      <c r="AA264" s="26"/>
    </row>
    <row r="265" spans="1:27" ht="15">
      <c r="A265" s="42" t="s">
        <v>95</v>
      </c>
      <c r="B265" s="21"/>
      <c r="C265" s="43">
        <v>1322416.626436779</v>
      </c>
      <c r="D265" s="23"/>
      <c r="E265" s="40">
        <f>ROUND(C265*$E$271/$C$271,0)</f>
        <v>1349578</v>
      </c>
      <c r="F265" s="23"/>
      <c r="G265" s="69">
        <v>8.88</v>
      </c>
      <c r="H265" s="68"/>
      <c r="I265" s="29">
        <f>ROUND($G265*C265,0)</f>
        <v>11743060</v>
      </c>
      <c r="J265" s="23"/>
      <c r="K265" s="29">
        <f>ROUND($G265*E265,0)</f>
        <v>11984253</v>
      </c>
      <c r="L265" s="23"/>
      <c r="M265" s="122">
        <f t="shared" si="14"/>
        <v>10.08</v>
      </c>
      <c r="N265" s="68"/>
      <c r="O265" s="29">
        <f>ROUND(M265*$E265,0)</f>
        <v>13603746</v>
      </c>
      <c r="P265" s="29"/>
      <c r="Q265" s="21"/>
      <c r="R265" s="26"/>
      <c r="S265" s="145"/>
      <c r="T265" s="26"/>
      <c r="U265" s="26"/>
      <c r="V265" s="26"/>
      <c r="W265" s="26"/>
      <c r="X265" s="26"/>
      <c r="Y265" s="26"/>
      <c r="Z265" s="26"/>
      <c r="AA265" s="26"/>
    </row>
    <row r="266" spans="1:27" ht="15">
      <c r="A266" s="42" t="s">
        <v>60</v>
      </c>
      <c r="B266" s="21"/>
      <c r="C266" s="43">
        <v>979266.2894490062</v>
      </c>
      <c r="D266" s="23"/>
      <c r="E266" s="40">
        <f>ROUND(C266*$E$271/$C$271,0)</f>
        <v>999379</v>
      </c>
      <c r="F266" s="23"/>
      <c r="G266" s="69">
        <v>-0.9</v>
      </c>
      <c r="H266" s="68"/>
      <c r="I266" s="29">
        <f>ROUND($G266*C266,0)</f>
        <v>-881340</v>
      </c>
      <c r="J266" s="23"/>
      <c r="K266" s="29">
        <f>ROUND($G266*E266,0)</f>
        <v>-899441</v>
      </c>
      <c r="L266" s="23"/>
      <c r="M266" s="122">
        <f t="shared" si="14"/>
        <v>-1.02</v>
      </c>
      <c r="N266" s="68"/>
      <c r="O266" s="29">
        <f>ROUND(M266*$E266,0)</f>
        <v>-1019367</v>
      </c>
      <c r="P266" s="73"/>
      <c r="Q266" s="21"/>
      <c r="R266" s="26"/>
      <c r="S266" s="145"/>
      <c r="T266" s="26"/>
      <c r="U266" s="26"/>
      <c r="V266" s="26"/>
      <c r="W266" s="26"/>
      <c r="X266" s="26"/>
      <c r="Y266" s="26"/>
      <c r="Z266" s="26"/>
      <c r="AA266" s="26"/>
    </row>
    <row r="267" spans="1:27" ht="15">
      <c r="A267" s="42" t="s">
        <v>53</v>
      </c>
      <c r="B267" s="21"/>
      <c r="C267" s="43">
        <v>116167407</v>
      </c>
      <c r="D267" s="23"/>
      <c r="E267" s="40">
        <f>ROUND(C267*($E$271-$E$270)/($C$271-$C$270),0)</f>
        <v>118973075</v>
      </c>
      <c r="F267" s="23"/>
      <c r="G267" s="120">
        <v>4.0021</v>
      </c>
      <c r="H267" s="50" t="s">
        <v>20</v>
      </c>
      <c r="I267" s="29">
        <f>ROUND($G267*C267/100,0)</f>
        <v>4649136</v>
      </c>
      <c r="J267" s="23"/>
      <c r="K267" s="29">
        <f>ROUND($G267*E267/100,0)</f>
        <v>4761421</v>
      </c>
      <c r="L267" s="23"/>
      <c r="M267" s="121">
        <f t="shared" si="14"/>
        <v>4.5437</v>
      </c>
      <c r="N267" s="50" t="s">
        <v>20</v>
      </c>
      <c r="O267" s="29">
        <f>ROUND(M267*$E267/100,0)</f>
        <v>5405780</v>
      </c>
      <c r="P267" s="73"/>
      <c r="Q267" s="21"/>
      <c r="R267" s="26"/>
      <c r="S267" s="26"/>
      <c r="T267" s="145"/>
      <c r="U267" s="26"/>
      <c r="V267" s="26"/>
      <c r="W267" s="26"/>
      <c r="X267" s="26"/>
      <c r="Y267" s="26"/>
      <c r="Z267" s="26"/>
      <c r="AA267" s="26"/>
    </row>
    <row r="268" spans="1:27" ht="15">
      <c r="A268" s="42" t="s">
        <v>85</v>
      </c>
      <c r="B268" s="21"/>
      <c r="C268" s="43">
        <v>283274604</v>
      </c>
      <c r="D268" s="23"/>
      <c r="E268" s="40">
        <f>ROUND(C268*($E$271-$E$270)/($C$271-$C$270),0)</f>
        <v>290116234</v>
      </c>
      <c r="F268" s="23"/>
      <c r="G268" s="120">
        <v>3.1328</v>
      </c>
      <c r="H268" s="50" t="s">
        <v>20</v>
      </c>
      <c r="I268" s="29">
        <f>ROUND($G268*C268/100,0)</f>
        <v>8874427</v>
      </c>
      <c r="J268" s="23"/>
      <c r="K268" s="29">
        <f>ROUND($G268*E268/100,0)</f>
        <v>9088761</v>
      </c>
      <c r="L268" s="23"/>
      <c r="M268" s="121">
        <f t="shared" si="14"/>
        <v>3.5568</v>
      </c>
      <c r="N268" s="50" t="s">
        <v>20</v>
      </c>
      <c r="O268" s="29">
        <f>ROUND(M268*$E268/100,0)</f>
        <v>10318854</v>
      </c>
      <c r="P268" s="73"/>
      <c r="Q268" s="21"/>
      <c r="R268" s="26"/>
      <c r="S268" s="26"/>
      <c r="T268" s="145"/>
      <c r="U268" s="26"/>
      <c r="V268" s="26"/>
      <c r="W268" s="26"/>
      <c r="X268" s="26"/>
      <c r="Y268" s="26"/>
      <c r="Z268" s="26"/>
      <c r="AA268" s="26"/>
    </row>
    <row r="269" spans="1:27" ht="15">
      <c r="A269" s="42" t="s">
        <v>96</v>
      </c>
      <c r="B269" s="21"/>
      <c r="C269" s="43">
        <v>550041163</v>
      </c>
      <c r="D269" s="23"/>
      <c r="E269" s="40">
        <f>E271-E267-E268</f>
        <v>563325722.6941053</v>
      </c>
      <c r="F269" s="23"/>
      <c r="G269" s="120">
        <v>2.6987</v>
      </c>
      <c r="H269" s="50" t="s">
        <v>20</v>
      </c>
      <c r="I269" s="29">
        <f>ROUND($G269*C269/100,0)</f>
        <v>14843961</v>
      </c>
      <c r="J269" s="23"/>
      <c r="K269" s="29">
        <f>ROUND($G269*E269/100,0)</f>
        <v>15202471</v>
      </c>
      <c r="L269" s="23"/>
      <c r="M269" s="121">
        <f t="shared" si="14"/>
        <v>3.0639</v>
      </c>
      <c r="N269" s="50" t="s">
        <v>20</v>
      </c>
      <c r="O269" s="29">
        <f>ROUND(M269*$E269/100,0)</f>
        <v>17259737</v>
      </c>
      <c r="P269" s="73"/>
      <c r="Q269" s="21" t="s">
        <v>29</v>
      </c>
      <c r="R269" s="104">
        <f>O271/K271-1</f>
        <v>0.13530166781570907</v>
      </c>
      <c r="S269" s="113"/>
      <c r="T269" s="26"/>
      <c r="U269" s="145"/>
      <c r="V269" s="26"/>
      <c r="W269" s="26"/>
      <c r="X269" s="26"/>
      <c r="Y269" s="26"/>
      <c r="Z269" s="26"/>
      <c r="AA269" s="26"/>
    </row>
    <row r="270" spans="1:27" ht="15">
      <c r="A270" s="42" t="s">
        <v>44</v>
      </c>
      <c r="B270" s="21"/>
      <c r="C270" s="82">
        <v>3361544</v>
      </c>
      <c r="D270" s="23"/>
      <c r="E270" s="82">
        <v>0</v>
      </c>
      <c r="F270" s="23"/>
      <c r="G270" s="20"/>
      <c r="H270" s="23"/>
      <c r="I270" s="84">
        <v>130530.99072499992</v>
      </c>
      <c r="J270" s="154"/>
      <c r="K270" s="84">
        <v>0</v>
      </c>
      <c r="L270" s="154"/>
      <c r="M270" s="155"/>
      <c r="N270" s="154"/>
      <c r="O270" s="84">
        <v>0</v>
      </c>
      <c r="P270" s="145"/>
      <c r="Q270" s="21" t="s">
        <v>51</v>
      </c>
      <c r="R270" s="117">
        <f>(O271+O272)/(K271+K272)-1</f>
        <v>0.08382984066760057</v>
      </c>
      <c r="S270" s="113"/>
      <c r="T270" s="26"/>
      <c r="U270" s="145"/>
      <c r="V270" s="145"/>
      <c r="W270" s="145"/>
      <c r="X270" s="145"/>
      <c r="Y270" s="145"/>
      <c r="Z270" s="145"/>
      <c r="AA270" s="145"/>
    </row>
    <row r="271" spans="1:27" ht="15.75" thickBot="1">
      <c r="A271" s="42" t="s">
        <v>46</v>
      </c>
      <c r="B271" s="21"/>
      <c r="C271" s="118">
        <f>SUM(C267:C270)</f>
        <v>952844718</v>
      </c>
      <c r="D271" s="23"/>
      <c r="E271" s="118">
        <v>972415031.6941053</v>
      </c>
      <c r="F271" s="23"/>
      <c r="G271" s="110"/>
      <c r="H271" s="23"/>
      <c r="I271" s="111">
        <f>SUM(I262:I270)</f>
        <v>60228255.990725</v>
      </c>
      <c r="J271" s="23"/>
      <c r="K271" s="111">
        <f>SUM(K262:K270)</f>
        <v>61433766</v>
      </c>
      <c r="L271" s="23"/>
      <c r="M271" s="112"/>
      <c r="N271" s="23"/>
      <c r="O271" s="111">
        <f>SUM(O262:O270)</f>
        <v>69745857</v>
      </c>
      <c r="P271" s="21"/>
      <c r="Q271" s="21"/>
      <c r="R271" s="145"/>
      <c r="S271" s="113"/>
      <c r="T271" s="29"/>
      <c r="U271" s="26"/>
      <c r="V271" s="26"/>
      <c r="W271" s="26"/>
      <c r="X271" s="26"/>
      <c r="Y271" s="26"/>
      <c r="Z271" s="26"/>
      <c r="AA271" s="26"/>
    </row>
    <row r="272" spans="1:27" ht="15.75" thickTop="1">
      <c r="A272" s="42" t="s">
        <v>48</v>
      </c>
      <c r="B272" s="21"/>
      <c r="C272" s="40"/>
      <c r="D272" s="23"/>
      <c r="E272" s="40"/>
      <c r="F272" s="23"/>
      <c r="G272" s="92"/>
      <c r="H272" s="93"/>
      <c r="I272" s="83">
        <f>I244-I258</f>
        <v>2917531.9464</v>
      </c>
      <c r="J272" s="23"/>
      <c r="K272" s="83">
        <f>I272</f>
        <v>2917531.9464</v>
      </c>
      <c r="L272" s="23"/>
      <c r="M272" s="37"/>
      <c r="N272" s="93"/>
      <c r="O272" s="83">
        <v>0</v>
      </c>
      <c r="P272" s="29"/>
      <c r="Q272" s="145"/>
      <c r="R272" s="145"/>
      <c r="S272" s="113"/>
      <c r="T272" s="29"/>
      <c r="U272" s="26"/>
      <c r="V272" s="26"/>
      <c r="W272" s="26"/>
      <c r="X272" s="26"/>
      <c r="Y272" s="26"/>
      <c r="Z272" s="26"/>
      <c r="AA272" s="26"/>
    </row>
    <row r="273" spans="1:27" ht="15">
      <c r="A273" s="42" t="s">
        <v>49</v>
      </c>
      <c r="B273" s="21"/>
      <c r="C273" s="40"/>
      <c r="D273" s="23"/>
      <c r="E273" s="40"/>
      <c r="F273" s="23"/>
      <c r="G273" s="92">
        <f>M273</f>
        <v>0.037</v>
      </c>
      <c r="H273" s="114"/>
      <c r="I273" s="83">
        <f>ROUND(SUM(I263:I269,I272)*$G273,0)</f>
        <v>2328609</v>
      </c>
      <c r="J273" s="23"/>
      <c r="K273" s="83">
        <f>ROUND(SUM(K263:K269,K272)*$G273,0)</f>
        <v>2378011</v>
      </c>
      <c r="L273" s="23"/>
      <c r="M273" s="115">
        <f>M259</f>
        <v>0.037</v>
      </c>
      <c r="N273" s="114"/>
      <c r="O273" s="83">
        <f>ROUND(SUM(O263:O269,O272)*M273,0)</f>
        <v>2577283</v>
      </c>
      <c r="P273" s="29"/>
      <c r="Q273" s="145"/>
      <c r="R273" s="145"/>
      <c r="S273" s="26"/>
      <c r="T273" s="29"/>
      <c r="U273" s="40"/>
      <c r="V273" s="26"/>
      <c r="W273" s="26"/>
      <c r="X273" s="26"/>
      <c r="Y273" s="26"/>
      <c r="Z273" s="26"/>
      <c r="AA273" s="26"/>
    </row>
    <row r="274" spans="1:27" ht="15">
      <c r="A274" s="156"/>
      <c r="B274" s="145"/>
      <c r="C274" s="157"/>
      <c r="D274" s="158"/>
      <c r="E274" s="145"/>
      <c r="F274" s="158"/>
      <c r="G274" s="156"/>
      <c r="H274" s="158"/>
      <c r="I274" s="145"/>
      <c r="J274" s="158"/>
      <c r="K274" s="145"/>
      <c r="L274" s="158"/>
      <c r="M274" s="145"/>
      <c r="N274" s="158"/>
      <c r="O274" s="145"/>
      <c r="P274" s="29"/>
      <c r="Q274" s="145"/>
      <c r="R274" s="145"/>
      <c r="S274" s="26"/>
      <c r="T274" s="29"/>
      <c r="U274" s="40"/>
      <c r="V274" s="26"/>
      <c r="W274" s="26"/>
      <c r="X274" s="26"/>
      <c r="Y274" s="26"/>
      <c r="Z274" s="26"/>
      <c r="AA274" s="26"/>
    </row>
    <row r="275" spans="1:27" ht="15">
      <c r="A275" s="38" t="s">
        <v>99</v>
      </c>
      <c r="B275" s="21"/>
      <c r="C275" s="40"/>
      <c r="D275" s="23"/>
      <c r="E275" s="40"/>
      <c r="F275" s="23"/>
      <c r="G275" s="20"/>
      <c r="H275" s="23"/>
      <c r="I275" s="21"/>
      <c r="J275" s="23"/>
      <c r="K275" s="21"/>
      <c r="L275" s="23"/>
      <c r="M275" s="21"/>
      <c r="N275" s="23"/>
      <c r="O275" s="21"/>
      <c r="P275" s="29"/>
      <c r="Q275" s="21" t="s">
        <v>100</v>
      </c>
      <c r="R275" s="26"/>
      <c r="S275" s="26"/>
      <c r="T275" s="26"/>
      <c r="U275" s="40"/>
      <c r="V275" s="26"/>
      <c r="W275" s="26"/>
      <c r="X275" s="26"/>
      <c r="Y275" s="26"/>
      <c r="Z275" s="26"/>
      <c r="AA275" s="26"/>
    </row>
    <row r="276" spans="1:27" ht="15">
      <c r="A276" s="42" t="s">
        <v>16</v>
      </c>
      <c r="B276" s="21"/>
      <c r="C276" s="40">
        <f aca="true" t="shared" si="15" ref="C276:C282">C289+C315+C302</f>
        <v>1819.23284226937</v>
      </c>
      <c r="D276" s="23"/>
      <c r="E276" s="40">
        <f aca="true" t="shared" si="16" ref="E276:E282">E289+E315+E302</f>
        <v>1812</v>
      </c>
      <c r="F276" s="23"/>
      <c r="G276" s="44">
        <v>200</v>
      </c>
      <c r="H276" s="45"/>
      <c r="I276" s="29">
        <f>ROUND($G276*C276,0)</f>
        <v>363847</v>
      </c>
      <c r="J276" s="23"/>
      <c r="K276" s="29">
        <f>ROUND($G276*E276,0)</f>
        <v>362400</v>
      </c>
      <c r="L276" s="23"/>
      <c r="M276" s="46">
        <v>220</v>
      </c>
      <c r="N276" s="45"/>
      <c r="O276" s="29">
        <f>ROUND(M276*$E276,0)</f>
        <v>398640</v>
      </c>
      <c r="P276" s="29"/>
      <c r="Q276" s="55" t="s">
        <v>23</v>
      </c>
      <c r="R276" s="56">
        <f>O284</f>
        <v>243140219</v>
      </c>
      <c r="S276" s="26"/>
      <c r="T276" s="26"/>
      <c r="U276" s="40"/>
      <c r="V276" s="26"/>
      <c r="W276" s="26"/>
      <c r="X276" s="26"/>
      <c r="Y276" s="26"/>
      <c r="Z276" s="26"/>
      <c r="AA276" s="26"/>
    </row>
    <row r="277" spans="1:27" ht="15">
      <c r="A277" s="42" t="s">
        <v>93</v>
      </c>
      <c r="B277" s="21"/>
      <c r="C277" s="40">
        <f t="shared" si="15"/>
        <v>7776841.037571206</v>
      </c>
      <c r="D277" s="23"/>
      <c r="E277" s="40">
        <f t="shared" si="16"/>
        <v>8460039</v>
      </c>
      <c r="F277" s="23"/>
      <c r="G277" s="44">
        <v>1.71</v>
      </c>
      <c r="H277" s="45"/>
      <c r="I277" s="29">
        <f>ROUND($G277*C277,0)</f>
        <v>13298398</v>
      </c>
      <c r="J277" s="23"/>
      <c r="K277" s="29">
        <f>ROUND($G277*E277,0)</f>
        <v>14466667</v>
      </c>
      <c r="L277" s="23"/>
      <c r="M277" s="44">
        <f>ROUND(G277*(1+$R$281),2)</f>
        <v>2.05</v>
      </c>
      <c r="N277" s="45"/>
      <c r="O277" s="29">
        <f>ROUND(M277*$E277,0)</f>
        <v>17343080</v>
      </c>
      <c r="P277" s="29"/>
      <c r="Q277" s="58" t="s">
        <v>25</v>
      </c>
      <c r="R277" s="59">
        <v>243139142</v>
      </c>
      <c r="S277" s="26"/>
      <c r="T277" s="29"/>
      <c r="U277" s="26"/>
      <c r="V277" s="26"/>
      <c r="W277" s="26"/>
      <c r="X277" s="26"/>
      <c r="Y277" s="26"/>
      <c r="Z277" s="26"/>
      <c r="AA277" s="26"/>
    </row>
    <row r="278" spans="1:27" ht="15">
      <c r="A278" s="42" t="s">
        <v>94</v>
      </c>
      <c r="B278" s="21"/>
      <c r="C278" s="40">
        <f t="shared" si="15"/>
        <v>3262439.7386532873</v>
      </c>
      <c r="D278" s="23"/>
      <c r="E278" s="40">
        <f t="shared" si="16"/>
        <v>3548848</v>
      </c>
      <c r="F278" s="23"/>
      <c r="G278" s="44">
        <v>10.76</v>
      </c>
      <c r="H278" s="45"/>
      <c r="I278" s="29">
        <f>ROUND($G278*C278,0)</f>
        <v>35103852</v>
      </c>
      <c r="J278" s="23"/>
      <c r="K278" s="29">
        <f>ROUND($G278*E278,0)</f>
        <v>38185604</v>
      </c>
      <c r="L278" s="23"/>
      <c r="M278" s="44">
        <f>ROUND(G278*(1+$R$281),2)</f>
        <v>12.87</v>
      </c>
      <c r="N278" s="45"/>
      <c r="O278" s="29">
        <f>ROUND(M278*$E278,0)</f>
        <v>45673674</v>
      </c>
      <c r="P278" s="29"/>
      <c r="Q278" s="63" t="s">
        <v>27</v>
      </c>
      <c r="R278" s="64">
        <f>R277-R276</f>
        <v>-1077</v>
      </c>
      <c r="S278" s="26"/>
      <c r="T278" s="29"/>
      <c r="U278" s="26"/>
      <c r="V278" s="26"/>
      <c r="W278" s="26"/>
      <c r="X278" s="26"/>
      <c r="Y278" s="26"/>
      <c r="Z278" s="26"/>
      <c r="AA278" s="26"/>
    </row>
    <row r="279" spans="1:27" ht="15">
      <c r="A279" s="42" t="s">
        <v>95</v>
      </c>
      <c r="B279" s="21"/>
      <c r="C279" s="40">
        <f t="shared" si="15"/>
        <v>4386198.8695035465</v>
      </c>
      <c r="D279" s="23"/>
      <c r="E279" s="40">
        <f t="shared" si="16"/>
        <v>4771437</v>
      </c>
      <c r="F279" s="23"/>
      <c r="G279" s="44">
        <v>7.3</v>
      </c>
      <c r="H279" s="45"/>
      <c r="I279" s="29">
        <f>ROUND($G279*C279,0)</f>
        <v>32019252</v>
      </c>
      <c r="J279" s="23"/>
      <c r="K279" s="29">
        <f>ROUND($G279*E279,0)</f>
        <v>34831490</v>
      </c>
      <c r="L279" s="23"/>
      <c r="M279" s="44">
        <f>ROUND(G279*(1+$R$281),2)</f>
        <v>8.73</v>
      </c>
      <c r="N279" s="45"/>
      <c r="O279" s="29">
        <f>ROUND(M279*$E279,0)</f>
        <v>41654645</v>
      </c>
      <c r="P279" s="73"/>
      <c r="Q279" s="66" t="s">
        <v>29</v>
      </c>
      <c r="R279" s="131">
        <f>R276/K284-1</f>
        <v>0.1960676916837194</v>
      </c>
      <c r="S279" s="26"/>
      <c r="T279" s="26"/>
      <c r="U279" s="40"/>
      <c r="V279" s="26"/>
      <c r="W279" s="26"/>
      <c r="X279" s="26"/>
      <c r="Y279" s="26"/>
      <c r="Z279" s="26"/>
      <c r="AA279" s="26"/>
    </row>
    <row r="280" spans="1:27" ht="15">
      <c r="A280" s="42" t="s">
        <v>101</v>
      </c>
      <c r="B280" s="21"/>
      <c r="C280" s="40">
        <f t="shared" si="15"/>
        <v>440105177</v>
      </c>
      <c r="D280" s="23"/>
      <c r="E280" s="40">
        <f t="shared" si="16"/>
        <v>480136989</v>
      </c>
      <c r="F280" s="23"/>
      <c r="G280" s="159">
        <v>3.5858</v>
      </c>
      <c r="H280" s="50" t="s">
        <v>20</v>
      </c>
      <c r="I280" s="29">
        <f>ROUND($G280*C280/100,0)</f>
        <v>15781291</v>
      </c>
      <c r="J280" s="23"/>
      <c r="K280" s="29">
        <f>ROUND($G280*E280/100,0)</f>
        <v>17216752</v>
      </c>
      <c r="L280" s="23"/>
      <c r="M280" s="159">
        <f>ROUND(G280*(1+$R$281),4)</f>
        <v>4.2895</v>
      </c>
      <c r="N280" s="50" t="s">
        <v>20</v>
      </c>
      <c r="O280" s="29">
        <f>ROUND(M280*$E280/100,0)</f>
        <v>20595476</v>
      </c>
      <c r="P280" s="73"/>
      <c r="Q280" s="70" t="s">
        <v>31</v>
      </c>
      <c r="R280" s="132">
        <f>R277/K284-1</f>
        <v>0.1960623936507191</v>
      </c>
      <c r="S280" s="26"/>
      <c r="T280" s="29"/>
      <c r="U280" s="78"/>
      <c r="V280" s="26"/>
      <c r="W280" s="26"/>
      <c r="X280" s="26"/>
      <c r="Y280" s="26"/>
      <c r="Z280" s="26"/>
      <c r="AA280" s="26"/>
    </row>
    <row r="281" spans="1:27" ht="15">
      <c r="A281" s="42" t="s">
        <v>102</v>
      </c>
      <c r="B281" s="21"/>
      <c r="C281" s="40">
        <f t="shared" si="15"/>
        <v>1152247695</v>
      </c>
      <c r="D281" s="23"/>
      <c r="E281" s="40">
        <f t="shared" si="16"/>
        <v>1256679559</v>
      </c>
      <c r="F281" s="23"/>
      <c r="G281" s="159">
        <v>2.6963</v>
      </c>
      <c r="H281" s="50" t="s">
        <v>20</v>
      </c>
      <c r="I281" s="29">
        <f>ROUND($G281*C281/100,0)</f>
        <v>31068055</v>
      </c>
      <c r="J281" s="23"/>
      <c r="K281" s="29">
        <f>ROUND($G281*E281/100,0)</f>
        <v>33883851</v>
      </c>
      <c r="L281" s="23"/>
      <c r="M281" s="49">
        <f>ROUND(G281*(1+$R$281),4)</f>
        <v>3.2254</v>
      </c>
      <c r="N281" s="50" t="s">
        <v>20</v>
      </c>
      <c r="O281" s="29">
        <f>ROUND(M281*$E281/100,0)</f>
        <v>40532942</v>
      </c>
      <c r="P281" s="73"/>
      <c r="Q281" s="70" t="s">
        <v>74</v>
      </c>
      <c r="R281" s="132">
        <f>(R277-O276)/(K284-K276)-1</f>
        <v>0.1962339534274571</v>
      </c>
      <c r="S281" s="26"/>
      <c r="T281" s="26"/>
      <c r="U281" s="78"/>
      <c r="V281" s="26"/>
      <c r="W281" s="26"/>
      <c r="X281" s="26"/>
      <c r="Y281" s="26"/>
      <c r="Z281" s="26"/>
      <c r="AA281" s="26"/>
    </row>
    <row r="282" spans="1:27" ht="15">
      <c r="A282" s="42" t="s">
        <v>96</v>
      </c>
      <c r="B282" s="21"/>
      <c r="C282" s="40">
        <f t="shared" si="15"/>
        <v>2618901398</v>
      </c>
      <c r="D282" s="23"/>
      <c r="E282" s="40">
        <f t="shared" si="16"/>
        <v>2857102207.772428</v>
      </c>
      <c r="F282" s="23"/>
      <c r="G282" s="160">
        <v>2.2518</v>
      </c>
      <c r="H282" s="50" t="s">
        <v>20</v>
      </c>
      <c r="I282" s="29">
        <f>ROUND($G282*C282/100,0)</f>
        <v>58972422</v>
      </c>
      <c r="J282" s="23"/>
      <c r="K282" s="29">
        <f>ROUND($G282*E282/100,0)</f>
        <v>64336228</v>
      </c>
      <c r="L282" s="23"/>
      <c r="M282" s="159">
        <f>ROUND((R277-SUM(O276:O281))/E282*100,4)</f>
        <v>2.693</v>
      </c>
      <c r="N282" s="50" t="s">
        <v>20</v>
      </c>
      <c r="O282" s="29">
        <f>ROUND(M282*$E282/100,0)</f>
        <v>76941762</v>
      </c>
      <c r="P282" s="73"/>
      <c r="Q282" s="85" t="s">
        <v>35</v>
      </c>
      <c r="R282" s="161">
        <f>M276/G276-1</f>
        <v>0.10000000000000009</v>
      </c>
      <c r="S282" s="26"/>
      <c r="T282" s="124"/>
      <c r="U282" s="78"/>
      <c r="V282" s="26"/>
      <c r="W282" s="26"/>
      <c r="X282" s="26"/>
      <c r="Y282" s="26"/>
      <c r="Z282" s="26"/>
      <c r="AA282" s="26"/>
    </row>
    <row r="283" spans="1:27" ht="15">
      <c r="A283" s="42" t="s">
        <v>44</v>
      </c>
      <c r="B283" s="21"/>
      <c r="C283" s="133">
        <f>C309+C296+C322</f>
        <v>12309239</v>
      </c>
      <c r="D283" s="23"/>
      <c r="E283" s="133">
        <f>E309+E296+E322</f>
        <v>0</v>
      </c>
      <c r="F283" s="23"/>
      <c r="G283" s="20"/>
      <c r="H283" s="23"/>
      <c r="I283" s="83">
        <f>I309+I296+I322</f>
        <v>456706</v>
      </c>
      <c r="J283" s="23"/>
      <c r="K283" s="83">
        <f>K309+K296+K322</f>
        <v>0</v>
      </c>
      <c r="L283" s="23"/>
      <c r="M283" s="20"/>
      <c r="N283" s="23"/>
      <c r="O283" s="84">
        <v>0</v>
      </c>
      <c r="P283" s="21"/>
      <c r="Q283" s="51" t="s">
        <v>51</v>
      </c>
      <c r="R283" s="146">
        <f>(O284+O285)/(K284+K285)-1</f>
        <v>0.14514231688760715</v>
      </c>
      <c r="S283" s="26"/>
      <c r="T283" s="26"/>
      <c r="U283" s="26"/>
      <c r="V283" s="26"/>
      <c r="W283" s="26"/>
      <c r="X283" s="26"/>
      <c r="Y283" s="26"/>
      <c r="Z283" s="26"/>
      <c r="AA283" s="26"/>
    </row>
    <row r="284" spans="1:27" ht="15.75" thickBot="1">
      <c r="A284" s="42" t="s">
        <v>46</v>
      </c>
      <c r="B284" s="21"/>
      <c r="C284" s="118">
        <f>C310+C297+C323</f>
        <v>4223563509</v>
      </c>
      <c r="D284" s="23"/>
      <c r="E284" s="118">
        <f>E310+E297+E323</f>
        <v>4593918755.772428</v>
      </c>
      <c r="F284" s="23"/>
      <c r="G284" s="110"/>
      <c r="H284" s="23"/>
      <c r="I284" s="111">
        <f>SUM(I276:I283)</f>
        <v>187063823</v>
      </c>
      <c r="J284" s="23"/>
      <c r="K284" s="111">
        <f>SUM(K276:K283)</f>
        <v>203282992</v>
      </c>
      <c r="L284" s="23"/>
      <c r="M284" s="110"/>
      <c r="N284" s="23"/>
      <c r="O284" s="111">
        <f>SUM(O276:O283)</f>
        <v>243140219</v>
      </c>
      <c r="P284" s="21"/>
      <c r="Q284" s="23"/>
      <c r="R284" s="150"/>
      <c r="S284" s="151"/>
      <c r="T284" s="26"/>
      <c r="U284" s="26"/>
      <c r="V284" s="26"/>
      <c r="W284" s="26"/>
      <c r="X284" s="26"/>
      <c r="Y284" s="26"/>
      <c r="Z284" s="26"/>
      <c r="AA284" s="26"/>
    </row>
    <row r="285" spans="1:27" ht="15.75" thickTop="1">
      <c r="A285" s="42" t="s">
        <v>48</v>
      </c>
      <c r="B285" s="21"/>
      <c r="C285" s="40"/>
      <c r="D285" s="23"/>
      <c r="E285" s="40"/>
      <c r="F285" s="23"/>
      <c r="G285" s="92"/>
      <c r="H285" s="93"/>
      <c r="I285" s="83">
        <v>9040153.7037</v>
      </c>
      <c r="J285" s="23"/>
      <c r="K285" s="83">
        <f>I285</f>
        <v>9040153.7037</v>
      </c>
      <c r="L285" s="23"/>
      <c r="M285" s="37"/>
      <c r="N285" s="93"/>
      <c r="O285" s="83">
        <v>0</v>
      </c>
      <c r="P285" s="29"/>
      <c r="Q285" s="23"/>
      <c r="R285" s="150"/>
      <c r="S285" s="152"/>
      <c r="T285" s="26"/>
      <c r="U285" s="26"/>
      <c r="V285" s="26"/>
      <c r="W285" s="26"/>
      <c r="X285" s="26"/>
      <c r="Y285" s="26"/>
      <c r="Z285" s="26"/>
      <c r="AA285" s="26"/>
    </row>
    <row r="286" spans="1:27" ht="15">
      <c r="A286" s="42" t="s">
        <v>49</v>
      </c>
      <c r="B286" s="21"/>
      <c r="C286" s="40"/>
      <c r="D286" s="23"/>
      <c r="E286" s="40"/>
      <c r="F286" s="23"/>
      <c r="G286" s="92">
        <f>M286</f>
        <v>0.037</v>
      </c>
      <c r="H286" s="93"/>
      <c r="I286" s="83">
        <f>ROUND(SUM(I277:I282,I285)*$G286,0)</f>
        <v>7225487</v>
      </c>
      <c r="J286" s="23"/>
      <c r="K286" s="83">
        <f>ROUND(SUM(K277:K282,K285)*$G286,0)</f>
        <v>7842548</v>
      </c>
      <c r="L286" s="23"/>
      <c r="M286" s="37">
        <v>0.037</v>
      </c>
      <c r="N286" s="93"/>
      <c r="O286" s="83">
        <f>ROUND(SUM(O277:O282,O285)*M286,0)</f>
        <v>8981438</v>
      </c>
      <c r="P286" s="29"/>
      <c r="Q286" s="21"/>
      <c r="R286" s="26"/>
      <c r="S286" s="26"/>
      <c r="T286" s="26"/>
      <c r="U286" s="26"/>
      <c r="V286" s="26"/>
      <c r="W286" s="26"/>
      <c r="X286" s="26"/>
      <c r="Y286" s="26"/>
      <c r="Z286" s="26"/>
      <c r="AA286" s="26"/>
    </row>
    <row r="287" spans="1:27" ht="15">
      <c r="A287" s="20"/>
      <c r="B287" s="21"/>
      <c r="C287" s="40"/>
      <c r="D287" s="23"/>
      <c r="E287" s="40"/>
      <c r="F287" s="23"/>
      <c r="G287" s="20"/>
      <c r="H287" s="23"/>
      <c r="I287" s="21"/>
      <c r="J287" s="23"/>
      <c r="K287" s="21"/>
      <c r="L287" s="23"/>
      <c r="M287" s="21"/>
      <c r="N287" s="23"/>
      <c r="O287" s="21"/>
      <c r="P287" s="29"/>
      <c r="Q287" s="21"/>
      <c r="R287" s="26"/>
      <c r="S287" s="26"/>
      <c r="T287" s="26"/>
      <c r="U287" s="26"/>
      <c r="V287" s="26"/>
      <c r="W287" s="26"/>
      <c r="X287" s="26"/>
      <c r="Y287" s="26"/>
      <c r="Z287" s="26"/>
      <c r="AA287" s="26"/>
    </row>
    <row r="288" spans="1:27" ht="15">
      <c r="A288" s="38" t="s">
        <v>103</v>
      </c>
      <c r="B288" s="21"/>
      <c r="C288" s="40"/>
      <c r="D288" s="23"/>
      <c r="E288" s="40"/>
      <c r="F288" s="23"/>
      <c r="G288" s="20"/>
      <c r="H288" s="23"/>
      <c r="I288" s="21"/>
      <c r="J288" s="23"/>
      <c r="K288" s="21"/>
      <c r="L288" s="23"/>
      <c r="M288" s="21"/>
      <c r="N288" s="23"/>
      <c r="O288" s="21"/>
      <c r="P288" s="29"/>
      <c r="Q288" s="21"/>
      <c r="R288" s="26"/>
      <c r="S288" s="26"/>
      <c r="T288" s="26"/>
      <c r="U288" s="26"/>
      <c r="V288" s="26"/>
      <c r="W288" s="26"/>
      <c r="X288" s="26"/>
      <c r="Y288" s="26"/>
      <c r="Z288" s="26"/>
      <c r="AA288" s="26"/>
    </row>
    <row r="289" spans="1:27" ht="15">
      <c r="A289" s="42" t="s">
        <v>16</v>
      </c>
      <c r="B289" s="21"/>
      <c r="C289" s="43">
        <v>298.266864416586</v>
      </c>
      <c r="D289" s="23"/>
      <c r="E289" s="40">
        <v>300</v>
      </c>
      <c r="F289" s="23"/>
      <c r="G289" s="69">
        <v>200</v>
      </c>
      <c r="H289" s="68"/>
      <c r="I289" s="29">
        <f>ROUND($G289*C289,0)</f>
        <v>59653</v>
      </c>
      <c r="J289" s="23"/>
      <c r="K289" s="29">
        <f>ROUND($G289*E289,0)</f>
        <v>60000</v>
      </c>
      <c r="L289" s="23"/>
      <c r="M289" s="122">
        <f aca="true" t="shared" si="17" ref="M289:M295">M276</f>
        <v>220</v>
      </c>
      <c r="N289" s="68"/>
      <c r="O289" s="29">
        <f>ROUND(M289*$E289,0)</f>
        <v>66000</v>
      </c>
      <c r="P289" s="29"/>
      <c r="Q289" s="21"/>
      <c r="R289" s="26"/>
      <c r="S289" s="26"/>
      <c r="T289" s="26"/>
      <c r="U289" s="26"/>
      <c r="V289" s="26"/>
      <c r="W289" s="26"/>
      <c r="X289" s="26"/>
      <c r="Y289" s="26"/>
      <c r="Z289" s="26"/>
      <c r="AA289" s="26"/>
    </row>
    <row r="290" spans="1:27" ht="15">
      <c r="A290" s="42" t="s">
        <v>93</v>
      </c>
      <c r="B290" s="21"/>
      <c r="C290" s="43">
        <v>582656.542522974</v>
      </c>
      <c r="D290" s="23"/>
      <c r="E290" s="40">
        <f>ROUND(C290*$E$297/$C$297,0)</f>
        <v>667353</v>
      </c>
      <c r="F290" s="23"/>
      <c r="G290" s="69">
        <v>1.71</v>
      </c>
      <c r="H290" s="68"/>
      <c r="I290" s="29">
        <f>ROUND($G290*C290,0)</f>
        <v>996343</v>
      </c>
      <c r="J290" s="23"/>
      <c r="K290" s="29">
        <f>ROUND($G290*E290,0)</f>
        <v>1141174</v>
      </c>
      <c r="L290" s="23"/>
      <c r="M290" s="122">
        <f t="shared" si="17"/>
        <v>2.05</v>
      </c>
      <c r="N290" s="68"/>
      <c r="O290" s="29">
        <f>ROUND(M290*$E290,0)</f>
        <v>1368074</v>
      </c>
      <c r="P290" s="29"/>
      <c r="Q290" s="97"/>
      <c r="R290" s="26"/>
      <c r="S290" s="26"/>
      <c r="T290" s="26"/>
      <c r="U290" s="26"/>
      <c r="V290" s="26"/>
      <c r="W290" s="26"/>
      <c r="X290" s="26"/>
      <c r="Y290" s="26"/>
      <c r="Z290" s="26"/>
      <c r="AA290" s="26"/>
    </row>
    <row r="291" spans="1:27" ht="15">
      <c r="A291" s="42" t="s">
        <v>94</v>
      </c>
      <c r="B291" s="21"/>
      <c r="C291" s="43">
        <v>253322.253024227</v>
      </c>
      <c r="D291" s="23"/>
      <c r="E291" s="40">
        <f>ROUND(C291*$E$297/$C$297,0)</f>
        <v>290146</v>
      </c>
      <c r="F291" s="23"/>
      <c r="G291" s="69">
        <v>10.76</v>
      </c>
      <c r="H291" s="68"/>
      <c r="I291" s="29">
        <f>ROUND($G291*C291,0)</f>
        <v>2725747</v>
      </c>
      <c r="J291" s="23"/>
      <c r="K291" s="29">
        <f>ROUND($G291*E291,0)</f>
        <v>3121971</v>
      </c>
      <c r="L291" s="23"/>
      <c r="M291" s="122">
        <f t="shared" si="17"/>
        <v>12.87</v>
      </c>
      <c r="N291" s="68"/>
      <c r="O291" s="29">
        <f>ROUND(M291*$E291,0)</f>
        <v>3734179</v>
      </c>
      <c r="P291" s="29"/>
      <c r="Q291" s="21"/>
      <c r="R291" s="26"/>
      <c r="S291" s="78"/>
      <c r="T291" s="26"/>
      <c r="U291" s="26"/>
      <c r="V291" s="26"/>
      <c r="W291" s="26"/>
      <c r="X291" s="26"/>
      <c r="Y291" s="26"/>
      <c r="Z291" s="26"/>
      <c r="AA291" s="26"/>
    </row>
    <row r="292" spans="1:27" ht="15">
      <c r="A292" s="42" t="s">
        <v>95</v>
      </c>
      <c r="B292" s="21"/>
      <c r="C292" s="43">
        <v>311950.446808511</v>
      </c>
      <c r="D292" s="23"/>
      <c r="E292" s="40">
        <f>ROUND(C292*$E$297/$C$297,0)</f>
        <v>357296</v>
      </c>
      <c r="F292" s="23"/>
      <c r="G292" s="69">
        <v>7.3</v>
      </c>
      <c r="H292" s="68"/>
      <c r="I292" s="29">
        <f>ROUND($G292*C292,0)</f>
        <v>2277238</v>
      </c>
      <c r="J292" s="23"/>
      <c r="K292" s="29">
        <f>ROUND($G292*E292,0)</f>
        <v>2608261</v>
      </c>
      <c r="L292" s="23"/>
      <c r="M292" s="122">
        <f t="shared" si="17"/>
        <v>8.73</v>
      </c>
      <c r="N292" s="68"/>
      <c r="O292" s="29">
        <f>ROUND(M292*$E292,0)</f>
        <v>3119194</v>
      </c>
      <c r="P292" s="73"/>
      <c r="Q292" s="21"/>
      <c r="R292" s="26"/>
      <c r="S292" s="26"/>
      <c r="T292" s="26"/>
      <c r="U292" s="26"/>
      <c r="V292" s="26"/>
      <c r="W292" s="26"/>
      <c r="X292" s="26"/>
      <c r="Y292" s="26"/>
      <c r="Z292" s="26"/>
      <c r="AA292" s="26"/>
    </row>
    <row r="293" spans="1:27" ht="15">
      <c r="A293" s="42" t="s">
        <v>101</v>
      </c>
      <c r="B293" s="21"/>
      <c r="C293" s="43">
        <v>31745659</v>
      </c>
      <c r="D293" s="23"/>
      <c r="E293" s="40">
        <f>ROUND(C293*$E$297/($C$297-$C$296),0)</f>
        <v>36466614</v>
      </c>
      <c r="F293" s="23"/>
      <c r="G293" s="143">
        <v>3.5858</v>
      </c>
      <c r="H293" s="50" t="s">
        <v>20</v>
      </c>
      <c r="I293" s="29">
        <f>ROUND($G293*C293/100,0)</f>
        <v>1138336</v>
      </c>
      <c r="J293" s="23"/>
      <c r="K293" s="29">
        <f>ROUND($G293*E293/100,0)</f>
        <v>1307620</v>
      </c>
      <c r="L293" s="23"/>
      <c r="M293" s="144">
        <f t="shared" si="17"/>
        <v>4.2895</v>
      </c>
      <c r="N293" s="50" t="s">
        <v>20</v>
      </c>
      <c r="O293" s="29">
        <f>ROUND(M293*$E293/100,0)</f>
        <v>1564235</v>
      </c>
      <c r="P293" s="73"/>
      <c r="Q293" s="21"/>
      <c r="R293" s="26"/>
      <c r="S293" s="26"/>
      <c r="T293" s="78"/>
      <c r="U293" s="26"/>
      <c r="V293" s="26"/>
      <c r="W293" s="26"/>
      <c r="X293" s="26"/>
      <c r="Y293" s="26"/>
      <c r="Z293" s="26"/>
      <c r="AA293" s="26"/>
    </row>
    <row r="294" spans="1:27" ht="15">
      <c r="A294" s="42" t="s">
        <v>102</v>
      </c>
      <c r="B294" s="21"/>
      <c r="C294" s="43">
        <v>73224483</v>
      </c>
      <c r="D294" s="23"/>
      <c r="E294" s="40">
        <f>ROUND(C294*$E$297/($C$297-$C$296),0)</f>
        <v>84113829</v>
      </c>
      <c r="F294" s="23"/>
      <c r="G294" s="143">
        <v>2.6963</v>
      </c>
      <c r="H294" s="50" t="s">
        <v>20</v>
      </c>
      <c r="I294" s="29">
        <f>ROUND($G294*C294/100,0)</f>
        <v>1974352</v>
      </c>
      <c r="J294" s="23"/>
      <c r="K294" s="29">
        <f>ROUND($G294*E294/100,0)</f>
        <v>2267961</v>
      </c>
      <c r="L294" s="23"/>
      <c r="M294" s="144">
        <f t="shared" si="17"/>
        <v>3.2254</v>
      </c>
      <c r="N294" s="50" t="s">
        <v>20</v>
      </c>
      <c r="O294" s="29">
        <f>ROUND(M294*$E294/100,0)</f>
        <v>2713007</v>
      </c>
      <c r="P294" s="73"/>
      <c r="Q294" s="21"/>
      <c r="R294" s="26"/>
      <c r="S294" s="26"/>
      <c r="T294" s="26"/>
      <c r="U294" s="26"/>
      <c r="V294" s="26"/>
      <c r="W294" s="26"/>
      <c r="X294" s="26"/>
      <c r="Y294" s="26"/>
      <c r="Z294" s="26"/>
      <c r="AA294" s="26"/>
    </row>
    <row r="295" spans="1:27" ht="15">
      <c r="A295" s="42" t="s">
        <v>96</v>
      </c>
      <c r="B295" s="21"/>
      <c r="C295" s="43">
        <v>158226152</v>
      </c>
      <c r="D295" s="23"/>
      <c r="E295" s="40">
        <f>E297-E293-E294</f>
        <v>181756250</v>
      </c>
      <c r="F295" s="23"/>
      <c r="G295" s="143">
        <v>2.2518</v>
      </c>
      <c r="H295" s="50" t="s">
        <v>20</v>
      </c>
      <c r="I295" s="29">
        <f>ROUND($G295*C295/100,0)</f>
        <v>3562936</v>
      </c>
      <c r="J295" s="23"/>
      <c r="K295" s="29">
        <f>ROUND($G295*E295/100,0)</f>
        <v>4092787</v>
      </c>
      <c r="L295" s="23"/>
      <c r="M295" s="144">
        <f t="shared" si="17"/>
        <v>2.693</v>
      </c>
      <c r="N295" s="50" t="s">
        <v>20</v>
      </c>
      <c r="O295" s="29">
        <f>ROUND(M295*$E295/100,0)</f>
        <v>4894696</v>
      </c>
      <c r="P295" s="73"/>
      <c r="Q295" s="21" t="s">
        <v>29</v>
      </c>
      <c r="R295" s="104">
        <f>O297/K297-1</f>
        <v>0.19586679903401238</v>
      </c>
      <c r="S295" s="26"/>
      <c r="T295" s="26"/>
      <c r="U295" s="78"/>
      <c r="V295" s="26"/>
      <c r="W295" s="26"/>
      <c r="X295" s="26"/>
      <c r="Y295" s="26"/>
      <c r="Z295" s="26"/>
      <c r="AA295" s="26"/>
    </row>
    <row r="296" spans="1:27" ht="15">
      <c r="A296" s="42" t="s">
        <v>44</v>
      </c>
      <c r="B296" s="21"/>
      <c r="C296" s="82">
        <v>769707</v>
      </c>
      <c r="D296" s="23"/>
      <c r="E296" s="82">
        <v>0</v>
      </c>
      <c r="F296" s="23"/>
      <c r="G296" s="20"/>
      <c r="H296" s="23"/>
      <c r="I296" s="84">
        <v>60099</v>
      </c>
      <c r="J296" s="23"/>
      <c r="K296" s="84">
        <v>0</v>
      </c>
      <c r="L296" s="23"/>
      <c r="M296" s="21"/>
      <c r="N296" s="23"/>
      <c r="O296" s="84">
        <v>0</v>
      </c>
      <c r="P296" s="21"/>
      <c r="Q296" s="21" t="s">
        <v>51</v>
      </c>
      <c r="R296" s="117">
        <f>(O297+O298)/(K297+K298)-1</f>
        <v>0.14727773470771455</v>
      </c>
      <c r="S296" s="26"/>
      <c r="T296" s="26"/>
      <c r="U296" s="26"/>
      <c r="V296" s="26"/>
      <c r="W296" s="26"/>
      <c r="X296" s="26"/>
      <c r="Y296" s="26"/>
      <c r="Z296" s="26"/>
      <c r="AA296" s="26"/>
    </row>
    <row r="297" spans="1:27" ht="15.75" thickBot="1">
      <c r="A297" s="42" t="s">
        <v>46</v>
      </c>
      <c r="B297" s="21"/>
      <c r="C297" s="118">
        <f>SUM(C293:C296)</f>
        <v>263966001</v>
      </c>
      <c r="D297" s="23"/>
      <c r="E297" s="118">
        <v>302336693</v>
      </c>
      <c r="F297" s="23"/>
      <c r="G297" s="110"/>
      <c r="H297" s="23"/>
      <c r="I297" s="111">
        <f>SUM(I289:I296)</f>
        <v>12794704</v>
      </c>
      <c r="J297" s="23"/>
      <c r="K297" s="111">
        <f>SUM(K289:K296)</f>
        <v>14599774</v>
      </c>
      <c r="L297" s="23"/>
      <c r="M297" s="112"/>
      <c r="N297" s="23"/>
      <c r="O297" s="111">
        <f>SUM(O289:O296)</f>
        <v>17459385</v>
      </c>
      <c r="P297" s="21"/>
      <c r="Q297" s="21"/>
      <c r="R297" s="78"/>
      <c r="S297" s="26"/>
      <c r="T297" s="26"/>
      <c r="U297" s="26"/>
      <c r="V297" s="26"/>
      <c r="W297" s="26"/>
      <c r="X297" s="26"/>
      <c r="Y297" s="26"/>
      <c r="Z297" s="26"/>
      <c r="AA297" s="26"/>
    </row>
    <row r="298" spans="1:27" ht="15.75" thickTop="1">
      <c r="A298" s="42" t="s">
        <v>48</v>
      </c>
      <c r="B298" s="21"/>
      <c r="C298" s="40"/>
      <c r="D298" s="23"/>
      <c r="E298" s="40"/>
      <c r="F298" s="23"/>
      <c r="G298" s="92"/>
      <c r="H298" s="93"/>
      <c r="I298" s="83">
        <f>ROUND($I$285*I297/$I$284,0)</f>
        <v>618324</v>
      </c>
      <c r="J298" s="23"/>
      <c r="K298" s="83">
        <f>I298</f>
        <v>618324</v>
      </c>
      <c r="L298" s="23"/>
      <c r="M298" s="37"/>
      <c r="N298" s="93"/>
      <c r="O298" s="83">
        <v>0</v>
      </c>
      <c r="P298" s="29"/>
      <c r="Q298" s="21"/>
      <c r="R298" s="26"/>
      <c r="S298" s="26"/>
      <c r="T298" s="26"/>
      <c r="U298" s="26"/>
      <c r="V298" s="26"/>
      <c r="W298" s="26"/>
      <c r="X298" s="26"/>
      <c r="Y298" s="26"/>
      <c r="Z298" s="26"/>
      <c r="AA298" s="26"/>
    </row>
    <row r="299" spans="1:27" ht="15">
      <c r="A299" s="42" t="s">
        <v>49</v>
      </c>
      <c r="B299" s="21"/>
      <c r="C299" s="40"/>
      <c r="D299" s="23"/>
      <c r="E299" s="40"/>
      <c r="F299" s="23"/>
      <c r="G299" s="92">
        <f>M299</f>
        <v>0.037</v>
      </c>
      <c r="H299" s="114"/>
      <c r="I299" s="83">
        <f>ROUND(SUM(I290:I295,I298)*$G299,0)</f>
        <v>491851</v>
      </c>
      <c r="J299" s="23"/>
      <c r="K299" s="83">
        <f>ROUND(SUM(K290:K295,K298)*$G299,0)</f>
        <v>560850</v>
      </c>
      <c r="L299" s="23"/>
      <c r="M299" s="115">
        <f>M286</f>
        <v>0.037</v>
      </c>
      <c r="N299" s="114"/>
      <c r="O299" s="83">
        <f>ROUND(SUM(O290:O295,O298)*M299,0)</f>
        <v>643555</v>
      </c>
      <c r="P299" s="29"/>
      <c r="Q299" s="21"/>
      <c r="R299" s="26"/>
      <c r="S299" s="26"/>
      <c r="T299" s="26"/>
      <c r="U299" s="26"/>
      <c r="V299" s="26"/>
      <c r="W299" s="26"/>
      <c r="X299" s="26"/>
      <c r="Y299" s="26"/>
      <c r="Z299" s="26"/>
      <c r="AA299" s="26"/>
    </row>
    <row r="300" spans="1:27" ht="15">
      <c r="A300" s="20"/>
      <c r="B300" s="21"/>
      <c r="C300" s="40"/>
      <c r="D300" s="23"/>
      <c r="E300" s="40"/>
      <c r="F300" s="23"/>
      <c r="G300" s="20"/>
      <c r="H300" s="23"/>
      <c r="I300" s="21"/>
      <c r="J300" s="23"/>
      <c r="K300" s="21"/>
      <c r="L300" s="23"/>
      <c r="M300" s="21"/>
      <c r="N300" s="23"/>
      <c r="O300" s="21"/>
      <c r="P300" s="29"/>
      <c r="Q300" s="21"/>
      <c r="R300" s="26"/>
      <c r="S300" s="26"/>
      <c r="T300" s="26"/>
      <c r="U300" s="26"/>
      <c r="V300" s="26"/>
      <c r="W300" s="26"/>
      <c r="X300" s="26"/>
      <c r="Y300" s="26"/>
      <c r="Z300" s="26"/>
      <c r="AA300" s="26"/>
    </row>
    <row r="301" spans="1:27" ht="15">
      <c r="A301" s="38" t="s">
        <v>104</v>
      </c>
      <c r="B301" s="21"/>
      <c r="C301" s="40"/>
      <c r="D301" s="23"/>
      <c r="E301" s="40"/>
      <c r="F301" s="23"/>
      <c r="G301" s="20"/>
      <c r="H301" s="23"/>
      <c r="I301" s="21"/>
      <c r="J301" s="23"/>
      <c r="K301" s="21"/>
      <c r="L301" s="23"/>
      <c r="M301" s="21"/>
      <c r="N301" s="23"/>
      <c r="O301" s="21"/>
      <c r="P301" s="29"/>
      <c r="Q301" s="21"/>
      <c r="R301" s="26"/>
      <c r="S301" s="26"/>
      <c r="T301" s="26"/>
      <c r="U301" s="26"/>
      <c r="V301" s="26"/>
      <c r="W301" s="26"/>
      <c r="X301" s="26"/>
      <c r="Y301" s="26"/>
      <c r="Z301" s="26"/>
      <c r="AA301" s="26"/>
    </row>
    <row r="302" spans="1:27" ht="15">
      <c r="A302" s="42" t="s">
        <v>16</v>
      </c>
      <c r="B302" s="21"/>
      <c r="C302" s="43">
        <v>1472.966027852784</v>
      </c>
      <c r="D302" s="23"/>
      <c r="E302" s="40">
        <v>1464</v>
      </c>
      <c r="F302" s="23"/>
      <c r="G302" s="69">
        <v>200</v>
      </c>
      <c r="H302" s="68"/>
      <c r="I302" s="29">
        <f>ROUND($G302*C302,0)</f>
        <v>294593</v>
      </c>
      <c r="J302" s="23"/>
      <c r="K302" s="29">
        <f>ROUND($G302*E302,0)</f>
        <v>292800</v>
      </c>
      <c r="L302" s="23"/>
      <c r="M302" s="122">
        <f aca="true" t="shared" si="18" ref="M302:M308">M276</f>
        <v>220</v>
      </c>
      <c r="N302" s="68"/>
      <c r="O302" s="29">
        <f>ROUND(M302*$E302,0)</f>
        <v>322080</v>
      </c>
      <c r="P302" s="29"/>
      <c r="Q302" s="21"/>
      <c r="R302" s="26"/>
      <c r="S302" s="26"/>
      <c r="T302" s="26"/>
      <c r="U302" s="26"/>
      <c r="V302" s="26"/>
      <c r="W302" s="26"/>
      <c r="X302" s="26"/>
      <c r="Y302" s="26"/>
      <c r="Z302" s="26"/>
      <c r="AA302" s="26"/>
    </row>
    <row r="303" spans="1:27" ht="15">
      <c r="A303" s="42" t="s">
        <v>93</v>
      </c>
      <c r="B303" s="21"/>
      <c r="C303" s="43">
        <v>6343883.49435711</v>
      </c>
      <c r="D303" s="23"/>
      <c r="E303" s="40">
        <f>ROUND(C303*$E$310/$C$310,0)</f>
        <v>6911697</v>
      </c>
      <c r="F303" s="23"/>
      <c r="G303" s="69">
        <v>1.71</v>
      </c>
      <c r="H303" s="68"/>
      <c r="I303" s="29">
        <f>ROUND($G303*C303,0)</f>
        <v>10848041</v>
      </c>
      <c r="J303" s="23"/>
      <c r="K303" s="29">
        <f>ROUND($G303*E303,0)</f>
        <v>11819002</v>
      </c>
      <c r="L303" s="23"/>
      <c r="M303" s="122">
        <f t="shared" si="18"/>
        <v>2.05</v>
      </c>
      <c r="N303" s="68"/>
      <c r="O303" s="29">
        <f>ROUND(M303*$E303,0)</f>
        <v>14168979</v>
      </c>
      <c r="P303" s="29"/>
      <c r="Q303" s="21"/>
      <c r="R303" s="26"/>
      <c r="S303" s="26"/>
      <c r="T303" s="26"/>
      <c r="U303" s="26"/>
      <c r="V303" s="26"/>
      <c r="W303" s="26"/>
      <c r="X303" s="26"/>
      <c r="Y303" s="26"/>
      <c r="Z303" s="26"/>
      <c r="AA303" s="26"/>
    </row>
    <row r="304" spans="1:27" ht="15">
      <c r="A304" s="42" t="s">
        <v>94</v>
      </c>
      <c r="B304" s="21"/>
      <c r="C304" s="43">
        <v>2639405.485443186</v>
      </c>
      <c r="D304" s="23"/>
      <c r="E304" s="40">
        <f>ROUND(C304*$E$310/$C$310,0)</f>
        <v>2875647</v>
      </c>
      <c r="F304" s="23"/>
      <c r="G304" s="69">
        <v>10.76</v>
      </c>
      <c r="H304" s="68"/>
      <c r="I304" s="29">
        <f>ROUND($G304*C304,0)</f>
        <v>28400003</v>
      </c>
      <c r="J304" s="23"/>
      <c r="K304" s="29">
        <f>ROUND($G304*E304,0)</f>
        <v>30941962</v>
      </c>
      <c r="L304" s="23"/>
      <c r="M304" s="122">
        <f t="shared" si="18"/>
        <v>12.87</v>
      </c>
      <c r="N304" s="68"/>
      <c r="O304" s="29">
        <f>ROUND(M304*$E304,0)</f>
        <v>37009577</v>
      </c>
      <c r="P304" s="29"/>
      <c r="Q304" s="21"/>
      <c r="R304" s="26"/>
      <c r="S304" s="78"/>
      <c r="T304" s="26"/>
      <c r="U304" s="26"/>
      <c r="V304" s="26"/>
      <c r="W304" s="26"/>
      <c r="X304" s="26"/>
      <c r="Y304" s="26"/>
      <c r="Z304" s="26"/>
      <c r="AA304" s="26"/>
    </row>
    <row r="305" spans="1:27" ht="15">
      <c r="A305" s="42" t="s">
        <v>95</v>
      </c>
      <c r="B305" s="21"/>
      <c r="C305" s="43">
        <v>3610414.422695035</v>
      </c>
      <c r="D305" s="23"/>
      <c r="E305" s="40">
        <f>ROUND(C305*$E$310/$C$310,0)</f>
        <v>3933567</v>
      </c>
      <c r="F305" s="23"/>
      <c r="G305" s="69">
        <v>7.3</v>
      </c>
      <c r="H305" s="68"/>
      <c r="I305" s="29">
        <f>ROUND($G305*C305,0)</f>
        <v>26356025</v>
      </c>
      <c r="J305" s="23"/>
      <c r="K305" s="29">
        <f>ROUND($G305*E305,0)</f>
        <v>28715039</v>
      </c>
      <c r="L305" s="23"/>
      <c r="M305" s="122">
        <f t="shared" si="18"/>
        <v>8.73</v>
      </c>
      <c r="N305" s="68"/>
      <c r="O305" s="29">
        <f>ROUND(M305*$E305,0)</f>
        <v>34340040</v>
      </c>
      <c r="P305" s="73"/>
      <c r="Q305" s="21"/>
      <c r="R305" s="26"/>
      <c r="S305" s="26"/>
      <c r="T305" s="26"/>
      <c r="U305" s="26"/>
      <c r="V305" s="26"/>
      <c r="W305" s="26"/>
      <c r="X305" s="26"/>
      <c r="Y305" s="26"/>
      <c r="Z305" s="26"/>
      <c r="AA305" s="26"/>
    </row>
    <row r="306" spans="1:27" ht="15">
      <c r="A306" s="42" t="s">
        <v>101</v>
      </c>
      <c r="B306" s="21"/>
      <c r="C306" s="43">
        <v>361137905</v>
      </c>
      <c r="D306" s="23"/>
      <c r="E306" s="40">
        <f>ROUND(C306*$E$310/($C$310-C$309),0)</f>
        <v>394854802</v>
      </c>
      <c r="F306" s="23"/>
      <c r="G306" s="143">
        <v>3.5858</v>
      </c>
      <c r="H306" s="50" t="s">
        <v>20</v>
      </c>
      <c r="I306" s="29">
        <f>ROUND($G306*C306/100,0)</f>
        <v>12949683</v>
      </c>
      <c r="J306" s="23"/>
      <c r="K306" s="29">
        <f>ROUND($G306*E306/100,0)</f>
        <v>14158703</v>
      </c>
      <c r="L306" s="23"/>
      <c r="M306" s="144">
        <f t="shared" si="18"/>
        <v>4.2895</v>
      </c>
      <c r="N306" s="50" t="s">
        <v>20</v>
      </c>
      <c r="O306" s="29">
        <f>ROUND(M306*$E306/100,0)</f>
        <v>16937297</v>
      </c>
      <c r="P306" s="73"/>
      <c r="Q306" s="21"/>
      <c r="R306" s="26"/>
      <c r="S306" s="26"/>
      <c r="T306" s="78"/>
      <c r="U306" s="26"/>
      <c r="V306" s="26"/>
      <c r="W306" s="26"/>
      <c r="X306" s="26"/>
      <c r="Y306" s="26"/>
      <c r="Z306" s="26"/>
      <c r="AA306" s="26"/>
    </row>
    <row r="307" spans="1:27" ht="15">
      <c r="A307" s="42" t="s">
        <v>102</v>
      </c>
      <c r="B307" s="21"/>
      <c r="C307" s="43">
        <v>958263312</v>
      </c>
      <c r="D307" s="23"/>
      <c r="E307" s="40">
        <f>ROUND(C307*$E$310/($C$310-C$309),0)</f>
        <v>1047729593</v>
      </c>
      <c r="F307" s="23"/>
      <c r="G307" s="143">
        <v>2.6963</v>
      </c>
      <c r="H307" s="50" t="s">
        <v>20</v>
      </c>
      <c r="I307" s="29">
        <f>ROUND($G307*C307/100,0)</f>
        <v>25837654</v>
      </c>
      <c r="J307" s="23"/>
      <c r="K307" s="29">
        <f>ROUND($G307*E307/100,0)</f>
        <v>28249933</v>
      </c>
      <c r="L307" s="23"/>
      <c r="M307" s="144">
        <f t="shared" si="18"/>
        <v>3.2254</v>
      </c>
      <c r="N307" s="50" t="s">
        <v>20</v>
      </c>
      <c r="O307" s="29">
        <f>ROUND(M307*$E307/100,0)</f>
        <v>33793470</v>
      </c>
      <c r="P307" s="73"/>
      <c r="Q307" s="21"/>
      <c r="R307" s="26"/>
      <c r="S307" s="26"/>
      <c r="T307" s="26"/>
      <c r="U307" s="26"/>
      <c r="V307" s="26"/>
      <c r="W307" s="26"/>
      <c r="X307" s="26"/>
      <c r="Y307" s="26"/>
      <c r="Z307" s="26"/>
      <c r="AA307" s="26"/>
    </row>
    <row r="308" spans="1:27" ht="15">
      <c r="A308" s="42" t="s">
        <v>96</v>
      </c>
      <c r="B308" s="21"/>
      <c r="C308" s="43">
        <v>2207938159</v>
      </c>
      <c r="D308" s="23"/>
      <c r="E308" s="40">
        <f>E310-E306-E307</f>
        <v>2414077757.656091</v>
      </c>
      <c r="F308" s="23"/>
      <c r="G308" s="143">
        <v>2.2518</v>
      </c>
      <c r="H308" s="50" t="s">
        <v>20</v>
      </c>
      <c r="I308" s="29">
        <f>ROUND($G308*C308/100,0)</f>
        <v>49718351</v>
      </c>
      <c r="J308" s="23"/>
      <c r="K308" s="29">
        <f>ROUND($G308*E308/100,0)</f>
        <v>54360203</v>
      </c>
      <c r="L308" s="23"/>
      <c r="M308" s="144">
        <f t="shared" si="18"/>
        <v>2.693</v>
      </c>
      <c r="N308" s="50" t="s">
        <v>20</v>
      </c>
      <c r="O308" s="29">
        <f>ROUND(M308*$E308/100,0)</f>
        <v>65011114</v>
      </c>
      <c r="P308" s="73"/>
      <c r="Q308" s="21" t="s">
        <v>29</v>
      </c>
      <c r="R308" s="104">
        <f>O310/K310-1</f>
        <v>0.1960684545473823</v>
      </c>
      <c r="S308" s="26"/>
      <c r="T308" s="26"/>
      <c r="U308" s="78"/>
      <c r="V308" s="26"/>
      <c r="W308" s="26"/>
      <c r="X308" s="26"/>
      <c r="Y308" s="26"/>
      <c r="Z308" s="26"/>
      <c r="AA308" s="26"/>
    </row>
    <row r="309" spans="1:27" ht="15">
      <c r="A309" s="42" t="s">
        <v>44</v>
      </c>
      <c r="B309" s="21"/>
      <c r="C309" s="82">
        <v>12488169</v>
      </c>
      <c r="D309" s="23"/>
      <c r="E309" s="82">
        <v>0</v>
      </c>
      <c r="F309" s="23"/>
      <c r="G309" s="20"/>
      <c r="H309" s="23"/>
      <c r="I309" s="84">
        <v>332169</v>
      </c>
      <c r="J309" s="154"/>
      <c r="K309" s="84">
        <v>0</v>
      </c>
      <c r="L309" s="154"/>
      <c r="M309" s="155"/>
      <c r="N309" s="154"/>
      <c r="O309" s="84">
        <v>0</v>
      </c>
      <c r="P309" s="21"/>
      <c r="Q309" s="21" t="s">
        <v>51</v>
      </c>
      <c r="R309" s="117">
        <f>(O310+O311)/(K310+K311)-1</f>
        <v>0.1452543948281655</v>
      </c>
      <c r="S309" s="26"/>
      <c r="T309" s="26"/>
      <c r="U309" s="26"/>
      <c r="V309" s="26"/>
      <c r="W309" s="26"/>
      <c r="X309" s="26"/>
      <c r="Y309" s="26"/>
      <c r="Z309" s="26"/>
      <c r="AA309" s="26"/>
    </row>
    <row r="310" spans="1:27" ht="15.75" thickBot="1">
      <c r="A310" s="42" t="s">
        <v>46</v>
      </c>
      <c r="B310" s="21"/>
      <c r="C310" s="118">
        <f>SUM(C306:C309)</f>
        <v>3539827545</v>
      </c>
      <c r="D310" s="23"/>
      <c r="E310" s="118">
        <v>3856662152.656091</v>
      </c>
      <c r="F310" s="23"/>
      <c r="G310" s="110"/>
      <c r="H310" s="23"/>
      <c r="I310" s="111">
        <f>SUM(I302:I309)</f>
        <v>154736519</v>
      </c>
      <c r="J310" s="23"/>
      <c r="K310" s="111">
        <f>SUM(K302:K309)</f>
        <v>168537642</v>
      </c>
      <c r="L310" s="23"/>
      <c r="M310" s="112"/>
      <c r="N310" s="23"/>
      <c r="O310" s="111">
        <f>SUM(O302:O309)</f>
        <v>201582557</v>
      </c>
      <c r="P310" s="21"/>
      <c r="Q310" s="21"/>
      <c r="R310" s="78"/>
      <c r="S310" s="26"/>
      <c r="T310" s="26"/>
      <c r="U310" s="26"/>
      <c r="V310" s="26"/>
      <c r="W310" s="26"/>
      <c r="X310" s="26"/>
      <c r="Y310" s="26"/>
      <c r="Z310" s="26"/>
      <c r="AA310" s="26"/>
    </row>
    <row r="311" spans="1:27" ht="15.75" thickTop="1">
      <c r="A311" s="42" t="s">
        <v>48</v>
      </c>
      <c r="B311" s="21"/>
      <c r="C311" s="40"/>
      <c r="D311" s="23"/>
      <c r="E311" s="40"/>
      <c r="F311" s="23"/>
      <c r="G311" s="92"/>
      <c r="H311" s="93"/>
      <c r="I311" s="83">
        <f>ROUND($I$285*I310/$I$284,0)</f>
        <v>7477886</v>
      </c>
      <c r="J311" s="23"/>
      <c r="K311" s="83">
        <f>I311</f>
        <v>7477886</v>
      </c>
      <c r="L311" s="23"/>
      <c r="M311" s="37"/>
      <c r="N311" s="93"/>
      <c r="O311" s="83">
        <v>0</v>
      </c>
      <c r="P311" s="29"/>
      <c r="Q311" s="21"/>
      <c r="R311" s="26"/>
      <c r="S311" s="26"/>
      <c r="T311" s="26"/>
      <c r="U311" s="26"/>
      <c r="V311" s="26"/>
      <c r="W311" s="26"/>
      <c r="X311" s="26"/>
      <c r="Y311" s="26"/>
      <c r="Z311" s="26"/>
      <c r="AA311" s="26"/>
    </row>
    <row r="312" spans="1:27" ht="15">
      <c r="A312" s="42" t="s">
        <v>49</v>
      </c>
      <c r="B312" s="21"/>
      <c r="C312" s="40"/>
      <c r="D312" s="23"/>
      <c r="E312" s="40"/>
      <c r="F312" s="23"/>
      <c r="G312" s="92">
        <f>M312</f>
        <v>0.037</v>
      </c>
      <c r="H312" s="114"/>
      <c r="I312" s="83">
        <f>ROUND(SUM(I303:I308,I311)*$G312,0)</f>
        <v>5978743</v>
      </c>
      <c r="J312" s="23"/>
      <c r="K312" s="83">
        <f>ROUND(SUM(K303:K308,K311)*$G312,0)</f>
        <v>6501741</v>
      </c>
      <c r="L312" s="23"/>
      <c r="M312" s="115">
        <f>M286</f>
        <v>0.037</v>
      </c>
      <c r="N312" s="114"/>
      <c r="O312" s="83">
        <f>ROUND(SUM(O303:O308,O311)*M312,0)</f>
        <v>7446638</v>
      </c>
      <c r="P312" s="29"/>
      <c r="Q312" s="21"/>
      <c r="R312" s="26"/>
      <c r="S312" s="26"/>
      <c r="T312" s="26"/>
      <c r="U312" s="26"/>
      <c r="V312" s="26"/>
      <c r="W312" s="26"/>
      <c r="X312" s="26"/>
      <c r="Y312" s="26"/>
      <c r="Z312" s="26"/>
      <c r="AA312" s="26"/>
    </row>
    <row r="313" spans="1:27" ht="15">
      <c r="A313" s="20"/>
      <c r="B313" s="21"/>
      <c r="C313" s="40"/>
      <c r="D313" s="23"/>
      <c r="E313" s="40"/>
      <c r="F313" s="23"/>
      <c r="G313" s="20"/>
      <c r="H313" s="23"/>
      <c r="I313" s="21"/>
      <c r="J313" s="23"/>
      <c r="K313" s="21"/>
      <c r="L313" s="23"/>
      <c r="M313" s="21"/>
      <c r="N313" s="23"/>
      <c r="O313" s="21"/>
      <c r="P313" s="29"/>
      <c r="Q313" s="21"/>
      <c r="R313" s="26"/>
      <c r="S313" s="26"/>
      <c r="T313" s="26"/>
      <c r="U313" s="26"/>
      <c r="V313" s="26"/>
      <c r="W313" s="26"/>
      <c r="X313" s="26"/>
      <c r="Y313" s="26"/>
      <c r="Z313" s="26"/>
      <c r="AA313" s="26"/>
    </row>
    <row r="314" spans="1:27" ht="15">
      <c r="A314" s="38" t="s">
        <v>105</v>
      </c>
      <c r="B314" s="21"/>
      <c r="C314" s="40"/>
      <c r="D314" s="23"/>
      <c r="E314" s="40"/>
      <c r="F314" s="23"/>
      <c r="G314" s="20"/>
      <c r="H314" s="23"/>
      <c r="I314" s="21"/>
      <c r="J314" s="23"/>
      <c r="K314" s="21"/>
      <c r="L314" s="23"/>
      <c r="M314" s="21"/>
      <c r="N314" s="23"/>
      <c r="O314" s="21"/>
      <c r="P314" s="29"/>
      <c r="Q314" s="21"/>
      <c r="R314" s="26"/>
      <c r="S314" s="26"/>
      <c r="T314" s="26"/>
      <c r="U314" s="26"/>
      <c r="V314" s="26"/>
      <c r="W314" s="26"/>
      <c r="X314" s="26"/>
      <c r="Y314" s="26"/>
      <c r="Z314" s="26"/>
      <c r="AA314" s="26"/>
    </row>
    <row r="315" spans="1:27" ht="15">
      <c r="A315" s="42" t="s">
        <v>16</v>
      </c>
      <c r="B315" s="21"/>
      <c r="C315" s="43">
        <v>47.99995</v>
      </c>
      <c r="D315" s="23"/>
      <c r="E315" s="40">
        <v>48</v>
      </c>
      <c r="F315" s="23"/>
      <c r="G315" s="69">
        <v>200</v>
      </c>
      <c r="H315" s="68"/>
      <c r="I315" s="29">
        <f>ROUND($G315*C315,0)</f>
        <v>9600</v>
      </c>
      <c r="J315" s="23"/>
      <c r="K315" s="29">
        <f>ROUND($G315*E315,0)</f>
        <v>9600</v>
      </c>
      <c r="L315" s="23"/>
      <c r="M315" s="122">
        <f aca="true" t="shared" si="19" ref="M315:M321">M276</f>
        <v>220</v>
      </c>
      <c r="N315" s="68"/>
      <c r="O315" s="29">
        <f>ROUND(M315*$E315,0)</f>
        <v>10560</v>
      </c>
      <c r="P315" s="29"/>
      <c r="Q315" s="21"/>
      <c r="R315" s="26"/>
      <c r="S315" s="26"/>
      <c r="T315" s="26"/>
      <c r="U315" s="26"/>
      <c r="V315" s="26"/>
      <c r="W315" s="26"/>
      <c r="X315" s="26"/>
      <c r="Y315" s="26"/>
      <c r="Z315" s="26"/>
      <c r="AA315" s="26"/>
    </row>
    <row r="316" spans="1:27" ht="15">
      <c r="A316" s="42" t="s">
        <v>93</v>
      </c>
      <c r="B316" s="21"/>
      <c r="C316" s="43">
        <v>850301.000691122</v>
      </c>
      <c r="D316" s="23"/>
      <c r="E316" s="40">
        <f>ROUND(C316*$E$323/$C$323,0)</f>
        <v>880989</v>
      </c>
      <c r="F316" s="23"/>
      <c r="G316" s="69">
        <v>1.71</v>
      </c>
      <c r="H316" s="68"/>
      <c r="I316" s="29">
        <f>ROUND($G316*C316,0)</f>
        <v>1454015</v>
      </c>
      <c r="J316" s="23"/>
      <c r="K316" s="29">
        <f>ROUND($G316*E316,0)</f>
        <v>1506491</v>
      </c>
      <c r="L316" s="23"/>
      <c r="M316" s="122">
        <f t="shared" si="19"/>
        <v>2.05</v>
      </c>
      <c r="N316" s="68"/>
      <c r="O316" s="29">
        <f>ROUND(M316*$E316,0)</f>
        <v>1806027</v>
      </c>
      <c r="P316" s="29"/>
      <c r="Q316" s="21"/>
      <c r="R316" s="26"/>
      <c r="S316" s="26"/>
      <c r="T316" s="26"/>
      <c r="U316" s="26"/>
      <c r="V316" s="26"/>
      <c r="W316" s="26"/>
      <c r="X316" s="26"/>
      <c r="Y316" s="26"/>
      <c r="Z316" s="26"/>
      <c r="AA316" s="26"/>
    </row>
    <row r="317" spans="1:27" ht="15">
      <c r="A317" s="42" t="s">
        <v>94</v>
      </c>
      <c r="B317" s="21"/>
      <c r="C317" s="43">
        <v>369712.000185874</v>
      </c>
      <c r="D317" s="23"/>
      <c r="E317" s="40">
        <f>ROUND(C317*$E$323/$C$323,0)</f>
        <v>383055</v>
      </c>
      <c r="F317" s="23"/>
      <c r="G317" s="69">
        <v>10.76</v>
      </c>
      <c r="H317" s="68"/>
      <c r="I317" s="29">
        <f>ROUND($G317*C317,0)</f>
        <v>3978101</v>
      </c>
      <c r="J317" s="23"/>
      <c r="K317" s="29">
        <f>ROUND($G317*E317,0)</f>
        <v>4121672</v>
      </c>
      <c r="L317" s="23"/>
      <c r="M317" s="122">
        <f t="shared" si="19"/>
        <v>12.87</v>
      </c>
      <c r="N317" s="68"/>
      <c r="O317" s="29">
        <f>ROUND(M317*$E317,0)</f>
        <v>4929918</v>
      </c>
      <c r="P317" s="29"/>
      <c r="Q317" s="21"/>
      <c r="R317" s="26"/>
      <c r="S317" s="78"/>
      <c r="T317" s="26"/>
      <c r="U317" s="26"/>
      <c r="V317" s="26"/>
      <c r="W317" s="26"/>
      <c r="X317" s="26"/>
      <c r="Y317" s="26"/>
      <c r="Z317" s="26"/>
      <c r="AA317" s="26"/>
    </row>
    <row r="318" spans="1:27" ht="15">
      <c r="A318" s="42" t="s">
        <v>95</v>
      </c>
      <c r="B318" s="21"/>
      <c r="C318" s="43">
        <v>463834</v>
      </c>
      <c r="D318" s="23"/>
      <c r="E318" s="40">
        <f>ROUND(C318*$E$323/$C$323,0)</f>
        <v>480574</v>
      </c>
      <c r="F318" s="23"/>
      <c r="G318" s="69">
        <v>7.3</v>
      </c>
      <c r="H318" s="68"/>
      <c r="I318" s="29">
        <f>ROUND($G318*C318,0)</f>
        <v>3385988</v>
      </c>
      <c r="J318" s="23"/>
      <c r="K318" s="29">
        <f>ROUND($G318*E318,0)</f>
        <v>3508190</v>
      </c>
      <c r="L318" s="23"/>
      <c r="M318" s="122">
        <f t="shared" si="19"/>
        <v>8.73</v>
      </c>
      <c r="N318" s="68"/>
      <c r="O318" s="29">
        <f>ROUND(M318*$E318,0)</f>
        <v>4195411</v>
      </c>
      <c r="P318" s="73"/>
      <c r="Q318" s="21"/>
      <c r="R318" s="26"/>
      <c r="S318" s="26"/>
      <c r="T318" s="26"/>
      <c r="U318" s="26"/>
      <c r="V318" s="26"/>
      <c r="W318" s="26"/>
      <c r="X318" s="26"/>
      <c r="Y318" s="26"/>
      <c r="Z318" s="26"/>
      <c r="AA318" s="26"/>
    </row>
    <row r="319" spans="1:27" ht="15">
      <c r="A319" s="42" t="s">
        <v>101</v>
      </c>
      <c r="B319" s="21"/>
      <c r="C319" s="43">
        <v>47221613</v>
      </c>
      <c r="D319" s="23"/>
      <c r="E319" s="40">
        <f>ROUND(C319*$E$323/($C$323-$C$322),0)</f>
        <v>48815573</v>
      </c>
      <c r="F319" s="23"/>
      <c r="G319" s="143">
        <v>3.5858</v>
      </c>
      <c r="H319" s="50" t="s">
        <v>20</v>
      </c>
      <c r="I319" s="29">
        <f>ROUND($G319*C319/100,0)</f>
        <v>1693273</v>
      </c>
      <c r="J319" s="23"/>
      <c r="K319" s="29">
        <f>ROUND($G319*E319/100,0)</f>
        <v>1750429</v>
      </c>
      <c r="L319" s="23"/>
      <c r="M319" s="144">
        <f t="shared" si="19"/>
        <v>4.2895</v>
      </c>
      <c r="N319" s="50" t="s">
        <v>20</v>
      </c>
      <c r="O319" s="29">
        <f>ROUND(M319*$E319/100,0)</f>
        <v>2093944</v>
      </c>
      <c r="P319" s="73"/>
      <c r="Q319" s="21"/>
      <c r="R319" s="26"/>
      <c r="S319" s="26"/>
      <c r="T319" s="78"/>
      <c r="U319" s="26"/>
      <c r="V319" s="26"/>
      <c r="W319" s="26"/>
      <c r="X319" s="26"/>
      <c r="Y319" s="26"/>
      <c r="Z319" s="26"/>
      <c r="AA319" s="26"/>
    </row>
    <row r="320" spans="1:27" ht="15">
      <c r="A320" s="42" t="s">
        <v>102</v>
      </c>
      <c r="B320" s="21"/>
      <c r="C320" s="43">
        <v>120759900</v>
      </c>
      <c r="D320" s="23"/>
      <c r="E320" s="40">
        <f>ROUND(C320*$E$323/($C$323-$C$322),0)</f>
        <v>124836137</v>
      </c>
      <c r="F320" s="23"/>
      <c r="G320" s="143">
        <v>2.6963</v>
      </c>
      <c r="H320" s="50" t="s">
        <v>20</v>
      </c>
      <c r="I320" s="29">
        <f>ROUND($G320*C320/100,0)</f>
        <v>3256049</v>
      </c>
      <c r="J320" s="23"/>
      <c r="K320" s="29">
        <f>ROUND($G320*E320/100,0)</f>
        <v>3365957</v>
      </c>
      <c r="L320" s="23"/>
      <c r="M320" s="144">
        <f t="shared" si="19"/>
        <v>3.2254</v>
      </c>
      <c r="N320" s="50" t="s">
        <v>20</v>
      </c>
      <c r="O320" s="29">
        <f>ROUND(M320*$E320/100,0)</f>
        <v>4026465</v>
      </c>
      <c r="P320" s="73"/>
      <c r="Q320" s="21"/>
      <c r="R320" s="26"/>
      <c r="S320" s="26"/>
      <c r="T320" s="26"/>
      <c r="U320" s="26"/>
      <c r="V320" s="26"/>
      <c r="W320" s="26"/>
      <c r="X320" s="26"/>
      <c r="Y320" s="26"/>
      <c r="Z320" s="26"/>
      <c r="AA320" s="26"/>
    </row>
    <row r="321" spans="1:27" ht="15">
      <c r="A321" s="42" t="s">
        <v>96</v>
      </c>
      <c r="B321" s="21"/>
      <c r="C321" s="43">
        <v>252737087</v>
      </c>
      <c r="D321" s="23"/>
      <c r="E321" s="40">
        <f>E323-E319-E320</f>
        <v>261268200.1163367</v>
      </c>
      <c r="F321" s="23"/>
      <c r="G321" s="143">
        <v>2.2518</v>
      </c>
      <c r="H321" s="50" t="s">
        <v>20</v>
      </c>
      <c r="I321" s="29">
        <f>ROUND($G321*C321/100,0)</f>
        <v>5691134</v>
      </c>
      <c r="J321" s="23"/>
      <c r="K321" s="29">
        <f>ROUND($G321*E321/100,0)</f>
        <v>5883237</v>
      </c>
      <c r="L321" s="23"/>
      <c r="M321" s="144">
        <f t="shared" si="19"/>
        <v>2.693</v>
      </c>
      <c r="N321" s="50" t="s">
        <v>20</v>
      </c>
      <c r="O321" s="29">
        <f>ROUND(M321*$E321/100,0)</f>
        <v>7035953</v>
      </c>
      <c r="P321" s="73"/>
      <c r="Q321" s="21" t="s">
        <v>29</v>
      </c>
      <c r="R321" s="104">
        <f>O323/K323-1</f>
        <v>0.19620694886063328</v>
      </c>
      <c r="S321" s="26"/>
      <c r="T321" s="26"/>
      <c r="U321" s="78"/>
      <c r="V321" s="26"/>
      <c r="W321" s="26"/>
      <c r="X321" s="26"/>
      <c r="Y321" s="26"/>
      <c r="Z321" s="26"/>
      <c r="AA321" s="26"/>
    </row>
    <row r="322" spans="1:27" ht="15">
      <c r="A322" s="42" t="s">
        <v>44</v>
      </c>
      <c r="B322" s="21"/>
      <c r="C322" s="82">
        <v>-948637</v>
      </c>
      <c r="D322" s="23"/>
      <c r="E322" s="82">
        <v>0</v>
      </c>
      <c r="F322" s="23"/>
      <c r="G322" s="20"/>
      <c r="H322" s="23"/>
      <c r="I322" s="84">
        <v>64438</v>
      </c>
      <c r="J322" s="23"/>
      <c r="K322" s="84">
        <v>0</v>
      </c>
      <c r="L322" s="23"/>
      <c r="M322" s="21"/>
      <c r="N322" s="23"/>
      <c r="O322" s="84">
        <v>0</v>
      </c>
      <c r="P322" s="21"/>
      <c r="Q322" s="21" t="s">
        <v>51</v>
      </c>
      <c r="R322" s="117">
        <f>(O323+O324)/(K323+K324)-1</f>
        <v>0.1426660416439991</v>
      </c>
      <c r="S322" s="113"/>
      <c r="T322" s="26"/>
      <c r="U322" s="26"/>
      <c r="V322" s="26"/>
      <c r="W322" s="26"/>
      <c r="X322" s="26"/>
      <c r="Y322" s="26"/>
      <c r="Z322" s="26"/>
      <c r="AA322" s="26"/>
    </row>
    <row r="323" spans="1:27" ht="15.75" thickBot="1">
      <c r="A323" s="42" t="s">
        <v>46</v>
      </c>
      <c r="B323" s="21"/>
      <c r="C323" s="118">
        <f>SUM(C319:C322)</f>
        <v>419769963</v>
      </c>
      <c r="D323" s="23"/>
      <c r="E323" s="118">
        <v>434919910.1163367</v>
      </c>
      <c r="F323" s="23"/>
      <c r="G323" s="110"/>
      <c r="H323" s="23"/>
      <c r="I323" s="111">
        <f>SUM(I315:I322)</f>
        <v>19532598</v>
      </c>
      <c r="J323" s="23"/>
      <c r="K323" s="111">
        <f>SUM(K315:K322)</f>
        <v>20145576</v>
      </c>
      <c r="L323" s="23"/>
      <c r="M323" s="112"/>
      <c r="N323" s="23"/>
      <c r="O323" s="111">
        <f>SUM(O315:O322)</f>
        <v>24098278</v>
      </c>
      <c r="P323" s="21"/>
      <c r="Q323" s="21"/>
      <c r="R323" s="78"/>
      <c r="S323" s="113"/>
      <c r="T323" s="26"/>
      <c r="U323" s="26"/>
      <c r="V323" s="26"/>
      <c r="W323" s="26"/>
      <c r="X323" s="26"/>
      <c r="Y323" s="26"/>
      <c r="Z323" s="26"/>
      <c r="AA323" s="26"/>
    </row>
    <row r="324" spans="1:27" ht="15.75" thickTop="1">
      <c r="A324" s="42" t="s">
        <v>48</v>
      </c>
      <c r="B324" s="21"/>
      <c r="C324" s="40"/>
      <c r="D324" s="23"/>
      <c r="E324" s="40"/>
      <c r="F324" s="23"/>
      <c r="G324" s="92"/>
      <c r="H324" s="93"/>
      <c r="I324" s="83">
        <f>I285-I298-I311</f>
        <v>943943.7037000004</v>
      </c>
      <c r="J324" s="23"/>
      <c r="K324" s="83">
        <f>I324</f>
        <v>943943.7037000004</v>
      </c>
      <c r="L324" s="23"/>
      <c r="M324" s="37"/>
      <c r="N324" s="93"/>
      <c r="O324" s="83">
        <v>0</v>
      </c>
      <c r="P324" s="29"/>
      <c r="Q324" s="21"/>
      <c r="R324" s="26"/>
      <c r="S324" s="113"/>
      <c r="T324" s="29"/>
      <c r="U324" s="26"/>
      <c r="V324" s="26"/>
      <c r="W324" s="26"/>
      <c r="X324" s="26"/>
      <c r="Y324" s="26"/>
      <c r="Z324" s="26"/>
      <c r="AA324" s="26"/>
    </row>
    <row r="325" spans="1:27" ht="15">
      <c r="A325" s="42" t="s">
        <v>49</v>
      </c>
      <c r="B325" s="21"/>
      <c r="C325" s="40"/>
      <c r="D325" s="23"/>
      <c r="E325" s="40"/>
      <c r="F325" s="23"/>
      <c r="G325" s="92">
        <f>M325</f>
        <v>0.037</v>
      </c>
      <c r="H325" s="114"/>
      <c r="I325" s="83">
        <f>ROUND(SUM(I316:I321,I324)*$G325,0)</f>
        <v>754893</v>
      </c>
      <c r="J325" s="23"/>
      <c r="K325" s="83">
        <f>ROUND(SUM(K316:K321,K324)*$G325,0)</f>
        <v>779957</v>
      </c>
      <c r="L325" s="23"/>
      <c r="M325" s="115">
        <f>M312</f>
        <v>0.037</v>
      </c>
      <c r="N325" s="114"/>
      <c r="O325" s="83">
        <f>ROUND(SUM(O316:O321,O324)*M325,0)</f>
        <v>891246</v>
      </c>
      <c r="P325" s="29"/>
      <c r="Q325" s="21"/>
      <c r="R325" s="26"/>
      <c r="S325" s="26"/>
      <c r="T325" s="29"/>
      <c r="U325" s="26"/>
      <c r="V325" s="26"/>
      <c r="W325" s="26"/>
      <c r="X325" s="26"/>
      <c r="Y325" s="26"/>
      <c r="Z325" s="26"/>
      <c r="AA325" s="26"/>
    </row>
    <row r="326" spans="1:27" ht="15">
      <c r="A326" s="20"/>
      <c r="B326" s="21"/>
      <c r="C326" s="40"/>
      <c r="D326" s="23"/>
      <c r="E326" s="40"/>
      <c r="F326" s="23"/>
      <c r="G326" s="20"/>
      <c r="H326" s="23"/>
      <c r="I326" s="21"/>
      <c r="J326" s="23"/>
      <c r="K326" s="21"/>
      <c r="L326" s="23"/>
      <c r="M326" s="21"/>
      <c r="N326" s="23"/>
      <c r="O326" s="21"/>
      <c r="P326" s="29"/>
      <c r="Q326" s="21"/>
      <c r="R326" s="26"/>
      <c r="S326" s="26"/>
      <c r="T326" s="29"/>
      <c r="U326" s="40"/>
      <c r="V326" s="26"/>
      <c r="W326" s="26"/>
      <c r="X326" s="26"/>
      <c r="Y326" s="26"/>
      <c r="Z326" s="26"/>
      <c r="AA326" s="26"/>
    </row>
    <row r="327" spans="1:27" ht="15">
      <c r="A327" s="38" t="s">
        <v>106</v>
      </c>
      <c r="B327" s="21"/>
      <c r="C327" s="40"/>
      <c r="D327" s="23"/>
      <c r="E327" s="40"/>
      <c r="F327" s="23"/>
      <c r="G327" s="120"/>
      <c r="H327" s="119"/>
      <c r="I327" s="21"/>
      <c r="J327" s="23"/>
      <c r="K327" s="21"/>
      <c r="L327" s="23"/>
      <c r="M327" s="121"/>
      <c r="N327" s="119"/>
      <c r="O327" s="21"/>
      <c r="P327" s="29"/>
      <c r="Q327" s="21"/>
      <c r="R327" s="26"/>
      <c r="S327" s="26"/>
      <c r="T327" s="29"/>
      <c r="U327" s="40"/>
      <c r="V327" s="26"/>
      <c r="W327" s="26"/>
      <c r="X327" s="26"/>
      <c r="Y327" s="26"/>
      <c r="Z327" s="26"/>
      <c r="AA327" s="26"/>
    </row>
    <row r="328" spans="1:27" ht="15">
      <c r="A328" s="42" t="s">
        <v>16</v>
      </c>
      <c r="B328" s="21"/>
      <c r="C328" s="43">
        <v>24.0000166666667</v>
      </c>
      <c r="D328" s="23"/>
      <c r="E328" s="40">
        <v>24</v>
      </c>
      <c r="F328" s="23"/>
      <c r="G328" s="44">
        <v>200</v>
      </c>
      <c r="H328" s="96"/>
      <c r="I328" s="29">
        <f>ROUND($G328*C328,0)</f>
        <v>4800</v>
      </c>
      <c r="J328" s="23"/>
      <c r="K328" s="29">
        <f>ROUND($G328*E328,0)</f>
        <v>4800</v>
      </c>
      <c r="L328" s="23"/>
      <c r="M328" s="97">
        <f>M276</f>
        <v>220</v>
      </c>
      <c r="N328" s="96"/>
      <c r="O328" s="29">
        <f>ROUND(M328*$E328,0)</f>
        <v>5280</v>
      </c>
      <c r="P328" s="29"/>
      <c r="Q328" s="55" t="s">
        <v>23</v>
      </c>
      <c r="R328" s="56">
        <f>O334+O344</f>
        <v>3808182</v>
      </c>
      <c r="S328" s="26"/>
      <c r="T328" s="29"/>
      <c r="U328" s="40"/>
      <c r="V328" s="26"/>
      <c r="W328" s="26"/>
      <c r="X328" s="26"/>
      <c r="Y328" s="26"/>
      <c r="Z328" s="26"/>
      <c r="AA328" s="26"/>
    </row>
    <row r="329" spans="1:27" ht="15">
      <c r="A329" s="42" t="s">
        <v>107</v>
      </c>
      <c r="B329" s="21"/>
      <c r="C329" s="43">
        <v>0</v>
      </c>
      <c r="D329" s="23"/>
      <c r="E329" s="43">
        <v>0</v>
      </c>
      <c r="F329" s="23"/>
      <c r="G329" s="44">
        <v>0</v>
      </c>
      <c r="H329" s="45"/>
      <c r="I329" s="29">
        <f>ROUND($G329*C329,0)</f>
        <v>0</v>
      </c>
      <c r="J329" s="23"/>
      <c r="K329" s="29">
        <f>ROUND($G329*E329,0)</f>
        <v>0</v>
      </c>
      <c r="L329" s="23"/>
      <c r="M329" s="46">
        <v>0</v>
      </c>
      <c r="N329" s="45"/>
      <c r="O329" s="29">
        <f>ROUND(M329*$E329,0)</f>
        <v>0</v>
      </c>
      <c r="P329" s="73"/>
      <c r="Q329" s="58" t="s">
        <v>25</v>
      </c>
      <c r="R329" s="59">
        <v>3808193</v>
      </c>
      <c r="S329" s="26"/>
      <c r="T329" s="26"/>
      <c r="U329" s="40"/>
      <c r="V329" s="26"/>
      <c r="W329" s="26"/>
      <c r="X329" s="26"/>
      <c r="Y329" s="26"/>
      <c r="Z329" s="26"/>
      <c r="AA329" s="26"/>
    </row>
    <row r="330" spans="1:27" ht="15">
      <c r="A330" s="42" t="s">
        <v>108</v>
      </c>
      <c r="B330" s="21"/>
      <c r="C330" s="43">
        <v>79119</v>
      </c>
      <c r="D330" s="23"/>
      <c r="E330" s="40">
        <f>ROUND(C330*$E$334/$C$334,0)</f>
        <v>109222</v>
      </c>
      <c r="F330" s="23"/>
      <c r="G330" s="44">
        <v>1.71</v>
      </c>
      <c r="H330" s="96"/>
      <c r="I330" s="29">
        <f>ROUND($G330*C330,0)</f>
        <v>135293</v>
      </c>
      <c r="J330" s="23"/>
      <c r="K330" s="29">
        <f>ROUND($G330*E330,0)</f>
        <v>186770</v>
      </c>
      <c r="L330" s="23"/>
      <c r="M330" s="97">
        <f>M277</f>
        <v>2.05</v>
      </c>
      <c r="N330" s="96"/>
      <c r="O330" s="29">
        <f>ROUND(M330*$E330,0)</f>
        <v>223905</v>
      </c>
      <c r="P330" s="73"/>
      <c r="Q330" s="63" t="s">
        <v>27</v>
      </c>
      <c r="R330" s="64">
        <f>R329-R328</f>
        <v>11</v>
      </c>
      <c r="S330" s="26"/>
      <c r="T330" s="29"/>
      <c r="U330" s="78"/>
      <c r="V330" s="26"/>
      <c r="W330" s="26"/>
      <c r="X330" s="26"/>
      <c r="Y330" s="26"/>
      <c r="Z330" s="26"/>
      <c r="AA330" s="26"/>
    </row>
    <row r="331" spans="1:27" ht="15">
      <c r="A331" s="42" t="s">
        <v>109</v>
      </c>
      <c r="B331" s="21"/>
      <c r="C331" s="43">
        <v>11658000</v>
      </c>
      <c r="D331" s="23"/>
      <c r="E331" s="40">
        <f>ROUND(C331*($E$334-$E$333)/($C$334-$C$333),0)</f>
        <v>16140604</v>
      </c>
      <c r="F331" s="23"/>
      <c r="G331" s="107">
        <v>6.6247</v>
      </c>
      <c r="H331" s="50" t="s">
        <v>20</v>
      </c>
      <c r="I331" s="29">
        <f>ROUND($G331*C331/100,0)</f>
        <v>772308</v>
      </c>
      <c r="J331" s="23"/>
      <c r="K331" s="29">
        <f>ROUND($G331*E331/100,0)</f>
        <v>1069267</v>
      </c>
      <c r="L331" s="23"/>
      <c r="M331" s="107">
        <f>ROUND(G331*(1+R333),4)</f>
        <v>8.0775</v>
      </c>
      <c r="N331" s="50" t="s">
        <v>20</v>
      </c>
      <c r="O331" s="29">
        <f>ROUND(M331*$E331/100,0)</f>
        <v>1303757</v>
      </c>
      <c r="P331" s="73"/>
      <c r="Q331" s="66" t="s">
        <v>29</v>
      </c>
      <c r="R331" s="132">
        <f>R328/(K334+K344)-1</f>
        <v>0.21847046390213798</v>
      </c>
      <c r="S331" s="26"/>
      <c r="T331" s="26"/>
      <c r="U331" s="78"/>
      <c r="V331" s="26"/>
      <c r="W331" s="26"/>
      <c r="X331" s="26"/>
      <c r="Y331" s="26"/>
      <c r="Z331" s="26"/>
      <c r="AA331" s="26"/>
    </row>
    <row r="332" spans="1:27" ht="15">
      <c r="A332" s="42" t="s">
        <v>96</v>
      </c>
      <c r="B332" s="21"/>
      <c r="C332" s="43">
        <v>13185600</v>
      </c>
      <c r="D332" s="23"/>
      <c r="E332" s="40">
        <f>E334-E331</f>
        <v>18255580</v>
      </c>
      <c r="F332" s="23"/>
      <c r="G332" s="107">
        <v>2.8479</v>
      </c>
      <c r="H332" s="50" t="s">
        <v>20</v>
      </c>
      <c r="I332" s="29">
        <f>ROUND($G332*C332/100,0)</f>
        <v>375513</v>
      </c>
      <c r="J332" s="23"/>
      <c r="K332" s="29">
        <f>ROUND($G332*E332/100,0)</f>
        <v>519901</v>
      </c>
      <c r="L332" s="23"/>
      <c r="M332" s="107">
        <f>ROUND((R329-SUM(O328:O331,O339:O341))/(E332+E342)*100,4)</f>
        <v>3.5143</v>
      </c>
      <c r="N332" s="50" t="s">
        <v>20</v>
      </c>
      <c r="O332" s="29">
        <f>ROUND(M332*$E332/100,0)</f>
        <v>641556</v>
      </c>
      <c r="P332" s="73"/>
      <c r="Q332" s="70" t="s">
        <v>31</v>
      </c>
      <c r="R332" s="132">
        <f>R329/(K334+K344)-1</f>
        <v>0.21847398347528402</v>
      </c>
      <c r="S332" s="26"/>
      <c r="T332" s="124"/>
      <c r="U332" s="78"/>
      <c r="V332" s="26"/>
      <c r="W332" s="26"/>
      <c r="X332" s="26"/>
      <c r="Y332" s="26"/>
      <c r="Z332" s="26"/>
      <c r="AA332" s="26"/>
    </row>
    <row r="333" spans="1:27" ht="15">
      <c r="A333" s="42" t="s">
        <v>44</v>
      </c>
      <c r="B333" s="21"/>
      <c r="C333" s="82">
        <v>72654</v>
      </c>
      <c r="D333" s="23"/>
      <c r="E333" s="133">
        <v>0</v>
      </c>
      <c r="F333" s="23"/>
      <c r="G333" s="20"/>
      <c r="H333" s="23"/>
      <c r="I333" s="84">
        <v>6065</v>
      </c>
      <c r="J333" s="23"/>
      <c r="K333" s="84">
        <v>0</v>
      </c>
      <c r="L333" s="23"/>
      <c r="M333" s="20"/>
      <c r="N333" s="23"/>
      <c r="O333" s="84">
        <v>0</v>
      </c>
      <c r="P333" s="21"/>
      <c r="Q333" s="70" t="s">
        <v>74</v>
      </c>
      <c r="R333" s="132">
        <f>(R329-O328-O339-O329)/(K334+K344-K328-K339-K329)-1</f>
        <v>0.2192984745370079</v>
      </c>
      <c r="S333" s="26"/>
      <c r="T333" s="26"/>
      <c r="U333" s="26"/>
      <c r="V333" s="26"/>
      <c r="W333" s="26"/>
      <c r="X333" s="26"/>
      <c r="Y333" s="26"/>
      <c r="Z333" s="26"/>
      <c r="AA333" s="26"/>
    </row>
    <row r="334" spans="1:27" ht="15.75" thickBot="1">
      <c r="A334" s="42" t="s">
        <v>46</v>
      </c>
      <c r="B334" s="21"/>
      <c r="C334" s="118">
        <f>SUM(C331:C333)</f>
        <v>24916254</v>
      </c>
      <c r="D334" s="23"/>
      <c r="E334" s="118">
        <v>34396184</v>
      </c>
      <c r="F334" s="23"/>
      <c r="G334" s="110"/>
      <c r="H334" s="23"/>
      <c r="I334" s="111">
        <f>SUM(I328:I333)</f>
        <v>1293979</v>
      </c>
      <c r="J334" s="23"/>
      <c r="K334" s="111">
        <f>SUM(K328:K333)</f>
        <v>1780738</v>
      </c>
      <c r="L334" s="23"/>
      <c r="M334" s="110"/>
      <c r="N334" s="23"/>
      <c r="O334" s="111">
        <f>SUM(O328:O333)</f>
        <v>2174498</v>
      </c>
      <c r="P334" s="21"/>
      <c r="Q334" s="85" t="s">
        <v>35</v>
      </c>
      <c r="R334" s="149">
        <f>O328/K328-1</f>
        <v>0.10000000000000009</v>
      </c>
      <c r="S334" s="26"/>
      <c r="T334" s="26"/>
      <c r="U334" s="26"/>
      <c r="V334" s="26"/>
      <c r="W334" s="26"/>
      <c r="X334" s="26"/>
      <c r="Y334" s="26"/>
      <c r="Z334" s="26"/>
      <c r="AA334" s="26"/>
    </row>
    <row r="335" spans="1:27" ht="15.75" thickTop="1">
      <c r="A335" s="42" t="s">
        <v>48</v>
      </c>
      <c r="B335" s="21"/>
      <c r="C335" s="40"/>
      <c r="D335" s="23"/>
      <c r="E335" s="40"/>
      <c r="F335" s="23"/>
      <c r="G335" s="92"/>
      <c r="H335" s="93"/>
      <c r="I335" s="83">
        <v>69877</v>
      </c>
      <c r="J335" s="23"/>
      <c r="K335" s="83">
        <f>I335</f>
        <v>69877</v>
      </c>
      <c r="L335" s="23"/>
      <c r="M335" s="37"/>
      <c r="N335" s="93"/>
      <c r="O335" s="83">
        <v>0</v>
      </c>
      <c r="P335" s="29"/>
      <c r="Q335" s="85" t="s">
        <v>51</v>
      </c>
      <c r="R335" s="135">
        <f>(O334+O335)/(K334+K335)-1</f>
        <v>0.17501371165801638</v>
      </c>
      <c r="S335" s="26"/>
      <c r="T335" s="26"/>
      <c r="U335" s="26"/>
      <c r="V335" s="26"/>
      <c r="W335" s="26"/>
      <c r="X335" s="26"/>
      <c r="Y335" s="26"/>
      <c r="Z335" s="26"/>
      <c r="AA335" s="26"/>
    </row>
    <row r="336" spans="1:27" ht="15">
      <c r="A336" s="42" t="s">
        <v>49</v>
      </c>
      <c r="B336" s="21"/>
      <c r="C336" s="40"/>
      <c r="D336" s="23"/>
      <c r="E336" s="40"/>
      <c r="F336" s="23"/>
      <c r="G336" s="92">
        <f>M336</f>
        <v>0.037</v>
      </c>
      <c r="H336" s="93"/>
      <c r="I336" s="83">
        <f>ROUND(SUM(I330:I332,I335)*$G336,0)</f>
        <v>50061</v>
      </c>
      <c r="J336" s="23"/>
      <c r="K336" s="83">
        <f>ROUND(SUM(K330:K332,K335)*$G336,0)</f>
        <v>68295</v>
      </c>
      <c r="L336" s="23"/>
      <c r="M336" s="37">
        <v>0.037</v>
      </c>
      <c r="N336" s="93"/>
      <c r="O336" s="83">
        <f>ROUND(SUM(O330:O332,O335)*M336,0)</f>
        <v>80261</v>
      </c>
      <c r="P336" s="29"/>
      <c r="Q336" s="21"/>
      <c r="R336" s="26"/>
      <c r="S336" s="26"/>
      <c r="T336" s="26"/>
      <c r="U336" s="26"/>
      <c r="V336" s="26"/>
      <c r="W336" s="26"/>
      <c r="X336" s="26"/>
      <c r="Y336" s="26"/>
      <c r="Z336" s="26"/>
      <c r="AA336" s="26"/>
    </row>
    <row r="337" spans="1:27" ht="15">
      <c r="A337" s="20"/>
      <c r="B337" s="21"/>
      <c r="C337" s="40"/>
      <c r="D337" s="23"/>
      <c r="E337" s="40"/>
      <c r="F337" s="23"/>
      <c r="G337" s="20"/>
      <c r="H337" s="23"/>
      <c r="I337" s="21"/>
      <c r="J337" s="23"/>
      <c r="K337" s="21"/>
      <c r="L337" s="23"/>
      <c r="M337" s="21"/>
      <c r="N337" s="23"/>
      <c r="O337" s="21"/>
      <c r="P337" s="29"/>
      <c r="Q337" s="21"/>
      <c r="R337" s="26"/>
      <c r="S337" s="26"/>
      <c r="T337" s="26"/>
      <c r="U337" s="26"/>
      <c r="V337" s="26"/>
      <c r="W337" s="26"/>
      <c r="X337" s="26"/>
      <c r="Y337" s="26"/>
      <c r="Z337" s="26"/>
      <c r="AA337" s="26"/>
    </row>
    <row r="338" spans="1:27" ht="15">
      <c r="A338" s="38" t="s">
        <v>110</v>
      </c>
      <c r="B338" s="21"/>
      <c r="C338" s="40"/>
      <c r="D338" s="23"/>
      <c r="E338" s="40"/>
      <c r="F338" s="23"/>
      <c r="G338" s="120"/>
      <c r="H338" s="119"/>
      <c r="I338" s="21"/>
      <c r="J338" s="23"/>
      <c r="K338" s="21"/>
      <c r="L338" s="23"/>
      <c r="M338" s="121"/>
      <c r="N338" s="119"/>
      <c r="O338" s="21"/>
      <c r="P338" s="29"/>
      <c r="Q338" s="21"/>
      <c r="R338" s="26"/>
      <c r="S338" s="78"/>
      <c r="T338" s="26"/>
      <c r="U338" s="26"/>
      <c r="V338" s="26"/>
      <c r="W338" s="26"/>
      <c r="X338" s="26"/>
      <c r="Y338" s="26"/>
      <c r="Z338" s="26"/>
      <c r="AA338" s="26"/>
    </row>
    <row r="339" spans="1:27" ht="15">
      <c r="A339" s="42" t="s">
        <v>16</v>
      </c>
      <c r="B339" s="21"/>
      <c r="C339" s="43">
        <v>84.0001272902604</v>
      </c>
      <c r="D339" s="23"/>
      <c r="E339" s="40">
        <v>84</v>
      </c>
      <c r="F339" s="23"/>
      <c r="G339" s="69">
        <v>200</v>
      </c>
      <c r="H339" s="68"/>
      <c r="I339" s="29">
        <f>ROUND($G339*C339,0)</f>
        <v>16800</v>
      </c>
      <c r="J339" s="23"/>
      <c r="K339" s="29">
        <f>ROUND($G339*E339,0)</f>
        <v>16800</v>
      </c>
      <c r="L339" s="23"/>
      <c r="M339" s="122">
        <f>M328</f>
        <v>220</v>
      </c>
      <c r="N339" s="68"/>
      <c r="O339" s="29">
        <f>ROUND(M339*$E339,0)</f>
        <v>18480</v>
      </c>
      <c r="P339" s="73"/>
      <c r="Q339" s="21"/>
      <c r="R339" s="26"/>
      <c r="S339" s="26"/>
      <c r="T339" s="26"/>
      <c r="U339" s="26"/>
      <c r="V339" s="26"/>
      <c r="W339" s="26"/>
      <c r="X339" s="26"/>
      <c r="Y339" s="26"/>
      <c r="Z339" s="26"/>
      <c r="AA339" s="26"/>
    </row>
    <row r="340" spans="1:27" ht="15">
      <c r="A340" s="42" t="s">
        <v>108</v>
      </c>
      <c r="B340" s="21"/>
      <c r="C340" s="43">
        <v>175509.01297941798</v>
      </c>
      <c r="D340" s="23"/>
      <c r="E340" s="40">
        <f>ROUND(C340*$E$344/$C$344,0)</f>
        <v>178334</v>
      </c>
      <c r="F340" s="23"/>
      <c r="G340" s="69">
        <v>1.71</v>
      </c>
      <c r="H340" s="68"/>
      <c r="I340" s="29">
        <f>ROUND($G340*C340,0)</f>
        <v>300120</v>
      </c>
      <c r="J340" s="23"/>
      <c r="K340" s="29">
        <f>ROUND($G340*E340,0)</f>
        <v>304951</v>
      </c>
      <c r="L340" s="23"/>
      <c r="M340" s="122">
        <f>M330</f>
        <v>2.05</v>
      </c>
      <c r="N340" s="68"/>
      <c r="O340" s="29">
        <f>ROUND(M340*$E340,0)</f>
        <v>365585</v>
      </c>
      <c r="P340" s="73"/>
      <c r="Q340" s="21"/>
      <c r="R340" s="26"/>
      <c r="S340" s="26"/>
      <c r="T340" s="78"/>
      <c r="U340" s="26"/>
      <c r="V340" s="26"/>
      <c r="W340" s="26"/>
      <c r="X340" s="26"/>
      <c r="Y340" s="26"/>
      <c r="Z340" s="26"/>
      <c r="AA340" s="26"/>
    </row>
    <row r="341" spans="1:27" ht="15">
      <c r="A341" s="42" t="s">
        <v>109</v>
      </c>
      <c r="B341" s="21"/>
      <c r="C341" s="43">
        <v>12717239</v>
      </c>
      <c r="D341" s="23"/>
      <c r="E341" s="40">
        <f>ROUND(C341*($E$344-$E$343)/($C$344-$C$343),0)</f>
        <v>12967672</v>
      </c>
      <c r="F341" s="23"/>
      <c r="G341" s="143">
        <v>6.6247</v>
      </c>
      <c r="H341" s="50" t="s">
        <v>20</v>
      </c>
      <c r="I341" s="29">
        <f>ROUND($G341*C341/100,0)</f>
        <v>842479</v>
      </c>
      <c r="J341" s="23"/>
      <c r="K341" s="29">
        <f>ROUND($G341*E341/100,0)</f>
        <v>859069</v>
      </c>
      <c r="L341" s="23"/>
      <c r="M341" s="144">
        <f>M331</f>
        <v>8.0775</v>
      </c>
      <c r="N341" s="50" t="s">
        <v>20</v>
      </c>
      <c r="O341" s="29">
        <f>ROUND(M341*$E341/100,0)</f>
        <v>1047464</v>
      </c>
      <c r="P341" s="73"/>
      <c r="Q341" s="21"/>
      <c r="R341" s="26"/>
      <c r="S341" s="26"/>
      <c r="T341" s="26"/>
      <c r="U341" s="26"/>
      <c r="V341" s="26"/>
      <c r="W341" s="26"/>
      <c r="X341" s="26"/>
      <c r="Y341" s="26"/>
      <c r="Z341" s="26"/>
      <c r="AA341" s="26"/>
    </row>
    <row r="342" spans="1:27" ht="15">
      <c r="A342" s="42" t="s">
        <v>96</v>
      </c>
      <c r="B342" s="21"/>
      <c r="C342" s="43">
        <v>5641263</v>
      </c>
      <c r="D342" s="23"/>
      <c r="E342" s="40">
        <f>E344-E341</f>
        <v>5752352.411492646</v>
      </c>
      <c r="F342" s="23"/>
      <c r="G342" s="143">
        <v>2.8479</v>
      </c>
      <c r="H342" s="50" t="s">
        <v>20</v>
      </c>
      <c r="I342" s="29">
        <f>ROUND($G342*C342/100,0)</f>
        <v>160658</v>
      </c>
      <c r="J342" s="23"/>
      <c r="K342" s="29">
        <f>ROUND($G342*E342/100,0)</f>
        <v>163821</v>
      </c>
      <c r="L342" s="23"/>
      <c r="M342" s="144">
        <f>M332</f>
        <v>3.5143</v>
      </c>
      <c r="N342" s="50" t="s">
        <v>20</v>
      </c>
      <c r="O342" s="29">
        <f>ROUND(M342*$E342/100,0)</f>
        <v>202155</v>
      </c>
      <c r="P342" s="73"/>
      <c r="Q342" s="21" t="s">
        <v>29</v>
      </c>
      <c r="R342" s="104">
        <f>O344/K344-1</f>
        <v>0.21495923447224952</v>
      </c>
      <c r="S342" s="26"/>
      <c r="T342" s="26"/>
      <c r="U342" s="78"/>
      <c r="V342" s="26"/>
      <c r="W342" s="26"/>
      <c r="X342" s="26"/>
      <c r="Y342" s="26"/>
      <c r="Z342" s="26"/>
      <c r="AA342" s="26"/>
    </row>
    <row r="343" spans="1:27" ht="15">
      <c r="A343" s="42" t="s">
        <v>44</v>
      </c>
      <c r="B343" s="21"/>
      <c r="C343" s="82">
        <v>64996</v>
      </c>
      <c r="D343" s="23"/>
      <c r="E343" s="133">
        <v>0</v>
      </c>
      <c r="F343" s="23"/>
      <c r="G343" s="20"/>
      <c r="H343" s="23"/>
      <c r="I343" s="84">
        <v>2843</v>
      </c>
      <c r="J343" s="154"/>
      <c r="K343" s="84">
        <v>0</v>
      </c>
      <c r="L343" s="154"/>
      <c r="M343" s="155"/>
      <c r="N343" s="154"/>
      <c r="O343" s="84">
        <v>0</v>
      </c>
      <c r="P343" s="21"/>
      <c r="Q343" s="21" t="s">
        <v>51</v>
      </c>
      <c r="R343" s="117">
        <f>(O344+O345)/(K344+K345)-1</f>
        <v>0.15366685301754845</v>
      </c>
      <c r="S343" s="26"/>
      <c r="T343" s="26"/>
      <c r="U343" s="26"/>
      <c r="V343" s="26"/>
      <c r="W343" s="26"/>
      <c r="X343" s="26"/>
      <c r="Y343" s="26"/>
      <c r="Z343" s="26"/>
      <c r="AA343" s="26"/>
    </row>
    <row r="344" spans="1:27" ht="15.75" thickBot="1">
      <c r="A344" s="42" t="s">
        <v>46</v>
      </c>
      <c r="B344" s="21"/>
      <c r="C344" s="118">
        <f>SUM(C341:C343)</f>
        <v>18423498</v>
      </c>
      <c r="D344" s="23"/>
      <c r="E344" s="118">
        <v>18720024.411492646</v>
      </c>
      <c r="F344" s="23"/>
      <c r="G344" s="110"/>
      <c r="H344" s="23"/>
      <c r="I344" s="111">
        <f>SUM(I339:I343)</f>
        <v>1322900</v>
      </c>
      <c r="J344" s="23"/>
      <c r="K344" s="111">
        <f>SUM(K339:K343)</f>
        <v>1344641</v>
      </c>
      <c r="L344" s="23"/>
      <c r="M344" s="112"/>
      <c r="N344" s="23"/>
      <c r="O344" s="111">
        <f>SUM(O339:O343)</f>
        <v>1633684</v>
      </c>
      <c r="P344" s="21"/>
      <c r="Q344" s="21"/>
      <c r="R344" s="78"/>
      <c r="S344" s="113"/>
      <c r="T344" s="26"/>
      <c r="U344" s="26"/>
      <c r="V344" s="26"/>
      <c r="W344" s="26"/>
      <c r="X344" s="26"/>
      <c r="Y344" s="26"/>
      <c r="Z344" s="26"/>
      <c r="AA344" s="26"/>
    </row>
    <row r="345" spans="1:27" ht="15.75" thickTop="1">
      <c r="A345" s="42" t="s">
        <v>48</v>
      </c>
      <c r="B345" s="21"/>
      <c r="C345" s="40"/>
      <c r="D345" s="23"/>
      <c r="E345" s="40"/>
      <c r="F345" s="23"/>
      <c r="G345" s="92"/>
      <c r="H345" s="93"/>
      <c r="I345" s="83">
        <v>71438.51699999999</v>
      </c>
      <c r="J345" s="23"/>
      <c r="K345" s="83">
        <f>I345</f>
        <v>71438.51699999999</v>
      </c>
      <c r="L345" s="23"/>
      <c r="M345" s="37"/>
      <c r="N345" s="93"/>
      <c r="O345" s="83">
        <v>0</v>
      </c>
      <c r="P345" s="29"/>
      <c r="Q345" s="21"/>
      <c r="R345" s="26"/>
      <c r="S345" s="26"/>
      <c r="T345" s="26"/>
      <c r="U345" s="26"/>
      <c r="V345" s="26"/>
      <c r="W345" s="26"/>
      <c r="X345" s="26"/>
      <c r="Y345" s="26"/>
      <c r="Z345" s="26"/>
      <c r="AA345" s="26"/>
    </row>
    <row r="346" spans="1:27" ht="15">
      <c r="A346" s="42" t="s">
        <v>49</v>
      </c>
      <c r="B346" s="21"/>
      <c r="C346" s="40"/>
      <c r="D346" s="23"/>
      <c r="E346" s="40"/>
      <c r="F346" s="23"/>
      <c r="G346" s="92">
        <f>M346</f>
        <v>0.037</v>
      </c>
      <c r="H346" s="114"/>
      <c r="I346" s="83">
        <f>ROUND(SUM(I340:I342,I345)*$G346,0)</f>
        <v>50864</v>
      </c>
      <c r="J346" s="23"/>
      <c r="K346" s="83">
        <f>ROUND(SUM(K340:K342,K345)*$G346,0)</f>
        <v>51773</v>
      </c>
      <c r="L346" s="23"/>
      <c r="M346" s="115">
        <f>M336</f>
        <v>0.037</v>
      </c>
      <c r="N346" s="114"/>
      <c r="O346" s="83">
        <f>ROUND(SUM(O340:O342,O345)*M346,0)</f>
        <v>59763</v>
      </c>
      <c r="P346" s="29"/>
      <c r="Q346" s="21"/>
      <c r="R346" s="26"/>
      <c r="S346" s="113"/>
      <c r="T346" s="29"/>
      <c r="U346" s="26"/>
      <c r="V346" s="26"/>
      <c r="W346" s="26"/>
      <c r="X346" s="26"/>
      <c r="Y346" s="26"/>
      <c r="Z346" s="26"/>
      <c r="AA346" s="26"/>
    </row>
    <row r="347" spans="1:27" ht="15">
      <c r="A347" s="20"/>
      <c r="B347" s="21"/>
      <c r="C347" s="40"/>
      <c r="D347" s="23"/>
      <c r="E347" s="40"/>
      <c r="F347" s="23"/>
      <c r="G347" s="20"/>
      <c r="H347" s="23"/>
      <c r="I347" s="21"/>
      <c r="J347" s="23"/>
      <c r="K347" s="21"/>
      <c r="L347" s="23"/>
      <c r="M347" s="21"/>
      <c r="N347" s="23"/>
      <c r="O347" s="21"/>
      <c r="P347" s="29"/>
      <c r="Q347" s="21"/>
      <c r="R347" s="26"/>
      <c r="S347" s="113"/>
      <c r="T347" s="26"/>
      <c r="U347" s="26"/>
      <c r="V347" s="26"/>
      <c r="W347" s="26"/>
      <c r="X347" s="26"/>
      <c r="Y347" s="26"/>
      <c r="Z347" s="26"/>
      <c r="AA347" s="26"/>
    </row>
    <row r="348" spans="1:27" ht="15">
      <c r="A348" s="38" t="s">
        <v>111</v>
      </c>
      <c r="B348" s="21"/>
      <c r="C348" s="21"/>
      <c r="D348" s="23"/>
      <c r="E348" s="21"/>
      <c r="F348" s="23"/>
      <c r="G348" s="20"/>
      <c r="H348" s="23"/>
      <c r="I348" s="21"/>
      <c r="J348" s="23"/>
      <c r="K348" s="21"/>
      <c r="L348" s="23"/>
      <c r="M348" s="21"/>
      <c r="N348" s="23"/>
      <c r="O348" s="21"/>
      <c r="P348" s="29"/>
      <c r="Q348" s="21"/>
      <c r="R348" s="26"/>
      <c r="S348" s="26"/>
      <c r="T348" s="29"/>
      <c r="U348" s="40"/>
      <c r="V348" s="26"/>
      <c r="W348" s="26"/>
      <c r="X348" s="26"/>
      <c r="Y348" s="26"/>
      <c r="Z348" s="26"/>
      <c r="AA348" s="26"/>
    </row>
    <row r="349" spans="1:27" ht="15">
      <c r="A349" s="42" t="s">
        <v>112</v>
      </c>
      <c r="B349" s="21"/>
      <c r="C349" s="43">
        <v>1</v>
      </c>
      <c r="D349" s="23"/>
      <c r="E349" s="40">
        <v>1</v>
      </c>
      <c r="F349" s="23"/>
      <c r="G349" s="69">
        <v>98</v>
      </c>
      <c r="H349" s="72"/>
      <c r="I349" s="29">
        <f>ROUND($G349*C349,0)</f>
        <v>98</v>
      </c>
      <c r="J349" s="23"/>
      <c r="K349" s="29">
        <f>ROUND($G349*E349,0)</f>
        <v>98</v>
      </c>
      <c r="L349" s="23"/>
      <c r="M349" s="69">
        <v>106</v>
      </c>
      <c r="N349" s="72"/>
      <c r="O349" s="29">
        <f>ROUND(M349*$E349,0)</f>
        <v>106</v>
      </c>
      <c r="P349" s="29"/>
      <c r="Q349" s="21"/>
      <c r="R349" s="26"/>
      <c r="S349" s="26"/>
      <c r="T349" s="29"/>
      <c r="U349" s="26"/>
      <c r="V349" s="26"/>
      <c r="W349" s="26"/>
      <c r="X349" s="26"/>
      <c r="Y349" s="26"/>
      <c r="Z349" s="26"/>
      <c r="AA349" s="26"/>
    </row>
    <row r="350" spans="1:27" ht="15">
      <c r="A350" s="42" t="s">
        <v>113</v>
      </c>
      <c r="B350" s="21"/>
      <c r="C350" s="43">
        <v>2484.4848275862087</v>
      </c>
      <c r="D350" s="23"/>
      <c r="E350" s="40">
        <v>2610</v>
      </c>
      <c r="F350" s="23"/>
      <c r="G350" s="69">
        <v>30</v>
      </c>
      <c r="H350" s="72"/>
      <c r="I350" s="29">
        <f>ROUND($G350*C350,0)</f>
        <v>74535</v>
      </c>
      <c r="J350" s="23"/>
      <c r="K350" s="29">
        <f>ROUND($G350*E350,0)</f>
        <v>78300</v>
      </c>
      <c r="L350" s="23"/>
      <c r="M350" s="69">
        <v>33</v>
      </c>
      <c r="N350" s="72"/>
      <c r="O350" s="29">
        <f>ROUND(M350*$E350,0)</f>
        <v>86130</v>
      </c>
      <c r="P350" s="29"/>
      <c r="Q350" s="97"/>
      <c r="R350" s="26"/>
      <c r="S350" s="26"/>
      <c r="T350" s="26"/>
      <c r="U350" s="40"/>
      <c r="V350" s="26"/>
      <c r="W350" s="26"/>
      <c r="X350" s="26"/>
      <c r="Y350" s="26"/>
      <c r="Z350" s="26"/>
      <c r="AA350" s="26"/>
    </row>
    <row r="351" spans="1:27" ht="15">
      <c r="A351" s="42" t="s">
        <v>114</v>
      </c>
      <c r="B351" s="21"/>
      <c r="C351" s="43">
        <v>0</v>
      </c>
      <c r="D351" s="23"/>
      <c r="E351" s="40">
        <f>ROUND(C351*(E$349+E$350)/(C$349+C$350),0)</f>
        <v>0</v>
      </c>
      <c r="F351" s="23"/>
      <c r="G351" s="69">
        <v>12</v>
      </c>
      <c r="H351" s="72"/>
      <c r="I351" s="29">
        <f>ROUND($G351*C351,0)</f>
        <v>0</v>
      </c>
      <c r="J351" s="23"/>
      <c r="K351" s="29">
        <f>ROUND($G351*E351,0)</f>
        <v>0</v>
      </c>
      <c r="L351" s="23"/>
      <c r="M351" s="69">
        <v>13</v>
      </c>
      <c r="N351" s="72"/>
      <c r="O351" s="29">
        <f>ROUND(M351*$E351,0)</f>
        <v>0</v>
      </c>
      <c r="P351" s="73"/>
      <c r="Q351" s="97"/>
      <c r="R351" s="26"/>
      <c r="S351" s="113"/>
      <c r="T351" s="26"/>
      <c r="U351" s="40"/>
      <c r="V351" s="26"/>
      <c r="W351" s="26"/>
      <c r="X351" s="26"/>
      <c r="Y351" s="26"/>
      <c r="Z351" s="26"/>
      <c r="AA351" s="26"/>
    </row>
    <row r="352" spans="1:27" ht="15">
      <c r="A352" s="42" t="s">
        <v>115</v>
      </c>
      <c r="B352" s="21"/>
      <c r="C352" s="43">
        <v>349882.25347929023</v>
      </c>
      <c r="D352" s="23"/>
      <c r="E352" s="40">
        <f>ROUND(C352*$E$362/$C$362,0)</f>
        <v>355317</v>
      </c>
      <c r="F352" s="23"/>
      <c r="G352" s="69">
        <v>5.75</v>
      </c>
      <c r="H352" s="72"/>
      <c r="I352" s="29">
        <f>ROUND($G352*C352,0)</f>
        <v>2011823</v>
      </c>
      <c r="J352" s="23"/>
      <c r="K352" s="29">
        <f>ROUND($G352*E352,0)</f>
        <v>2043073</v>
      </c>
      <c r="L352" s="23"/>
      <c r="M352" s="69">
        <f>ROUND(G352*(1+R$360),2)</f>
        <v>6.71</v>
      </c>
      <c r="N352" s="72"/>
      <c r="O352" s="29">
        <f>ROUND(M352*$E352,0)</f>
        <v>2384177</v>
      </c>
      <c r="P352" s="73"/>
      <c r="Q352" s="21"/>
      <c r="R352" s="124"/>
      <c r="S352" s="113"/>
      <c r="T352" s="26"/>
      <c r="U352" s="26"/>
      <c r="V352" s="26"/>
      <c r="W352" s="26"/>
      <c r="X352" s="26"/>
      <c r="Y352" s="26"/>
      <c r="Z352" s="26"/>
      <c r="AA352" s="26"/>
    </row>
    <row r="353" spans="1:27" ht="15">
      <c r="A353" s="42" t="s">
        <v>60</v>
      </c>
      <c r="B353" s="21"/>
      <c r="C353" s="43">
        <v>3</v>
      </c>
      <c r="D353" s="23"/>
      <c r="E353" s="40">
        <f>ROUND(C353*$E$362/$C$362,0)</f>
        <v>3</v>
      </c>
      <c r="F353" s="23"/>
      <c r="G353" s="69">
        <v>-1.61</v>
      </c>
      <c r="H353" s="72"/>
      <c r="I353" s="29">
        <f>ROUND($G353*C353,0)</f>
        <v>-5</v>
      </c>
      <c r="J353" s="23"/>
      <c r="K353" s="29">
        <f>ROUND($G353*E353,0)</f>
        <v>-5</v>
      </c>
      <c r="L353" s="23"/>
      <c r="M353" s="69">
        <f>ROUND(G353*(1+R$360),2)</f>
        <v>-1.88</v>
      </c>
      <c r="N353" s="72"/>
      <c r="O353" s="29">
        <f>ROUND(M353*$E353,0)</f>
        <v>-6</v>
      </c>
      <c r="P353" s="21"/>
      <c r="Q353" s="162"/>
      <c r="R353" s="124"/>
      <c r="S353" s="26"/>
      <c r="T353" s="29"/>
      <c r="U353" s="26"/>
      <c r="V353" s="26"/>
      <c r="W353" s="26"/>
      <c r="X353" s="26"/>
      <c r="Y353" s="26"/>
      <c r="Z353" s="26"/>
      <c r="AA353" s="26"/>
    </row>
    <row r="354" spans="1:27" ht="15">
      <c r="A354" s="42" t="s">
        <v>116</v>
      </c>
      <c r="B354" s="21"/>
      <c r="C354" s="43">
        <v>79713146</v>
      </c>
      <c r="D354" s="23"/>
      <c r="E354" s="40">
        <f>ROUND(C354*$E$356/$C$356,0)</f>
        <v>78875890</v>
      </c>
      <c r="F354" s="23"/>
      <c r="G354" s="107">
        <v>5.7252</v>
      </c>
      <c r="H354" s="50" t="s">
        <v>20</v>
      </c>
      <c r="I354" s="29">
        <f>ROUND($G354*C354/100,0)</f>
        <v>4563737</v>
      </c>
      <c r="J354" s="23"/>
      <c r="K354" s="29">
        <f>ROUND($G354*E354/100,0)</f>
        <v>4515802</v>
      </c>
      <c r="L354" s="23"/>
      <c r="M354" s="107">
        <f>ROUND(G354*(1+R$360),4)</f>
        <v>6.6848</v>
      </c>
      <c r="N354" s="50" t="s">
        <v>20</v>
      </c>
      <c r="O354" s="29">
        <f>ROUND(M354*$E354/100,0)</f>
        <v>5272695</v>
      </c>
      <c r="P354" s="73"/>
      <c r="Q354" s="21" t="s">
        <v>117</v>
      </c>
      <c r="R354" s="26"/>
      <c r="S354" s="26"/>
      <c r="T354" s="29"/>
      <c r="U354" s="26"/>
      <c r="V354" s="26"/>
      <c r="W354" s="26"/>
      <c r="X354" s="26"/>
      <c r="Y354" s="26"/>
      <c r="Z354" s="26"/>
      <c r="AA354" s="26"/>
    </row>
    <row r="355" spans="1:27" ht="15">
      <c r="A355" s="42" t="s">
        <v>118</v>
      </c>
      <c r="B355" s="21"/>
      <c r="C355" s="82">
        <v>49875711</v>
      </c>
      <c r="D355" s="23"/>
      <c r="E355" s="133">
        <f>E356-E354</f>
        <v>49351848</v>
      </c>
      <c r="F355" s="23"/>
      <c r="G355" s="107">
        <v>4.2318</v>
      </c>
      <c r="H355" s="50" t="s">
        <v>20</v>
      </c>
      <c r="I355" s="83">
        <f>ROUND($G355*C355/100,0)</f>
        <v>2110640</v>
      </c>
      <c r="J355" s="23"/>
      <c r="K355" s="83">
        <f>ROUND($G355*E355/100,0)</f>
        <v>2088472</v>
      </c>
      <c r="L355" s="23"/>
      <c r="M355" s="107">
        <f>ROUND(G355*(1+R$360),4)</f>
        <v>4.9411</v>
      </c>
      <c r="N355" s="50" t="s">
        <v>20</v>
      </c>
      <c r="O355" s="83">
        <f>ROUND(M355*$E355/100,0)</f>
        <v>2438524</v>
      </c>
      <c r="P355" s="29"/>
      <c r="Q355" s="55" t="s">
        <v>23</v>
      </c>
      <c r="R355" s="56">
        <f>O362+O380</f>
        <v>13556664</v>
      </c>
      <c r="S355" s="26"/>
      <c r="T355" s="26"/>
      <c r="U355" s="40"/>
      <c r="V355" s="26"/>
      <c r="W355" s="26"/>
      <c r="X355" s="26"/>
      <c r="Y355" s="26"/>
      <c r="Z355" s="26"/>
      <c r="AA355" s="26"/>
    </row>
    <row r="356" spans="1:27" ht="15">
      <c r="A356" s="42" t="s">
        <v>119</v>
      </c>
      <c r="B356" s="21"/>
      <c r="C356" s="133">
        <f>C355+C354</f>
        <v>129588857</v>
      </c>
      <c r="D356" s="23"/>
      <c r="E356" s="163">
        <f>ROUND(E362*C356/(C356+C360),0)</f>
        <v>128227738</v>
      </c>
      <c r="F356" s="23"/>
      <c r="G356" s="164"/>
      <c r="H356" s="23"/>
      <c r="I356" s="83">
        <f>SUM(I349:I355)</f>
        <v>8760828</v>
      </c>
      <c r="J356" s="23"/>
      <c r="K356" s="83">
        <f>SUM(K349:K355)</f>
        <v>8725740</v>
      </c>
      <c r="L356" s="23"/>
      <c r="M356" s="164"/>
      <c r="N356" s="23"/>
      <c r="O356" s="83">
        <f>SUM(O349:O355)</f>
        <v>10181626</v>
      </c>
      <c r="P356" s="73"/>
      <c r="Q356" s="70" t="s">
        <v>25</v>
      </c>
      <c r="R356" s="59">
        <v>13556663</v>
      </c>
      <c r="S356" s="26"/>
      <c r="T356" s="26"/>
      <c r="U356" s="40"/>
      <c r="V356" s="26"/>
      <c r="W356" s="26"/>
      <c r="X356" s="26"/>
      <c r="Y356" s="26"/>
      <c r="Z356" s="26"/>
      <c r="AA356" s="26"/>
    </row>
    <row r="357" spans="1:27" ht="15">
      <c r="A357" s="42" t="s">
        <v>120</v>
      </c>
      <c r="B357" s="21"/>
      <c r="C357" s="40"/>
      <c r="D357" s="23"/>
      <c r="E357" s="40"/>
      <c r="F357" s="23"/>
      <c r="G357" s="20"/>
      <c r="H357" s="23"/>
      <c r="I357" s="21"/>
      <c r="J357" s="23"/>
      <c r="K357" s="21"/>
      <c r="L357" s="23"/>
      <c r="M357" s="20"/>
      <c r="N357" s="23"/>
      <c r="O357" s="21"/>
      <c r="P357" s="73"/>
      <c r="Q357" s="63" t="s">
        <v>27</v>
      </c>
      <c r="R357" s="165">
        <f>R356-R355</f>
        <v>-1</v>
      </c>
      <c r="S357" s="26"/>
      <c r="T357" s="26"/>
      <c r="U357" s="26"/>
      <c r="V357" s="26"/>
      <c r="W357" s="26"/>
      <c r="X357" s="26"/>
      <c r="Y357" s="26"/>
      <c r="Z357" s="26"/>
      <c r="AA357" s="26"/>
    </row>
    <row r="358" spans="1:27" ht="15">
      <c r="A358" s="42" t="s">
        <v>121</v>
      </c>
      <c r="B358" s="21"/>
      <c r="C358" s="48">
        <v>15566.893333333212</v>
      </c>
      <c r="D358" s="23"/>
      <c r="E358" s="116">
        <f>ROUND(C358*(E$349+E$350)/(C$349+C$350),0)</f>
        <v>16353</v>
      </c>
      <c r="F358" s="23"/>
      <c r="G358" s="166">
        <v>12</v>
      </c>
      <c r="H358" s="68"/>
      <c r="I358" s="73">
        <f>ROUND($G358*C358,0)</f>
        <v>186803</v>
      </c>
      <c r="J358" s="23"/>
      <c r="K358" s="73">
        <f>ROUND($G358*E358,0)</f>
        <v>196236</v>
      </c>
      <c r="L358" s="23"/>
      <c r="M358" s="166">
        <f>M351</f>
        <v>13</v>
      </c>
      <c r="N358" s="68"/>
      <c r="O358" s="73">
        <f>ROUND(M358*$E358,0)</f>
        <v>212589</v>
      </c>
      <c r="P358" s="73"/>
      <c r="Q358" s="85" t="s">
        <v>31</v>
      </c>
      <c r="R358" s="135">
        <f>R356/(K362+K380)-1</f>
        <v>0.16554664395985164</v>
      </c>
      <c r="S358" s="26"/>
      <c r="T358" s="26"/>
      <c r="U358" s="26"/>
      <c r="V358" s="26"/>
      <c r="W358" s="26"/>
      <c r="X358" s="26"/>
      <c r="Y358" s="26"/>
      <c r="Z358" s="26"/>
      <c r="AA358" s="26"/>
    </row>
    <row r="359" spans="1:27" ht="15">
      <c r="A359" s="42" t="s">
        <v>122</v>
      </c>
      <c r="B359" s="21"/>
      <c r="C359" s="82">
        <v>44223766</v>
      </c>
      <c r="D359" s="23"/>
      <c r="E359" s="133">
        <f>E360</f>
        <v>43759268</v>
      </c>
      <c r="F359" s="23"/>
      <c r="G359" s="120">
        <v>3.9216</v>
      </c>
      <c r="H359" s="50" t="s">
        <v>20</v>
      </c>
      <c r="I359" s="147">
        <f>ROUND($G359*C359/100,0)</f>
        <v>1734279</v>
      </c>
      <c r="J359" s="23"/>
      <c r="K359" s="147">
        <f>ROUND($G359*E359/100,0)</f>
        <v>1716063</v>
      </c>
      <c r="L359" s="23"/>
      <c r="M359" s="107">
        <f>ROUND(G359*(1+R$360),4)</f>
        <v>4.5789</v>
      </c>
      <c r="N359" s="50" t="s">
        <v>20</v>
      </c>
      <c r="O359" s="83">
        <f>ROUND(M359*$E359/100,0)</f>
        <v>2003693</v>
      </c>
      <c r="P359" s="73"/>
      <c r="Q359" s="66" t="s">
        <v>29</v>
      </c>
      <c r="R359" s="131">
        <f>R355/(K362+K380)-1</f>
        <v>0.1655467299357769</v>
      </c>
      <c r="S359" s="26"/>
      <c r="T359" s="26"/>
      <c r="U359" s="26"/>
      <c r="V359" s="26"/>
      <c r="W359" s="26"/>
      <c r="X359" s="26"/>
      <c r="Y359" s="26"/>
      <c r="Z359" s="26"/>
      <c r="AA359" s="26"/>
    </row>
    <row r="360" spans="1:27" ht="15">
      <c r="A360" s="42" t="s">
        <v>123</v>
      </c>
      <c r="B360" s="21"/>
      <c r="C360" s="133">
        <f>C359</f>
        <v>44223766</v>
      </c>
      <c r="D360" s="23"/>
      <c r="E360" s="133">
        <f>E362-E356</f>
        <v>43759268</v>
      </c>
      <c r="F360" s="23"/>
      <c r="G360" s="164"/>
      <c r="H360" s="23"/>
      <c r="I360" s="83">
        <f>I358+I359</f>
        <v>1921082</v>
      </c>
      <c r="J360" s="23"/>
      <c r="K360" s="83">
        <f>K358+K359</f>
        <v>1912299</v>
      </c>
      <c r="L360" s="23"/>
      <c r="M360" s="164"/>
      <c r="N360" s="23"/>
      <c r="O360" s="83">
        <f>O358+O359</f>
        <v>2216282</v>
      </c>
      <c r="P360" s="73"/>
      <c r="Q360" s="70" t="s">
        <v>74</v>
      </c>
      <c r="R360" s="132">
        <f>(R356-O349-O350-O351-O358-O367-O368-O369-O376)/(K352+K353+K354+K355+K359+K370+K371+K372+K373+K377)-1</f>
        <v>0.16761371159343996</v>
      </c>
      <c r="S360" s="26"/>
      <c r="T360" s="26"/>
      <c r="U360" s="26"/>
      <c r="V360" s="26"/>
      <c r="W360" s="26"/>
      <c r="X360" s="26"/>
      <c r="Y360" s="26"/>
      <c r="Z360" s="26"/>
      <c r="AA360" s="26"/>
    </row>
    <row r="361" spans="1:27" ht="15">
      <c r="A361" s="42" t="s">
        <v>44</v>
      </c>
      <c r="B361" s="21"/>
      <c r="C361" s="82">
        <v>-4456102</v>
      </c>
      <c r="D361" s="23"/>
      <c r="E361" s="82">
        <v>0</v>
      </c>
      <c r="F361" s="23"/>
      <c r="G361" s="20"/>
      <c r="H361" s="23"/>
      <c r="I361" s="84">
        <v>-94498</v>
      </c>
      <c r="J361" s="23"/>
      <c r="K361" s="84">
        <v>0</v>
      </c>
      <c r="L361" s="23"/>
      <c r="M361" s="20"/>
      <c r="N361" s="23"/>
      <c r="O361" s="83">
        <v>0</v>
      </c>
      <c r="P361" s="21"/>
      <c r="Q361" s="85" t="s">
        <v>51</v>
      </c>
      <c r="R361" s="135">
        <f>(O362+O363)/(K362+K363)-1</f>
        <v>0.1156950573106299</v>
      </c>
      <c r="S361" s="26"/>
      <c r="T361" s="26"/>
      <c r="U361" s="26"/>
      <c r="V361" s="26"/>
      <c r="W361" s="26"/>
      <c r="X361" s="26"/>
      <c r="Y361" s="26"/>
      <c r="Z361" s="26"/>
      <c r="AA361" s="26"/>
    </row>
    <row r="362" spans="1:27" ht="15.75" thickBot="1">
      <c r="A362" s="42" t="s">
        <v>124</v>
      </c>
      <c r="B362" s="21"/>
      <c r="C362" s="118">
        <f>C359+C356+C361</f>
        <v>169356521</v>
      </c>
      <c r="D362" s="23"/>
      <c r="E362" s="118">
        <v>171987006</v>
      </c>
      <c r="F362" s="23"/>
      <c r="G362" s="110"/>
      <c r="H362" s="23"/>
      <c r="I362" s="111">
        <f>I360+I356+I361</f>
        <v>10587412</v>
      </c>
      <c r="J362" s="23"/>
      <c r="K362" s="111">
        <f>K360+K356+K361</f>
        <v>10638039</v>
      </c>
      <c r="L362" s="23"/>
      <c r="M362" s="110"/>
      <c r="N362" s="23"/>
      <c r="O362" s="111">
        <f>O360+O356+O361</f>
        <v>12397908</v>
      </c>
      <c r="P362" s="21"/>
      <c r="Q362" s="21"/>
      <c r="R362" s="26"/>
      <c r="S362" s="26"/>
      <c r="T362" s="26"/>
      <c r="U362" s="26"/>
      <c r="V362" s="26"/>
      <c r="W362" s="26"/>
      <c r="X362" s="26"/>
      <c r="Y362" s="26"/>
      <c r="Z362" s="26"/>
      <c r="AA362" s="26"/>
    </row>
    <row r="363" spans="1:27" ht="15.75" thickTop="1">
      <c r="A363" s="42" t="s">
        <v>48</v>
      </c>
      <c r="B363" s="21"/>
      <c r="C363" s="40"/>
      <c r="D363" s="23"/>
      <c r="E363" s="40"/>
      <c r="F363" s="23"/>
      <c r="G363" s="92"/>
      <c r="H363" s="93"/>
      <c r="I363" s="83">
        <v>474233.94480000006</v>
      </c>
      <c r="J363" s="23"/>
      <c r="K363" s="83">
        <f>I363</f>
        <v>474233.94480000006</v>
      </c>
      <c r="L363" s="23"/>
      <c r="M363" s="37"/>
      <c r="N363" s="93"/>
      <c r="O363" s="83">
        <v>0</v>
      </c>
      <c r="P363" s="29"/>
      <c r="Q363" s="21"/>
      <c r="R363" s="26"/>
      <c r="S363" s="26"/>
      <c r="T363" s="26"/>
      <c r="U363" s="26"/>
      <c r="V363" s="26"/>
      <c r="W363" s="26"/>
      <c r="X363" s="26"/>
      <c r="Y363" s="26"/>
      <c r="Z363" s="26"/>
      <c r="AA363" s="26"/>
    </row>
    <row r="364" spans="1:27" ht="15">
      <c r="A364" s="42" t="s">
        <v>49</v>
      </c>
      <c r="B364" s="21"/>
      <c r="C364" s="40"/>
      <c r="D364" s="23"/>
      <c r="E364" s="40"/>
      <c r="F364" s="23"/>
      <c r="G364" s="92">
        <f>M364</f>
        <v>0.0379</v>
      </c>
      <c r="H364" s="93"/>
      <c r="I364" s="83">
        <f>ROUND(SUM(I352:I355,I359,I363)*$G364,0)</f>
        <v>412909</v>
      </c>
      <c r="J364" s="23"/>
      <c r="K364" s="83">
        <f>ROUND(SUM(K352:K355,K359,K363)*$G364,0)</f>
        <v>410747</v>
      </c>
      <c r="L364" s="23"/>
      <c r="M364" s="37">
        <v>0.0379</v>
      </c>
      <c r="N364" s="93"/>
      <c r="O364" s="83">
        <f>ROUND(SUM(O352:O355,O359,O363)*M364,0)</f>
        <v>458555</v>
      </c>
      <c r="P364" s="29"/>
      <c r="Q364" s="21"/>
      <c r="R364" s="26"/>
      <c r="S364" s="113"/>
      <c r="T364" s="26"/>
      <c r="U364" s="26"/>
      <c r="V364" s="26"/>
      <c r="W364" s="26"/>
      <c r="X364" s="26"/>
      <c r="Y364" s="26"/>
      <c r="Z364" s="26"/>
      <c r="AA364" s="26"/>
    </row>
    <row r="365" spans="1:27" ht="15">
      <c r="A365" s="20"/>
      <c r="B365" s="21"/>
      <c r="C365" s="40"/>
      <c r="D365" s="23"/>
      <c r="E365" s="40"/>
      <c r="F365" s="23"/>
      <c r="G365" s="20"/>
      <c r="H365" s="23"/>
      <c r="I365" s="21"/>
      <c r="J365" s="23"/>
      <c r="K365" s="21"/>
      <c r="L365" s="23"/>
      <c r="M365" s="21"/>
      <c r="N365" s="23"/>
      <c r="O365" s="21"/>
      <c r="P365" s="29"/>
      <c r="Q365" s="21"/>
      <c r="R365" s="26"/>
      <c r="S365" s="113"/>
      <c r="T365" s="26"/>
      <c r="U365" s="26"/>
      <c r="V365" s="26"/>
      <c r="W365" s="26"/>
      <c r="X365" s="26"/>
      <c r="Y365" s="26"/>
      <c r="Z365" s="26"/>
      <c r="AA365" s="26"/>
    </row>
    <row r="366" spans="1:27" ht="15">
      <c r="A366" s="38" t="s">
        <v>125</v>
      </c>
      <c r="B366" s="21"/>
      <c r="C366" s="40"/>
      <c r="D366" s="23"/>
      <c r="E366" s="40"/>
      <c r="F366" s="23"/>
      <c r="G366" s="20"/>
      <c r="H366" s="23"/>
      <c r="I366" s="21"/>
      <c r="J366" s="23"/>
      <c r="K366" s="21"/>
      <c r="L366" s="23"/>
      <c r="M366" s="21"/>
      <c r="N366" s="23"/>
      <c r="O366" s="21"/>
      <c r="P366" s="29"/>
      <c r="Q366" s="21"/>
      <c r="R366" s="26"/>
      <c r="S366" s="26"/>
      <c r="T366" s="29"/>
      <c r="U366" s="26"/>
      <c r="V366" s="26"/>
      <c r="W366" s="26"/>
      <c r="X366" s="26"/>
      <c r="Y366" s="26"/>
      <c r="Z366" s="26"/>
      <c r="AA366" s="26"/>
    </row>
    <row r="367" spans="1:27" ht="15">
      <c r="A367" s="42" t="s">
        <v>112</v>
      </c>
      <c r="B367" s="21"/>
      <c r="C367" s="43">
        <v>2</v>
      </c>
      <c r="D367" s="23"/>
      <c r="E367" s="40">
        <v>2</v>
      </c>
      <c r="F367" s="23"/>
      <c r="G367" s="69">
        <v>98</v>
      </c>
      <c r="H367" s="68"/>
      <c r="I367" s="29">
        <f>ROUND($G367*C367,0)</f>
        <v>196</v>
      </c>
      <c r="J367" s="23"/>
      <c r="K367" s="29">
        <f>ROUND($G367*E367,0)</f>
        <v>196</v>
      </c>
      <c r="L367" s="23"/>
      <c r="M367" s="122">
        <f>M349</f>
        <v>106</v>
      </c>
      <c r="N367" s="68"/>
      <c r="O367" s="29">
        <f>ROUND(M367*$E367,0)</f>
        <v>212</v>
      </c>
      <c r="P367" s="29"/>
      <c r="Q367" s="21"/>
      <c r="R367" s="26"/>
      <c r="S367" s="26"/>
      <c r="T367" s="29"/>
      <c r="U367" s="26"/>
      <c r="V367" s="26"/>
      <c r="W367" s="26"/>
      <c r="X367" s="26"/>
      <c r="Y367" s="26"/>
      <c r="Z367" s="26"/>
      <c r="AA367" s="26"/>
    </row>
    <row r="368" spans="1:27" ht="15">
      <c r="A368" s="42" t="s">
        <v>113</v>
      </c>
      <c r="B368" s="21"/>
      <c r="C368" s="43">
        <v>240.1858620689654</v>
      </c>
      <c r="D368" s="23"/>
      <c r="E368" s="116">
        <v>252.41666666666652</v>
      </c>
      <c r="F368" s="23"/>
      <c r="G368" s="69">
        <v>30</v>
      </c>
      <c r="H368" s="68"/>
      <c r="I368" s="29">
        <f>ROUND($G368*C368,0)</f>
        <v>7206</v>
      </c>
      <c r="J368" s="23"/>
      <c r="K368" s="29">
        <f>ROUND($G368*E368,0)</f>
        <v>7573</v>
      </c>
      <c r="L368" s="23"/>
      <c r="M368" s="122">
        <f>M350</f>
        <v>33</v>
      </c>
      <c r="N368" s="68"/>
      <c r="O368" s="29">
        <f>ROUND(M368*$E368,0)</f>
        <v>8330</v>
      </c>
      <c r="P368" s="29"/>
      <c r="Q368" s="21"/>
      <c r="R368" s="26"/>
      <c r="S368" s="26"/>
      <c r="T368" s="26"/>
      <c r="U368" s="40"/>
      <c r="V368" s="26"/>
      <c r="W368" s="26"/>
      <c r="X368" s="26"/>
      <c r="Y368" s="26"/>
      <c r="Z368" s="26"/>
      <c r="AA368" s="26"/>
    </row>
    <row r="369" spans="1:27" ht="15">
      <c r="A369" s="42" t="s">
        <v>126</v>
      </c>
      <c r="B369" s="21"/>
      <c r="C369" s="43">
        <v>0</v>
      </c>
      <c r="D369" s="23"/>
      <c r="E369" s="116">
        <f>ROUND(C369*(E367+E368)/(C367+C368),0)</f>
        <v>0</v>
      </c>
      <c r="F369" s="23"/>
      <c r="G369" s="69">
        <v>12</v>
      </c>
      <c r="H369" s="68"/>
      <c r="I369" s="29">
        <f>ROUND($G369*C369,0)</f>
        <v>0</v>
      </c>
      <c r="J369" s="23"/>
      <c r="K369" s="29">
        <f>ROUND($G369*E369,0)</f>
        <v>0</v>
      </c>
      <c r="L369" s="23"/>
      <c r="M369" s="122">
        <f>M351</f>
        <v>13</v>
      </c>
      <c r="N369" s="68"/>
      <c r="O369" s="29">
        <f>ROUND(M369*$E369,0)</f>
        <v>0</v>
      </c>
      <c r="P369" s="73"/>
      <c r="Q369" s="21"/>
      <c r="R369" s="26"/>
      <c r="S369" s="26"/>
      <c r="T369" s="26"/>
      <c r="U369" s="40"/>
      <c r="V369" s="26"/>
      <c r="W369" s="26"/>
      <c r="X369" s="26"/>
      <c r="Y369" s="26"/>
      <c r="Z369" s="26"/>
      <c r="AA369" s="26"/>
    </row>
    <row r="370" spans="1:27" ht="15">
      <c r="A370" s="42" t="s">
        <v>115</v>
      </c>
      <c r="B370" s="21"/>
      <c r="C370" s="43">
        <v>41136.47928890469</v>
      </c>
      <c r="D370" s="23"/>
      <c r="E370" s="116">
        <f>ROUND(C370*$E$380/$C$380,0)</f>
        <v>41775</v>
      </c>
      <c r="F370" s="23"/>
      <c r="G370" s="69">
        <v>5.75</v>
      </c>
      <c r="H370" s="68"/>
      <c r="I370" s="29">
        <f>ROUND($G370*C370,0)</f>
        <v>236535</v>
      </c>
      <c r="J370" s="23"/>
      <c r="K370" s="29">
        <f>ROUND($G370*E370,0)</f>
        <v>240206</v>
      </c>
      <c r="L370" s="23"/>
      <c r="M370" s="122">
        <f>M352</f>
        <v>6.71</v>
      </c>
      <c r="N370" s="68"/>
      <c r="O370" s="29">
        <f>ROUND(M370*$E370,0)</f>
        <v>280310</v>
      </c>
      <c r="P370" s="73"/>
      <c r="Q370" s="21"/>
      <c r="R370" s="26"/>
      <c r="S370" s="26"/>
      <c r="T370" s="29"/>
      <c r="U370" s="26"/>
      <c r="V370" s="26"/>
      <c r="W370" s="26"/>
      <c r="X370" s="26"/>
      <c r="Y370" s="26"/>
      <c r="Z370" s="26"/>
      <c r="AA370" s="26"/>
    </row>
    <row r="371" spans="1:27" ht="15">
      <c r="A371" s="42" t="s">
        <v>127</v>
      </c>
      <c r="B371" s="21"/>
      <c r="C371" s="43">
        <v>970.092695372922</v>
      </c>
      <c r="D371" s="23"/>
      <c r="E371" s="116">
        <f>ROUND(C371*$E$380/$C$380,0)</f>
        <v>985</v>
      </c>
      <c r="F371" s="23"/>
      <c r="G371" s="69">
        <v>-1.61</v>
      </c>
      <c r="H371" s="68"/>
      <c r="I371" s="29">
        <f>ROUND($G371*C371,0)</f>
        <v>-1562</v>
      </c>
      <c r="J371" s="23"/>
      <c r="K371" s="29">
        <f>ROUND($G371*E371,0)</f>
        <v>-1586</v>
      </c>
      <c r="L371" s="23"/>
      <c r="M371" s="122">
        <f>M353</f>
        <v>-1.88</v>
      </c>
      <c r="N371" s="68"/>
      <c r="O371" s="29">
        <f>ROUND(M371*$E371,0)</f>
        <v>-1852</v>
      </c>
      <c r="P371" s="21"/>
      <c r="Q371" s="21"/>
      <c r="R371" s="124"/>
      <c r="S371" s="26"/>
      <c r="T371" s="26"/>
      <c r="U371" s="26"/>
      <c r="V371" s="26"/>
      <c r="W371" s="26"/>
      <c r="X371" s="26"/>
      <c r="Y371" s="26"/>
      <c r="Z371" s="26"/>
      <c r="AA371" s="26"/>
    </row>
    <row r="372" spans="1:27" ht="15">
      <c r="A372" s="42" t="s">
        <v>109</v>
      </c>
      <c r="B372" s="21"/>
      <c r="C372" s="43">
        <v>2422711</v>
      </c>
      <c r="D372" s="23"/>
      <c r="E372" s="116">
        <f>ROUND(C372*$E$374/$C$374,0)</f>
        <v>2397264</v>
      </c>
      <c r="F372" s="23"/>
      <c r="G372" s="107">
        <v>11.311</v>
      </c>
      <c r="H372" s="50" t="s">
        <v>20</v>
      </c>
      <c r="I372" s="29">
        <f>ROUND($G372*C372/100,0)</f>
        <v>274033</v>
      </c>
      <c r="J372" s="23"/>
      <c r="K372" s="29">
        <f>ROUND($G372*E372/100,0)</f>
        <v>271155</v>
      </c>
      <c r="L372" s="23"/>
      <c r="M372" s="107">
        <f>ROUND(G372*(1+R$360),4)</f>
        <v>13.2069</v>
      </c>
      <c r="N372" s="50" t="s">
        <v>20</v>
      </c>
      <c r="O372" s="29">
        <f>ROUND(M372*$E372/100,0)</f>
        <v>316604</v>
      </c>
      <c r="P372" s="73"/>
      <c r="Q372" s="21"/>
      <c r="R372" s="26"/>
      <c r="S372" s="26"/>
      <c r="T372" s="29"/>
      <c r="U372" s="40"/>
      <c r="V372" s="26"/>
      <c r="W372" s="26"/>
      <c r="X372" s="26"/>
      <c r="Y372" s="26"/>
      <c r="Z372" s="26"/>
      <c r="AA372" s="26"/>
    </row>
    <row r="373" spans="1:27" ht="15">
      <c r="A373" s="42" t="s">
        <v>96</v>
      </c>
      <c r="B373" s="21"/>
      <c r="C373" s="82">
        <v>8752979</v>
      </c>
      <c r="D373" s="23"/>
      <c r="E373" s="133">
        <f>E374-E372</f>
        <v>8661043</v>
      </c>
      <c r="F373" s="23"/>
      <c r="G373" s="120">
        <v>3.2631</v>
      </c>
      <c r="H373" s="50" t="s">
        <v>20</v>
      </c>
      <c r="I373" s="147">
        <f>ROUND($G373*C373/100,0)</f>
        <v>285618</v>
      </c>
      <c r="J373" s="23"/>
      <c r="K373" s="147">
        <f>ROUND($G373*E373/100,0)</f>
        <v>282618</v>
      </c>
      <c r="L373" s="23"/>
      <c r="M373" s="153">
        <f>ROUND((R356-O362-SUM(O367:O372,O378))/E373*100,4)</f>
        <v>3.8277</v>
      </c>
      <c r="N373" s="50" t="s">
        <v>20</v>
      </c>
      <c r="O373" s="83">
        <f>ROUND(M373*$E373/100,0)</f>
        <v>331519</v>
      </c>
      <c r="P373" s="29"/>
      <c r="Q373" s="21"/>
      <c r="R373" s="26"/>
      <c r="S373" s="26"/>
      <c r="T373" s="29"/>
      <c r="U373" s="26"/>
      <c r="V373" s="26"/>
      <c r="W373" s="26"/>
      <c r="X373" s="26"/>
      <c r="Y373" s="26"/>
      <c r="Z373" s="26"/>
      <c r="AA373" s="26"/>
    </row>
    <row r="374" spans="1:27" ht="15">
      <c r="A374" s="42" t="s">
        <v>119</v>
      </c>
      <c r="B374" s="21"/>
      <c r="C374" s="133">
        <f>C373+C372</f>
        <v>11175690</v>
      </c>
      <c r="D374" s="23"/>
      <c r="E374" s="133">
        <f>ROUND(E380*C374/(C374+C378),0)</f>
        <v>11058307</v>
      </c>
      <c r="F374" s="23"/>
      <c r="G374" s="164"/>
      <c r="H374" s="23"/>
      <c r="I374" s="83">
        <f>SUM(I367:I373)</f>
        <v>802026</v>
      </c>
      <c r="J374" s="23"/>
      <c r="K374" s="83">
        <f>SUM(K367:K373)</f>
        <v>800162</v>
      </c>
      <c r="L374" s="23"/>
      <c r="M374" s="167"/>
      <c r="N374" s="23"/>
      <c r="O374" s="83">
        <f>SUM(O367:O373)</f>
        <v>935123</v>
      </c>
      <c r="P374" s="73"/>
      <c r="Q374" s="21"/>
      <c r="R374" s="26"/>
      <c r="S374" s="78"/>
      <c r="T374" s="124"/>
      <c r="U374" s="26"/>
      <c r="V374" s="26"/>
      <c r="W374" s="26"/>
      <c r="X374" s="26"/>
      <c r="Y374" s="26"/>
      <c r="Z374" s="26"/>
      <c r="AA374" s="26"/>
    </row>
    <row r="375" spans="1:27" ht="15">
      <c r="A375" s="42" t="s">
        <v>120</v>
      </c>
      <c r="B375" s="21"/>
      <c r="C375" s="40"/>
      <c r="D375" s="23"/>
      <c r="E375" s="40"/>
      <c r="F375" s="23"/>
      <c r="G375" s="20"/>
      <c r="H375" s="23"/>
      <c r="I375" s="21"/>
      <c r="J375" s="23"/>
      <c r="K375" s="21"/>
      <c r="L375" s="23"/>
      <c r="M375" s="21"/>
      <c r="N375" s="23"/>
      <c r="O375" s="21"/>
      <c r="P375" s="73"/>
      <c r="Q375" s="41"/>
      <c r="R375" s="73"/>
      <c r="S375" s="26"/>
      <c r="T375" s="26"/>
      <c r="U375" s="26"/>
      <c r="V375" s="26"/>
      <c r="W375" s="26"/>
      <c r="X375" s="26"/>
      <c r="Y375" s="26"/>
      <c r="Z375" s="26"/>
      <c r="AA375" s="26"/>
    </row>
    <row r="376" spans="1:27" ht="15">
      <c r="A376" s="42" t="s">
        <v>121</v>
      </c>
      <c r="B376" s="21"/>
      <c r="C376" s="48">
        <v>1573.9438636363625</v>
      </c>
      <c r="D376" s="23"/>
      <c r="E376" s="116">
        <f>ROUND(C376*(E367+E368)/(C367+C368),0)</f>
        <v>1653</v>
      </c>
      <c r="F376" s="23"/>
      <c r="G376" s="166">
        <v>12</v>
      </c>
      <c r="H376" s="68"/>
      <c r="I376" s="73">
        <f>ROUND($G376*C376,0)</f>
        <v>18887</v>
      </c>
      <c r="J376" s="23"/>
      <c r="K376" s="73">
        <f>ROUND($G376*E376,0)</f>
        <v>19836</v>
      </c>
      <c r="L376" s="23"/>
      <c r="M376" s="68">
        <f>M358</f>
        <v>13</v>
      </c>
      <c r="N376" s="68"/>
      <c r="O376" s="73">
        <f>ROUND(M376*$E376,0)</f>
        <v>21489</v>
      </c>
      <c r="P376" s="73"/>
      <c r="Q376" s="23"/>
      <c r="R376" s="60"/>
      <c r="S376" s="26"/>
      <c r="T376" s="78"/>
      <c r="U376" s="26"/>
      <c r="V376" s="26"/>
      <c r="W376" s="26"/>
      <c r="X376" s="26"/>
      <c r="Y376" s="26"/>
      <c r="Z376" s="26"/>
      <c r="AA376" s="26"/>
    </row>
    <row r="377" spans="1:27" ht="15">
      <c r="A377" s="42" t="s">
        <v>122</v>
      </c>
      <c r="B377" s="21"/>
      <c r="C377" s="82">
        <v>4461548</v>
      </c>
      <c r="D377" s="23"/>
      <c r="E377" s="133">
        <f>E378</f>
        <v>4414687.049175382</v>
      </c>
      <c r="F377" s="23"/>
      <c r="G377" s="120">
        <v>3.9216</v>
      </c>
      <c r="H377" s="50" t="s">
        <v>20</v>
      </c>
      <c r="I377" s="147">
        <f>ROUND($G377*C377/100,0)</f>
        <v>174964</v>
      </c>
      <c r="J377" s="23"/>
      <c r="K377" s="147">
        <f>ROUND($G377*E377/100,0)</f>
        <v>173126</v>
      </c>
      <c r="L377" s="23"/>
      <c r="M377" s="120">
        <f>M359</f>
        <v>4.5789</v>
      </c>
      <c r="N377" s="50" t="s">
        <v>20</v>
      </c>
      <c r="O377" s="83">
        <f>ROUND(M377*$E377/100,0)</f>
        <v>202144</v>
      </c>
      <c r="P377" s="73"/>
      <c r="Q377" s="41"/>
      <c r="R377" s="73"/>
      <c r="S377" s="26"/>
      <c r="T377" s="26"/>
      <c r="U377" s="26"/>
      <c r="V377" s="26"/>
      <c r="W377" s="26"/>
      <c r="X377" s="26"/>
      <c r="Y377" s="26"/>
      <c r="Z377" s="26"/>
      <c r="AA377" s="26"/>
    </row>
    <row r="378" spans="1:27" ht="15">
      <c r="A378" s="42" t="s">
        <v>123</v>
      </c>
      <c r="B378" s="21"/>
      <c r="C378" s="133">
        <f>C377</f>
        <v>4461548</v>
      </c>
      <c r="D378" s="23"/>
      <c r="E378" s="133">
        <f>E380-E374</f>
        <v>4414687.049175382</v>
      </c>
      <c r="F378" s="23"/>
      <c r="G378" s="164"/>
      <c r="H378" s="23"/>
      <c r="I378" s="83">
        <f>I376+I377</f>
        <v>193851</v>
      </c>
      <c r="J378" s="23"/>
      <c r="K378" s="83">
        <f>K376+K377</f>
        <v>192962</v>
      </c>
      <c r="L378" s="23"/>
      <c r="M378" s="167"/>
      <c r="N378" s="23"/>
      <c r="O378" s="83">
        <f>O376+O377</f>
        <v>223633</v>
      </c>
      <c r="P378" s="73"/>
      <c r="Q378" s="23"/>
      <c r="R378" s="60"/>
      <c r="S378" s="109"/>
      <c r="T378" s="26"/>
      <c r="U378" s="78"/>
      <c r="V378" s="26"/>
      <c r="W378" s="26"/>
      <c r="X378" s="26"/>
      <c r="Y378" s="26"/>
      <c r="Z378" s="26"/>
      <c r="AA378" s="26"/>
    </row>
    <row r="379" spans="1:27" ht="15">
      <c r="A379" s="42" t="s">
        <v>44</v>
      </c>
      <c r="B379" s="21"/>
      <c r="C379" s="133">
        <v>-400898</v>
      </c>
      <c r="D379" s="23"/>
      <c r="E379" s="133">
        <v>0</v>
      </c>
      <c r="F379" s="23"/>
      <c r="G379" s="20"/>
      <c r="H379" s="23"/>
      <c r="I379" s="84">
        <v>-8502</v>
      </c>
      <c r="J379" s="23"/>
      <c r="K379" s="84">
        <v>0</v>
      </c>
      <c r="L379" s="23"/>
      <c r="M379" s="21"/>
      <c r="N379" s="23"/>
      <c r="O379" s="84">
        <v>0</v>
      </c>
      <c r="P379" s="21"/>
      <c r="Q379" s="21" t="s">
        <v>51</v>
      </c>
      <c r="R379" s="117">
        <f>(O380+O381)/(K380+K381)-1</f>
        <v>0.10821042033010131</v>
      </c>
      <c r="S379" s="109"/>
      <c r="T379" s="26"/>
      <c r="U379" s="26"/>
      <c r="V379" s="26"/>
      <c r="W379" s="26"/>
      <c r="X379" s="26"/>
      <c r="Y379" s="26"/>
      <c r="Z379" s="26"/>
      <c r="AA379" s="26"/>
    </row>
    <row r="380" spans="1:27" ht="15.75" thickBot="1">
      <c r="A380" s="42" t="s">
        <v>128</v>
      </c>
      <c r="B380" s="21"/>
      <c r="C380" s="118">
        <f>C377+C374+C379</f>
        <v>15236340</v>
      </c>
      <c r="D380" s="23"/>
      <c r="E380" s="118">
        <v>15472994.049175382</v>
      </c>
      <c r="F380" s="23"/>
      <c r="G380" s="110"/>
      <c r="H380" s="23"/>
      <c r="I380" s="111">
        <f>I378+I374+I379</f>
        <v>987375</v>
      </c>
      <c r="J380" s="23"/>
      <c r="K380" s="111">
        <f>K378+K374+K379</f>
        <v>993124</v>
      </c>
      <c r="L380" s="23"/>
      <c r="M380" s="112"/>
      <c r="N380" s="23"/>
      <c r="O380" s="111">
        <f>O378+O374+O379</f>
        <v>1158756</v>
      </c>
      <c r="P380" s="21"/>
      <c r="Q380" s="21"/>
      <c r="R380" s="26"/>
      <c r="S380" s="109"/>
      <c r="T380" s="26"/>
      <c r="U380" s="26"/>
      <c r="V380" s="26"/>
      <c r="W380" s="26"/>
      <c r="X380" s="26"/>
      <c r="Y380" s="26"/>
      <c r="Z380" s="26"/>
      <c r="AA380" s="26"/>
    </row>
    <row r="381" spans="1:27" ht="15.75" thickTop="1">
      <c r="A381" s="42" t="s">
        <v>48</v>
      </c>
      <c r="B381" s="21"/>
      <c r="C381" s="40"/>
      <c r="D381" s="23"/>
      <c r="E381" s="40"/>
      <c r="F381" s="23"/>
      <c r="G381" s="92"/>
      <c r="H381" s="93"/>
      <c r="I381" s="83">
        <v>52486.09240000001</v>
      </c>
      <c r="J381" s="23"/>
      <c r="K381" s="83">
        <f>I381</f>
        <v>52486.09240000001</v>
      </c>
      <c r="L381" s="23"/>
      <c r="M381" s="37"/>
      <c r="N381" s="93"/>
      <c r="O381" s="83">
        <v>0</v>
      </c>
      <c r="P381" s="29"/>
      <c r="Q381" s="21"/>
      <c r="R381" s="26"/>
      <c r="S381" s="109"/>
      <c r="T381" s="26"/>
      <c r="U381" s="26"/>
      <c r="V381" s="26"/>
      <c r="W381" s="26"/>
      <c r="X381" s="26"/>
      <c r="Y381" s="26"/>
      <c r="Z381" s="26"/>
      <c r="AA381" s="26"/>
    </row>
    <row r="382" spans="1:27" ht="15">
      <c r="A382" s="42" t="s">
        <v>49</v>
      </c>
      <c r="B382" s="21"/>
      <c r="C382" s="40"/>
      <c r="D382" s="23"/>
      <c r="E382" s="40"/>
      <c r="F382" s="23"/>
      <c r="G382" s="92">
        <f>M382</f>
        <v>0.0379</v>
      </c>
      <c r="H382" s="114"/>
      <c r="I382" s="83">
        <f>ROUND(SUM(I370:I373,I377,I381)*$G382,0)</f>
        <v>38737</v>
      </c>
      <c r="J382" s="23"/>
      <c r="K382" s="83">
        <f>ROUND(SUM(K370:K373,K377,K381)*$G382,0)</f>
        <v>38582</v>
      </c>
      <c r="L382" s="23"/>
      <c r="M382" s="115">
        <f>M364</f>
        <v>0.0379</v>
      </c>
      <c r="N382" s="114"/>
      <c r="O382" s="83">
        <f>ROUND(SUM(O370:O373,O377,O381)*M382,0)</f>
        <v>42779</v>
      </c>
      <c r="P382" s="29"/>
      <c r="Q382" s="21"/>
      <c r="R382" s="26"/>
      <c r="S382" s="109"/>
      <c r="T382" s="26"/>
      <c r="U382" s="26"/>
      <c r="V382" s="26"/>
      <c r="W382" s="26"/>
      <c r="X382" s="26"/>
      <c r="Y382" s="26"/>
      <c r="Z382" s="26"/>
      <c r="AA382" s="26"/>
    </row>
    <row r="383" spans="1:27" ht="15">
      <c r="A383" s="20"/>
      <c r="B383" s="21"/>
      <c r="C383" s="40" t="s">
        <v>129</v>
      </c>
      <c r="D383" s="23"/>
      <c r="E383" s="40"/>
      <c r="F383" s="23"/>
      <c r="G383" s="20"/>
      <c r="H383" s="23"/>
      <c r="I383" s="21"/>
      <c r="J383" s="23"/>
      <c r="K383" s="21"/>
      <c r="L383" s="23"/>
      <c r="M383" s="21"/>
      <c r="N383" s="23"/>
      <c r="O383" s="21"/>
      <c r="P383" s="29"/>
      <c r="Q383" s="21"/>
      <c r="R383" s="26"/>
      <c r="S383" s="109"/>
      <c r="T383" s="26"/>
      <c r="U383" s="26"/>
      <c r="V383" s="26"/>
      <c r="W383" s="26"/>
      <c r="X383" s="26"/>
      <c r="Y383" s="26"/>
      <c r="Z383" s="26"/>
      <c r="AA383" s="26"/>
    </row>
    <row r="384" spans="1:27" ht="15">
      <c r="A384" s="38" t="s">
        <v>130</v>
      </c>
      <c r="B384" s="21"/>
      <c r="C384" s="40"/>
      <c r="D384" s="23"/>
      <c r="E384" s="40"/>
      <c r="F384" s="23"/>
      <c r="G384" s="20"/>
      <c r="H384" s="23"/>
      <c r="I384" s="21"/>
      <c r="J384" s="23"/>
      <c r="K384" s="21"/>
      <c r="L384" s="23"/>
      <c r="M384" s="21"/>
      <c r="N384" s="23"/>
      <c r="O384" s="21"/>
      <c r="P384" s="29"/>
      <c r="Q384" s="21"/>
      <c r="R384" s="26"/>
      <c r="S384" s="168"/>
      <c r="T384" s="29"/>
      <c r="U384" s="40"/>
      <c r="V384" s="26"/>
      <c r="W384" s="26"/>
      <c r="X384" s="26"/>
      <c r="Y384" s="26"/>
      <c r="Z384" s="26"/>
      <c r="AA384" s="26"/>
    </row>
    <row r="385" spans="1:27" ht="15">
      <c r="A385" s="42" t="s">
        <v>16</v>
      </c>
      <c r="B385" s="21"/>
      <c r="C385" s="40">
        <f aca="true" t="shared" si="20" ref="C385:C392">C400+C415+C430</f>
        <v>893530.833131151</v>
      </c>
      <c r="D385" s="23"/>
      <c r="E385" s="40">
        <f aca="true" t="shared" si="21" ref="E385:E392">E400+E415+E430</f>
        <v>958829</v>
      </c>
      <c r="F385" s="23"/>
      <c r="G385" s="44">
        <v>8</v>
      </c>
      <c r="H385" s="45"/>
      <c r="I385" s="29">
        <f>ROUND($G385*C385,0)</f>
        <v>7148247</v>
      </c>
      <c r="J385" s="23"/>
      <c r="K385" s="29">
        <f>ROUND($G385*E385,0)</f>
        <v>7670632</v>
      </c>
      <c r="L385" s="23"/>
      <c r="M385" s="169">
        <v>9</v>
      </c>
      <c r="N385" s="45"/>
      <c r="O385" s="29">
        <f>ROUND(M385*$E385,0)</f>
        <v>8629461</v>
      </c>
      <c r="P385" s="29"/>
      <c r="Q385" s="55" t="s">
        <v>23</v>
      </c>
      <c r="R385" s="56">
        <f>O395+O88</f>
        <v>127407781</v>
      </c>
      <c r="S385" s="113"/>
      <c r="T385" s="29"/>
      <c r="U385" s="40"/>
      <c r="V385" s="26"/>
      <c r="W385" s="26"/>
      <c r="X385" s="26"/>
      <c r="Y385" s="26"/>
      <c r="Z385" s="26"/>
      <c r="AA385" s="26"/>
    </row>
    <row r="386" spans="1:27" ht="15">
      <c r="A386" s="42" t="s">
        <v>58</v>
      </c>
      <c r="B386" s="21"/>
      <c r="C386" s="40">
        <f t="shared" si="20"/>
        <v>364552.7520628909</v>
      </c>
      <c r="D386" s="23"/>
      <c r="E386" s="40">
        <f t="shared" si="21"/>
        <v>394241</v>
      </c>
      <c r="F386" s="23"/>
      <c r="G386" s="44">
        <v>7.25</v>
      </c>
      <c r="H386" s="45"/>
      <c r="I386" s="29">
        <f>ROUND($G386*C386,0)</f>
        <v>2643007</v>
      </c>
      <c r="J386" s="23"/>
      <c r="K386" s="29">
        <f>ROUND($G386*E386,0)</f>
        <v>2858247</v>
      </c>
      <c r="L386" s="23"/>
      <c r="M386" s="170">
        <f>MROUND(G386*(1+$R$390),0.05)</f>
        <v>7.8500000000000005</v>
      </c>
      <c r="N386" s="45"/>
      <c r="O386" s="29">
        <f>ROUND(M386*$E386,0)</f>
        <v>3094792</v>
      </c>
      <c r="P386" s="29"/>
      <c r="Q386" s="58" t="s">
        <v>25</v>
      </c>
      <c r="R386" s="59">
        <v>127407627</v>
      </c>
      <c r="S386" s="26"/>
      <c r="T386" s="29"/>
      <c r="U386" s="40"/>
      <c r="V386" s="26"/>
      <c r="W386" s="26"/>
      <c r="X386" s="26"/>
      <c r="Y386" s="26"/>
      <c r="Z386" s="26"/>
      <c r="AA386" s="26"/>
    </row>
    <row r="387" spans="1:27" ht="15">
      <c r="A387" s="42" t="s">
        <v>59</v>
      </c>
      <c r="B387" s="21"/>
      <c r="C387" s="40">
        <f t="shared" si="20"/>
        <v>349447.9298486956</v>
      </c>
      <c r="D387" s="23"/>
      <c r="E387" s="40">
        <f t="shared" si="21"/>
        <v>377760</v>
      </c>
      <c r="F387" s="23"/>
      <c r="G387" s="44">
        <v>7.3</v>
      </c>
      <c r="H387" s="45"/>
      <c r="I387" s="29">
        <f>ROUND($G387*C387,0)</f>
        <v>2550970</v>
      </c>
      <c r="J387" s="23"/>
      <c r="K387" s="29">
        <f>ROUND($G387*E387,0)</f>
        <v>2757648</v>
      </c>
      <c r="L387" s="23"/>
      <c r="M387" s="170">
        <f>MROUND(G387*(1+$R$390),0.05)</f>
        <v>7.9</v>
      </c>
      <c r="N387" s="45"/>
      <c r="O387" s="29">
        <f>ROUND(M387*$E387,0)</f>
        <v>2984304</v>
      </c>
      <c r="P387" s="29"/>
      <c r="Q387" s="63" t="s">
        <v>27</v>
      </c>
      <c r="R387" s="64">
        <f>R386-R385</f>
        <v>-154</v>
      </c>
      <c r="S387" s="26"/>
      <c r="T387" s="29"/>
      <c r="U387" s="40"/>
      <c r="V387" s="26"/>
      <c r="W387" s="26"/>
      <c r="X387" s="26"/>
      <c r="Y387" s="26"/>
      <c r="Z387" s="26"/>
      <c r="AA387" s="26"/>
    </row>
    <row r="388" spans="1:27" ht="15">
      <c r="A388" s="42" t="s">
        <v>60</v>
      </c>
      <c r="B388" s="21"/>
      <c r="C388" s="40">
        <f t="shared" si="20"/>
        <v>7774.26765083441</v>
      </c>
      <c r="D388" s="23"/>
      <c r="E388" s="40">
        <f t="shared" si="21"/>
        <v>8257</v>
      </c>
      <c r="F388" s="23"/>
      <c r="G388" s="44">
        <v>-0.41</v>
      </c>
      <c r="H388" s="45"/>
      <c r="I388" s="29">
        <f>ROUND($G388*C388,0)</f>
        <v>-3187</v>
      </c>
      <c r="J388" s="23"/>
      <c r="K388" s="29">
        <f>ROUND($G388*E388,0)</f>
        <v>-3385</v>
      </c>
      <c r="L388" s="23"/>
      <c r="M388" s="170">
        <f>ROUND(G388*(1+$R$390),2)</f>
        <v>-0.44</v>
      </c>
      <c r="N388" s="45"/>
      <c r="O388" s="29">
        <f>ROUND(M388*$E388,0)</f>
        <v>-3633</v>
      </c>
      <c r="P388" s="29"/>
      <c r="Q388" s="66" t="s">
        <v>29</v>
      </c>
      <c r="R388" s="131">
        <f>R385/(K395+K88)-1</f>
        <v>0.08496629665217048</v>
      </c>
      <c r="S388" s="26"/>
      <c r="T388" s="29"/>
      <c r="U388" s="40"/>
      <c r="V388" s="26"/>
      <c r="W388" s="26"/>
      <c r="X388" s="26"/>
      <c r="Y388" s="26"/>
      <c r="Z388" s="26"/>
      <c r="AA388" s="26"/>
    </row>
    <row r="389" spans="1:27" ht="15">
      <c r="A389" s="42" t="s">
        <v>61</v>
      </c>
      <c r="B389" s="21"/>
      <c r="C389" s="40">
        <f t="shared" si="20"/>
        <v>276172143.4726351</v>
      </c>
      <c r="D389" s="23"/>
      <c r="E389" s="40">
        <f t="shared" si="21"/>
        <v>299722723</v>
      </c>
      <c r="F389" s="23"/>
      <c r="G389" s="61">
        <v>9.8214</v>
      </c>
      <c r="H389" s="50" t="s">
        <v>20</v>
      </c>
      <c r="I389" s="29">
        <f>ROUND($G389*C389/100,0)</f>
        <v>27123971</v>
      </c>
      <c r="J389" s="23"/>
      <c r="K389" s="29">
        <f>ROUND($G389*E389/100,0)</f>
        <v>29436968</v>
      </c>
      <c r="L389" s="23"/>
      <c r="M389" s="61">
        <f>ROUND(G389*(1+$R$390),4)</f>
        <v>10.629</v>
      </c>
      <c r="N389" s="50" t="s">
        <v>20</v>
      </c>
      <c r="O389" s="29">
        <f>ROUND(M389*$E389/100,0)</f>
        <v>31857528</v>
      </c>
      <c r="P389" s="29"/>
      <c r="Q389" s="70" t="s">
        <v>31</v>
      </c>
      <c r="R389" s="132">
        <f>R386/(K395+K88)-1</f>
        <v>0.08496498523454465</v>
      </c>
      <c r="S389" s="26"/>
      <c r="T389" s="29"/>
      <c r="U389" s="40"/>
      <c r="V389" s="26"/>
      <c r="W389" s="26"/>
      <c r="X389" s="26"/>
      <c r="Y389" s="26"/>
      <c r="Z389" s="26"/>
      <c r="AA389" s="26"/>
    </row>
    <row r="390" spans="1:27" ht="15">
      <c r="A390" s="42" t="s">
        <v>62</v>
      </c>
      <c r="B390" s="21"/>
      <c r="C390" s="40">
        <f t="shared" si="20"/>
        <v>287321127.14760274</v>
      </c>
      <c r="D390" s="23"/>
      <c r="E390" s="40">
        <f t="shared" si="21"/>
        <v>311778518</v>
      </c>
      <c r="F390" s="23"/>
      <c r="G390" s="61">
        <v>5.5063</v>
      </c>
      <c r="H390" s="50" t="s">
        <v>20</v>
      </c>
      <c r="I390" s="29">
        <f>ROUND($G390*C390/100,0)</f>
        <v>15820763</v>
      </c>
      <c r="J390" s="23"/>
      <c r="K390" s="29">
        <f>ROUND($G390*E390/100,0)</f>
        <v>17167461</v>
      </c>
      <c r="L390" s="23"/>
      <c r="M390" s="61">
        <f>ROUND(G390*(1+$R$390),4)</f>
        <v>5.9591</v>
      </c>
      <c r="N390" s="50" t="s">
        <v>20</v>
      </c>
      <c r="O390" s="29">
        <f>ROUND(M390*$E390/100,0)</f>
        <v>18579194</v>
      </c>
      <c r="P390" s="73"/>
      <c r="Q390" s="70" t="s">
        <v>74</v>
      </c>
      <c r="R390" s="132">
        <f>(R386-O385-O393-O78-O86)/(K395-K385-K393-K78-K86)-1</f>
        <v>0.08222856659903366</v>
      </c>
      <c r="S390" s="26"/>
      <c r="T390" s="26"/>
      <c r="U390" s="40"/>
      <c r="V390" s="26"/>
      <c r="W390" s="26"/>
      <c r="X390" s="26"/>
      <c r="Y390" s="26"/>
      <c r="Z390" s="26"/>
      <c r="AA390" s="26"/>
    </row>
    <row r="391" spans="1:27" ht="15">
      <c r="A391" s="42" t="s">
        <v>63</v>
      </c>
      <c r="B391" s="21"/>
      <c r="C391" s="40">
        <f t="shared" si="20"/>
        <v>391588057.1644858</v>
      </c>
      <c r="D391" s="23"/>
      <c r="E391" s="40">
        <f t="shared" si="21"/>
        <v>424955295</v>
      </c>
      <c r="F391" s="23"/>
      <c r="G391" s="61">
        <v>9.04</v>
      </c>
      <c r="H391" s="50" t="s">
        <v>20</v>
      </c>
      <c r="I391" s="29">
        <f>ROUND($G391*C391/100,0)</f>
        <v>35399560</v>
      </c>
      <c r="J391" s="23"/>
      <c r="K391" s="29">
        <f>ROUND($G391*E391/100,0)</f>
        <v>38415959</v>
      </c>
      <c r="L391" s="23"/>
      <c r="M391" s="61">
        <f>ROUND(G391*(1+$R$390),4)</f>
        <v>9.7833</v>
      </c>
      <c r="N391" s="50" t="s">
        <v>20</v>
      </c>
      <c r="O391" s="29">
        <f>ROUND(M391*$E391/100,0)</f>
        <v>41574651</v>
      </c>
      <c r="P391" s="73"/>
      <c r="Q391" s="85" t="s">
        <v>35</v>
      </c>
      <c r="R391" s="135">
        <f>M385/G385-1</f>
        <v>0.125</v>
      </c>
      <c r="S391" s="78"/>
      <c r="T391" s="29"/>
      <c r="U391" s="26"/>
      <c r="V391" s="26"/>
      <c r="W391" s="26"/>
      <c r="X391" s="26"/>
      <c r="Y391" s="26"/>
      <c r="Z391" s="26"/>
      <c r="AA391" s="26"/>
    </row>
    <row r="392" spans="1:27" ht="15">
      <c r="A392" s="42" t="s">
        <v>64</v>
      </c>
      <c r="B392" s="21"/>
      <c r="C392" s="40">
        <f t="shared" si="20"/>
        <v>347630492.51649153</v>
      </c>
      <c r="D392" s="23"/>
      <c r="E392" s="40">
        <f t="shared" si="21"/>
        <v>377217615.24375314</v>
      </c>
      <c r="F392" s="23"/>
      <c r="G392" s="61">
        <v>5.0688</v>
      </c>
      <c r="H392" s="50" t="s">
        <v>20</v>
      </c>
      <c r="I392" s="29">
        <f>ROUND($G392*C392/100,0)</f>
        <v>17620694</v>
      </c>
      <c r="J392" s="23"/>
      <c r="K392" s="29">
        <f>ROUND($G392*E392/100,0)</f>
        <v>19120406</v>
      </c>
      <c r="L392" s="23"/>
      <c r="M392" s="61">
        <f>ROUND((R386-SUM(O385:O391,O393,O78:O84,O86))/(E85+E392)*100,4)+R392</f>
        <v>5.4835</v>
      </c>
      <c r="N392" s="50" t="s">
        <v>20</v>
      </c>
      <c r="O392" s="29">
        <f>ROUND(M392*$E392/100,0)</f>
        <v>20684728</v>
      </c>
      <c r="P392" s="73"/>
      <c r="Q392" s="173"/>
      <c r="R392" s="173"/>
      <c r="S392" s="26"/>
      <c r="T392" s="29"/>
      <c r="U392" s="26"/>
      <c r="V392" s="26"/>
      <c r="W392" s="26"/>
      <c r="X392" s="26"/>
      <c r="Y392" s="26"/>
      <c r="Z392" s="26"/>
      <c r="AA392" s="26"/>
    </row>
    <row r="393" spans="1:27" ht="15">
      <c r="A393" s="42" t="s">
        <v>65</v>
      </c>
      <c r="B393" s="21"/>
      <c r="C393" s="40">
        <f>C408+C423+C438</f>
        <v>0</v>
      </c>
      <c r="D393" s="23"/>
      <c r="E393" s="40">
        <f>E408+E423+E438</f>
        <v>0</v>
      </c>
      <c r="F393" s="23"/>
      <c r="G393" s="44">
        <v>96</v>
      </c>
      <c r="H393" s="96"/>
      <c r="I393" s="29">
        <f>ROUND($G393*C393,0)</f>
        <v>0</v>
      </c>
      <c r="J393" s="23"/>
      <c r="K393" s="29">
        <f>ROUND($G393*E393,0)</f>
        <v>0</v>
      </c>
      <c r="L393" s="23"/>
      <c r="M393" s="44">
        <f>M385*12</f>
        <v>108</v>
      </c>
      <c r="N393" s="96"/>
      <c r="O393" s="29">
        <f>ROUND(M393*$E393,0)</f>
        <v>0</v>
      </c>
      <c r="P393" s="73"/>
      <c r="Q393" s="174"/>
      <c r="R393" s="174"/>
      <c r="S393" s="26"/>
      <c r="T393" s="78"/>
      <c r="U393" s="26"/>
      <c r="V393" s="26"/>
      <c r="W393" s="26"/>
      <c r="X393" s="26"/>
      <c r="Y393" s="26"/>
      <c r="Z393" s="26"/>
      <c r="AA393" s="26"/>
    </row>
    <row r="394" spans="1:27" ht="15">
      <c r="A394" s="42" t="s">
        <v>44</v>
      </c>
      <c r="B394" s="21"/>
      <c r="C394" s="133">
        <f>C409+C424+C439</f>
        <v>3843110</v>
      </c>
      <c r="D394" s="23"/>
      <c r="E394" s="133">
        <f>E409+E424+E439</f>
        <v>0</v>
      </c>
      <c r="F394" s="23"/>
      <c r="G394" s="20"/>
      <c r="H394" s="23"/>
      <c r="I394" s="83">
        <f>I409+I424+I439</f>
        <v>502046</v>
      </c>
      <c r="J394" s="23"/>
      <c r="K394" s="83">
        <f>K409+K424+K439</f>
        <v>0</v>
      </c>
      <c r="L394" s="23"/>
      <c r="M394" s="20"/>
      <c r="N394" s="23"/>
      <c r="O394" s="83">
        <f>O409+O424+O439</f>
        <v>0</v>
      </c>
      <c r="P394" s="21"/>
      <c r="Q394" s="23"/>
      <c r="R394" s="175"/>
      <c r="S394" s="26"/>
      <c r="T394" s="26"/>
      <c r="U394" s="26"/>
      <c r="V394" s="26"/>
      <c r="W394" s="26"/>
      <c r="X394" s="26"/>
      <c r="Y394" s="26"/>
      <c r="Z394" s="26"/>
      <c r="AA394" s="26"/>
    </row>
    <row r="395" spans="1:27" ht="15.75" thickBot="1">
      <c r="A395" s="42" t="s">
        <v>46</v>
      </c>
      <c r="B395" s="21"/>
      <c r="C395" s="118">
        <f>C410+C425+C440</f>
        <v>1306554930.3012152</v>
      </c>
      <c r="D395" s="23"/>
      <c r="E395" s="118">
        <f>E410+E425+E440</f>
        <v>1413674151.2437532</v>
      </c>
      <c r="F395" s="23"/>
      <c r="G395" s="110"/>
      <c r="H395" s="23"/>
      <c r="I395" s="111">
        <f>SUM(I385:I394)</f>
        <v>108806071</v>
      </c>
      <c r="J395" s="23"/>
      <c r="K395" s="111">
        <f>SUM(K385:K394)</f>
        <v>117423936</v>
      </c>
      <c r="L395" s="23"/>
      <c r="M395" s="110"/>
      <c r="N395" s="23"/>
      <c r="O395" s="111">
        <f>SUM(O385:O394)</f>
        <v>127401025</v>
      </c>
      <c r="P395" s="21"/>
      <c r="Q395" s="23"/>
      <c r="R395" s="175"/>
      <c r="S395" s="26"/>
      <c r="T395" s="26"/>
      <c r="U395" s="26"/>
      <c r="V395" s="26"/>
      <c r="W395" s="26"/>
      <c r="X395" s="26"/>
      <c r="Y395" s="26"/>
      <c r="Z395" s="26"/>
      <c r="AA395" s="26"/>
    </row>
    <row r="396" spans="1:27" ht="15.75" thickTop="1">
      <c r="A396" s="42" t="s">
        <v>48</v>
      </c>
      <c r="B396" s="21"/>
      <c r="C396" s="40"/>
      <c r="D396" s="23"/>
      <c r="E396" s="40"/>
      <c r="F396" s="23"/>
      <c r="G396" s="92"/>
      <c r="H396" s="93"/>
      <c r="I396" s="83">
        <v>4366512.4729</v>
      </c>
      <c r="J396" s="23"/>
      <c r="K396" s="83">
        <f>I396</f>
        <v>4366512.4729</v>
      </c>
      <c r="L396" s="23"/>
      <c r="M396" s="37"/>
      <c r="N396" s="93"/>
      <c r="O396" s="83">
        <v>0</v>
      </c>
      <c r="P396" s="29"/>
      <c r="Q396" s="23"/>
      <c r="R396" s="176"/>
      <c r="S396" s="26"/>
      <c r="T396" s="26"/>
      <c r="U396" s="26"/>
      <c r="V396" s="26"/>
      <c r="W396" s="26"/>
      <c r="X396" s="26"/>
      <c r="Y396" s="26"/>
      <c r="Z396" s="26"/>
      <c r="AA396" s="26"/>
    </row>
    <row r="397" spans="1:27" ht="15">
      <c r="A397" s="42" t="s">
        <v>49</v>
      </c>
      <c r="B397" s="21"/>
      <c r="C397" s="40"/>
      <c r="D397" s="23"/>
      <c r="E397" s="40"/>
      <c r="F397" s="23"/>
      <c r="G397" s="92">
        <f>M397</f>
        <v>0.0395</v>
      </c>
      <c r="H397" s="93"/>
      <c r="I397" s="83">
        <f>ROUND(SUM(I386:I392,I396)*$G397,0)</f>
        <v>4168130</v>
      </c>
      <c r="J397" s="23"/>
      <c r="K397" s="83">
        <f>ROUND(SUM(K386:K392,K396)*$G397,0)</f>
        <v>4507733</v>
      </c>
      <c r="L397" s="23"/>
      <c r="M397" s="126">
        <v>0.0395</v>
      </c>
      <c r="N397" s="93"/>
      <c r="O397" s="83">
        <f>ROUND(SUM(O386:O392,O396)*M397,0)</f>
        <v>4691477</v>
      </c>
      <c r="P397" s="29"/>
      <c r="Q397" s="21"/>
      <c r="R397" s="26"/>
      <c r="S397" s="26"/>
      <c r="T397" s="26"/>
      <c r="U397" s="26"/>
      <c r="V397" s="26"/>
      <c r="W397" s="26"/>
      <c r="X397" s="26"/>
      <c r="Y397" s="26"/>
      <c r="Z397" s="26"/>
      <c r="AA397" s="26"/>
    </row>
    <row r="398" spans="1:27" ht="15">
      <c r="A398" s="20"/>
      <c r="B398" s="21"/>
      <c r="C398" s="40"/>
      <c r="D398" s="23"/>
      <c r="E398" s="40"/>
      <c r="F398" s="23"/>
      <c r="G398" s="20"/>
      <c r="H398" s="23"/>
      <c r="I398" s="21"/>
      <c r="J398" s="23"/>
      <c r="K398" s="21"/>
      <c r="L398" s="23"/>
      <c r="M398" s="21"/>
      <c r="N398" s="23"/>
      <c r="O398" s="21"/>
      <c r="P398" s="29"/>
      <c r="Q398" s="21"/>
      <c r="R398" s="26"/>
      <c r="S398" s="26"/>
      <c r="T398" s="26"/>
      <c r="U398" s="26"/>
      <c r="V398" s="26"/>
      <c r="W398" s="26"/>
      <c r="X398" s="26"/>
      <c r="Y398" s="26"/>
      <c r="Z398" s="26"/>
      <c r="AA398" s="26"/>
    </row>
    <row r="399" spans="1:27" ht="15">
      <c r="A399" s="38" t="s">
        <v>131</v>
      </c>
      <c r="B399" s="21"/>
      <c r="C399" s="40"/>
      <c r="D399" s="23"/>
      <c r="E399" s="40"/>
      <c r="F399" s="23"/>
      <c r="G399" s="20"/>
      <c r="H399" s="23"/>
      <c r="I399" s="21"/>
      <c r="J399" s="23"/>
      <c r="K399" s="21"/>
      <c r="L399" s="23"/>
      <c r="M399" s="21"/>
      <c r="N399" s="23"/>
      <c r="O399" s="21"/>
      <c r="P399" s="29"/>
      <c r="Q399" s="21"/>
      <c r="R399" s="26"/>
      <c r="S399" s="26"/>
      <c r="T399" s="26"/>
      <c r="U399" s="26"/>
      <c r="V399" s="26"/>
      <c r="W399" s="26"/>
      <c r="X399" s="26"/>
      <c r="Y399" s="26"/>
      <c r="Z399" s="26"/>
      <c r="AA399" s="26"/>
    </row>
    <row r="400" spans="1:27" ht="15">
      <c r="A400" s="42" t="s">
        <v>16</v>
      </c>
      <c r="B400" s="21"/>
      <c r="C400" s="43">
        <v>849081.8481311513</v>
      </c>
      <c r="D400" s="23"/>
      <c r="E400" s="116">
        <v>916400</v>
      </c>
      <c r="F400" s="23"/>
      <c r="G400" s="69">
        <v>8</v>
      </c>
      <c r="H400" s="68"/>
      <c r="I400" s="29">
        <f>ROUND($G400*C400,0)</f>
        <v>6792655</v>
      </c>
      <c r="J400" s="23"/>
      <c r="K400" s="29">
        <f>ROUND($G400*E400,0)</f>
        <v>7331200</v>
      </c>
      <c r="L400" s="23"/>
      <c r="M400" s="122">
        <f aca="true" t="shared" si="22" ref="M400:M408">M385</f>
        <v>9</v>
      </c>
      <c r="N400" s="68"/>
      <c r="O400" s="29">
        <f>ROUND(M400*$E400,0)</f>
        <v>8247600</v>
      </c>
      <c r="P400" s="29"/>
      <c r="Q400" s="123"/>
      <c r="R400" s="26"/>
      <c r="S400" s="26"/>
      <c r="T400" s="26"/>
      <c r="U400" s="26"/>
      <c r="V400" s="26"/>
      <c r="W400" s="26"/>
      <c r="X400" s="26"/>
      <c r="Y400" s="26"/>
      <c r="Z400" s="26"/>
      <c r="AA400" s="26"/>
    </row>
    <row r="401" spans="1:27" ht="15">
      <c r="A401" s="42" t="s">
        <v>58</v>
      </c>
      <c r="B401" s="21"/>
      <c r="C401" s="43">
        <v>342333.48953923275</v>
      </c>
      <c r="D401" s="23"/>
      <c r="E401" s="116">
        <f>ROUND(E$410*C401/C$410,0)</f>
        <v>371021</v>
      </c>
      <c r="F401" s="23"/>
      <c r="G401" s="69">
        <v>7.25</v>
      </c>
      <c r="H401" s="68"/>
      <c r="I401" s="29">
        <f>ROUND($G401*C401,0)</f>
        <v>2481918</v>
      </c>
      <c r="J401" s="23"/>
      <c r="K401" s="29">
        <f>ROUND($G401*E401,0)</f>
        <v>2689902</v>
      </c>
      <c r="L401" s="23"/>
      <c r="M401" s="122">
        <f t="shared" si="22"/>
        <v>7.8500000000000005</v>
      </c>
      <c r="N401" s="68"/>
      <c r="O401" s="29">
        <f>ROUND(M401*$E401,0)</f>
        <v>2912515</v>
      </c>
      <c r="P401" s="29"/>
      <c r="Q401" s="97"/>
      <c r="R401" s="26"/>
      <c r="S401" s="26"/>
      <c r="T401" s="26"/>
      <c r="U401" s="26"/>
      <c r="V401" s="26"/>
      <c r="W401" s="26"/>
      <c r="X401" s="26"/>
      <c r="Y401" s="26"/>
      <c r="Z401" s="26"/>
      <c r="AA401" s="26"/>
    </row>
    <row r="402" spans="1:27" ht="15">
      <c r="A402" s="42" t="s">
        <v>59</v>
      </c>
      <c r="B402" s="21"/>
      <c r="C402" s="43">
        <v>324351.0165061921</v>
      </c>
      <c r="D402" s="23"/>
      <c r="E402" s="116">
        <f>ROUND(E$410*C402/C$410,0)</f>
        <v>351532</v>
      </c>
      <c r="F402" s="23"/>
      <c r="G402" s="69">
        <v>7.3</v>
      </c>
      <c r="H402" s="68"/>
      <c r="I402" s="29">
        <f>ROUND($G402*C402,0)</f>
        <v>2367762</v>
      </c>
      <c r="J402" s="23"/>
      <c r="K402" s="29">
        <f>ROUND($G402*E402,0)</f>
        <v>2566184</v>
      </c>
      <c r="L402" s="23"/>
      <c r="M402" s="122">
        <f t="shared" si="22"/>
        <v>7.9</v>
      </c>
      <c r="N402" s="68"/>
      <c r="O402" s="29">
        <f>ROUND(M402*$E402,0)</f>
        <v>2777103</v>
      </c>
      <c r="P402" s="29"/>
      <c r="Q402" s="97"/>
      <c r="R402" s="26"/>
      <c r="S402" s="26"/>
      <c r="T402" s="26"/>
      <c r="U402" s="26"/>
      <c r="V402" s="26"/>
      <c r="W402" s="26"/>
      <c r="X402" s="26"/>
      <c r="Y402" s="26"/>
      <c r="Z402" s="26"/>
      <c r="AA402" s="26"/>
    </row>
    <row r="403" spans="1:27" ht="15">
      <c r="A403" s="42" t="s">
        <v>60</v>
      </c>
      <c r="B403" s="21"/>
      <c r="C403" s="43">
        <v>3426.21501925546</v>
      </c>
      <c r="D403" s="23"/>
      <c r="E403" s="116">
        <f>ROUND(E$410*C403/C$410,0)</f>
        <v>3713</v>
      </c>
      <c r="F403" s="23"/>
      <c r="G403" s="69">
        <v>-0.41</v>
      </c>
      <c r="H403" s="68"/>
      <c r="I403" s="29">
        <f>ROUND($G403*C403,0)</f>
        <v>-1405</v>
      </c>
      <c r="J403" s="23"/>
      <c r="K403" s="29">
        <f>ROUND($G403*E403,0)</f>
        <v>-1522</v>
      </c>
      <c r="L403" s="23"/>
      <c r="M403" s="122">
        <f t="shared" si="22"/>
        <v>-0.44</v>
      </c>
      <c r="N403" s="68"/>
      <c r="O403" s="29">
        <f>ROUND(M403*$E403,0)</f>
        <v>-1634</v>
      </c>
      <c r="P403" s="29"/>
      <c r="Q403" s="97"/>
      <c r="R403" s="26"/>
      <c r="S403" s="26"/>
      <c r="T403" s="26"/>
      <c r="U403" s="26"/>
      <c r="V403" s="26"/>
      <c r="W403" s="26"/>
      <c r="X403" s="26"/>
      <c r="Y403" s="26"/>
      <c r="Z403" s="26"/>
      <c r="AA403" s="26"/>
    </row>
    <row r="404" spans="1:27" ht="15">
      <c r="A404" s="42" t="s">
        <v>61</v>
      </c>
      <c r="B404" s="21"/>
      <c r="C404" s="43">
        <v>263977829.408859</v>
      </c>
      <c r="D404" s="23"/>
      <c r="E404" s="116">
        <f>ROUND(E$410*C404/SUM(C$404:C$407),0)</f>
        <v>286934851</v>
      </c>
      <c r="F404" s="23"/>
      <c r="G404" s="120">
        <v>9.8214</v>
      </c>
      <c r="H404" s="50" t="s">
        <v>20</v>
      </c>
      <c r="I404" s="29">
        <f>ROUND($G404*C404/100,0)</f>
        <v>25926319</v>
      </c>
      <c r="J404" s="23"/>
      <c r="K404" s="29">
        <f>ROUND($G404*E404/100,0)</f>
        <v>28181019</v>
      </c>
      <c r="L404" s="23"/>
      <c r="M404" s="121">
        <f t="shared" si="22"/>
        <v>10.629</v>
      </c>
      <c r="N404" s="50" t="s">
        <v>20</v>
      </c>
      <c r="O404" s="29">
        <f>ROUND(M404*$E404/100,0)</f>
        <v>30498305</v>
      </c>
      <c r="P404" s="29"/>
      <c r="Q404" s="21"/>
      <c r="R404" s="124"/>
      <c r="S404" s="78"/>
      <c r="T404" s="26"/>
      <c r="U404" s="26"/>
      <c r="V404" s="26"/>
      <c r="W404" s="26"/>
      <c r="X404" s="26"/>
      <c r="Y404" s="26"/>
      <c r="Z404" s="26"/>
      <c r="AA404" s="26"/>
    </row>
    <row r="405" spans="1:27" ht="15">
      <c r="A405" s="42" t="s">
        <v>62</v>
      </c>
      <c r="B405" s="21"/>
      <c r="C405" s="43">
        <v>273461565.14760274</v>
      </c>
      <c r="D405" s="23"/>
      <c r="E405" s="116">
        <f>ROUND(E$410*C405/SUM(C$404:C$407),0)</f>
        <v>297243347</v>
      </c>
      <c r="F405" s="23"/>
      <c r="G405" s="120">
        <v>5.5063</v>
      </c>
      <c r="H405" s="50" t="s">
        <v>20</v>
      </c>
      <c r="I405" s="29">
        <f>ROUND($G405*C405/100,0)</f>
        <v>15057614</v>
      </c>
      <c r="J405" s="23"/>
      <c r="K405" s="29">
        <f>ROUND($G405*E405/100,0)</f>
        <v>16367110</v>
      </c>
      <c r="L405" s="23"/>
      <c r="M405" s="121">
        <f t="shared" si="22"/>
        <v>5.9591</v>
      </c>
      <c r="N405" s="50" t="s">
        <v>20</v>
      </c>
      <c r="O405" s="29">
        <f>ROUND(M405*$E405/100,0)</f>
        <v>17713028</v>
      </c>
      <c r="P405" s="73"/>
      <c r="Q405" s="97"/>
      <c r="R405" s="124"/>
      <c r="S405" s="26"/>
      <c r="T405" s="26"/>
      <c r="U405" s="26"/>
      <c r="V405" s="26"/>
      <c r="W405" s="26"/>
      <c r="X405" s="26"/>
      <c r="Y405" s="26"/>
      <c r="Z405" s="26"/>
      <c r="AA405" s="26"/>
    </row>
    <row r="406" spans="1:27" ht="15">
      <c r="A406" s="42" t="s">
        <v>63</v>
      </c>
      <c r="B406" s="21"/>
      <c r="C406" s="43">
        <v>373642062.1644858</v>
      </c>
      <c r="D406" s="23"/>
      <c r="E406" s="116">
        <f>ROUND(E$410*C406/SUM(C$404:C$407),0)</f>
        <v>406136113</v>
      </c>
      <c r="F406" s="23"/>
      <c r="G406" s="120">
        <v>9.04</v>
      </c>
      <c r="H406" s="50" t="s">
        <v>20</v>
      </c>
      <c r="I406" s="29">
        <f>ROUND($G406*C406/100,0)</f>
        <v>33777242</v>
      </c>
      <c r="J406" s="23"/>
      <c r="K406" s="29">
        <f>ROUND($G406*E406/100,0)</f>
        <v>36714705</v>
      </c>
      <c r="L406" s="23"/>
      <c r="M406" s="121">
        <f t="shared" si="22"/>
        <v>9.7833</v>
      </c>
      <c r="N406" s="50" t="s">
        <v>20</v>
      </c>
      <c r="O406" s="29">
        <f>ROUND(M406*$E406/100,0)</f>
        <v>39733514</v>
      </c>
      <c r="P406" s="73"/>
      <c r="Q406" s="21"/>
      <c r="R406" s="124"/>
      <c r="S406" s="26"/>
      <c r="T406" s="78"/>
      <c r="U406" s="26"/>
      <c r="V406" s="26"/>
      <c r="W406" s="26"/>
      <c r="X406" s="26"/>
      <c r="Y406" s="26"/>
      <c r="Z406" s="26"/>
      <c r="AA406" s="26"/>
    </row>
    <row r="407" spans="1:27" ht="15">
      <c r="A407" s="42" t="s">
        <v>64</v>
      </c>
      <c r="B407" s="21"/>
      <c r="C407" s="43">
        <v>330756967.51649153</v>
      </c>
      <c r="D407" s="23"/>
      <c r="E407" s="116">
        <f>E410-SUM(E404:E406)</f>
        <v>359521485</v>
      </c>
      <c r="F407" s="23"/>
      <c r="G407" s="120">
        <v>5.0688</v>
      </c>
      <c r="H407" s="50" t="s">
        <v>20</v>
      </c>
      <c r="I407" s="29">
        <f>ROUND($G407*C407/100,0)</f>
        <v>16765409</v>
      </c>
      <c r="J407" s="23"/>
      <c r="K407" s="29">
        <f>ROUND($G407*E407/100,0)</f>
        <v>18223425</v>
      </c>
      <c r="L407" s="23"/>
      <c r="M407" s="121">
        <f t="shared" si="22"/>
        <v>5.4835</v>
      </c>
      <c r="N407" s="50" t="s">
        <v>20</v>
      </c>
      <c r="O407" s="29">
        <f>ROUND(M407*$E407/100,0)</f>
        <v>19714361</v>
      </c>
      <c r="P407" s="73"/>
      <c r="Q407" s="21"/>
      <c r="R407" s="124"/>
      <c r="S407" s="26"/>
      <c r="T407" s="26"/>
      <c r="U407" s="26"/>
      <c r="V407" s="26"/>
      <c r="W407" s="26"/>
      <c r="X407" s="26"/>
      <c r="Y407" s="26"/>
      <c r="Z407" s="26"/>
      <c r="AA407" s="26"/>
    </row>
    <row r="408" spans="1:27" ht="15">
      <c r="A408" s="42" t="s">
        <v>65</v>
      </c>
      <c r="B408" s="21"/>
      <c r="C408" s="43">
        <v>0</v>
      </c>
      <c r="D408" s="23"/>
      <c r="E408" s="116">
        <f>ROUND(C408*E400/C400,0)</f>
        <v>0</v>
      </c>
      <c r="F408" s="23"/>
      <c r="G408" s="69">
        <v>96</v>
      </c>
      <c r="H408" s="68"/>
      <c r="I408" s="29">
        <f>ROUND($G408*C408,0)</f>
        <v>0</v>
      </c>
      <c r="J408" s="23"/>
      <c r="K408" s="29">
        <f>ROUND($G408*E408,0)</f>
        <v>0</v>
      </c>
      <c r="L408" s="23"/>
      <c r="M408" s="122">
        <f t="shared" si="22"/>
        <v>108</v>
      </c>
      <c r="N408" s="68"/>
      <c r="O408" s="29">
        <f>ROUND(M408*$E408,0)</f>
        <v>0</v>
      </c>
      <c r="P408" s="73"/>
      <c r="Q408" s="21"/>
      <c r="R408" s="26"/>
      <c r="S408" s="26"/>
      <c r="T408" s="26"/>
      <c r="U408" s="78"/>
      <c r="V408" s="26"/>
      <c r="W408" s="26"/>
      <c r="X408" s="26"/>
      <c r="Y408" s="26"/>
      <c r="Z408" s="26"/>
      <c r="AA408" s="26"/>
    </row>
    <row r="409" spans="1:27" ht="15">
      <c r="A409" s="42" t="s">
        <v>44</v>
      </c>
      <c r="B409" s="21"/>
      <c r="C409" s="82">
        <v>3627759</v>
      </c>
      <c r="D409" s="23"/>
      <c r="E409" s="82">
        <v>0</v>
      </c>
      <c r="F409" s="23"/>
      <c r="G409" s="20"/>
      <c r="H409" s="23"/>
      <c r="I409" s="84">
        <v>490891</v>
      </c>
      <c r="J409" s="23"/>
      <c r="K409" s="84">
        <v>0</v>
      </c>
      <c r="L409" s="23"/>
      <c r="M409" s="21"/>
      <c r="N409" s="23"/>
      <c r="O409" s="83">
        <v>0</v>
      </c>
      <c r="P409" s="21"/>
      <c r="Q409" s="21"/>
      <c r="R409" s="26"/>
      <c r="S409" s="26"/>
      <c r="T409" s="26"/>
      <c r="U409" s="26"/>
      <c r="V409" s="26"/>
      <c r="W409" s="26"/>
      <c r="X409" s="26"/>
      <c r="Y409" s="26"/>
      <c r="Z409" s="26"/>
      <c r="AA409" s="26"/>
    </row>
    <row r="410" spans="1:27" ht="15.75" thickBot="1">
      <c r="A410" s="42" t="s">
        <v>46</v>
      </c>
      <c r="B410" s="21"/>
      <c r="C410" s="118">
        <f>SUM(C404:C407,C409)</f>
        <v>1245466183.2374392</v>
      </c>
      <c r="D410" s="23"/>
      <c r="E410" s="118">
        <v>1349835796</v>
      </c>
      <c r="F410" s="23"/>
      <c r="G410" s="110"/>
      <c r="H410" s="23"/>
      <c r="I410" s="111">
        <f>SUM(I400:I409)</f>
        <v>103658405</v>
      </c>
      <c r="J410" s="23"/>
      <c r="K410" s="111">
        <f>SUM(K400:K409)</f>
        <v>112072023</v>
      </c>
      <c r="L410" s="23"/>
      <c r="M410" s="112"/>
      <c r="N410" s="23"/>
      <c r="O410" s="111">
        <f>SUM(O400:O409)</f>
        <v>121594792</v>
      </c>
      <c r="P410" s="21"/>
      <c r="Q410" s="21" t="s">
        <v>29</v>
      </c>
      <c r="R410" s="104">
        <f>O410/K410-1</f>
        <v>0.08497008214083901</v>
      </c>
      <c r="S410" s="26"/>
      <c r="T410" s="26"/>
      <c r="U410" s="26"/>
      <c r="V410" s="26"/>
      <c r="W410" s="26"/>
      <c r="X410" s="26"/>
      <c r="Y410" s="26"/>
      <c r="Z410" s="26"/>
      <c r="AA410" s="26"/>
    </row>
    <row r="411" spans="1:27" ht="15.75" thickTop="1">
      <c r="A411" s="42" t="s">
        <v>48</v>
      </c>
      <c r="B411" s="21"/>
      <c r="C411" s="40"/>
      <c r="D411" s="23"/>
      <c r="E411" s="125"/>
      <c r="F411" s="23"/>
      <c r="G411" s="92"/>
      <c r="H411" s="93"/>
      <c r="I411" s="83">
        <f>ROUND($I$396*I410/$I$395,0)</f>
        <v>4159931</v>
      </c>
      <c r="J411" s="23"/>
      <c r="K411" s="83">
        <f>I411</f>
        <v>4159931</v>
      </c>
      <c r="L411" s="23"/>
      <c r="M411" s="37"/>
      <c r="N411" s="93"/>
      <c r="O411" s="83">
        <v>0</v>
      </c>
      <c r="P411" s="29"/>
      <c r="Q411" s="20" t="s">
        <v>51</v>
      </c>
      <c r="R411" s="117">
        <f>(O410+O411)/(K410+K411)-1</f>
        <v>0.046139102161183665</v>
      </c>
      <c r="S411" s="26"/>
      <c r="T411" s="26"/>
      <c r="U411" s="26"/>
      <c r="V411" s="26"/>
      <c r="W411" s="26"/>
      <c r="X411" s="26"/>
      <c r="Y411" s="26"/>
      <c r="Z411" s="26"/>
      <c r="AA411" s="26"/>
    </row>
    <row r="412" spans="1:27" ht="15">
      <c r="A412" s="42" t="s">
        <v>49</v>
      </c>
      <c r="B412" s="21"/>
      <c r="C412" s="40"/>
      <c r="D412" s="23"/>
      <c r="E412" s="125"/>
      <c r="F412" s="23"/>
      <c r="G412" s="92">
        <f>M412</f>
        <v>0.0395</v>
      </c>
      <c r="H412" s="114"/>
      <c r="I412" s="83">
        <f>ROUND(SUM(I401:I407,I411)*$G412,0)</f>
        <v>3971124</v>
      </c>
      <c r="J412" s="23"/>
      <c r="K412" s="83">
        <f>ROUND(SUM(K401:K407,K411)*$G412,0)</f>
        <v>4301580</v>
      </c>
      <c r="L412" s="23"/>
      <c r="M412" s="115">
        <f>M397</f>
        <v>0.0395</v>
      </c>
      <c r="N412" s="114"/>
      <c r="O412" s="83">
        <f>ROUND(SUM(O401:O407,O411)*M412,0)</f>
        <v>4477214</v>
      </c>
      <c r="P412" s="29"/>
      <c r="Q412" s="21"/>
      <c r="R412" s="78"/>
      <c r="S412" s="26"/>
      <c r="T412" s="26"/>
      <c r="U412" s="26"/>
      <c r="V412" s="26"/>
      <c r="W412" s="26"/>
      <c r="X412" s="26"/>
      <c r="Y412" s="26"/>
      <c r="Z412" s="26"/>
      <c r="AA412" s="26"/>
    </row>
    <row r="413" spans="1:27" ht="15">
      <c r="A413" s="20"/>
      <c r="B413" s="21"/>
      <c r="C413" s="40"/>
      <c r="D413" s="23"/>
      <c r="E413" s="40"/>
      <c r="F413" s="23"/>
      <c r="G413" s="20"/>
      <c r="H413" s="23"/>
      <c r="I413" s="21"/>
      <c r="J413" s="23"/>
      <c r="K413" s="21"/>
      <c r="L413" s="23"/>
      <c r="M413" s="21"/>
      <c r="N413" s="23"/>
      <c r="O413" s="21"/>
      <c r="P413" s="29"/>
      <c r="Q413" s="21"/>
      <c r="R413" s="26"/>
      <c r="S413" s="26"/>
      <c r="T413" s="26"/>
      <c r="U413" s="26"/>
      <c r="V413" s="26"/>
      <c r="W413" s="26"/>
      <c r="X413" s="26"/>
      <c r="Y413" s="26"/>
      <c r="Z413" s="26"/>
      <c r="AA413" s="26"/>
    </row>
    <row r="414" spans="1:27" ht="15">
      <c r="A414" s="38" t="s">
        <v>132</v>
      </c>
      <c r="B414" s="21"/>
      <c r="C414" s="40"/>
      <c r="D414" s="23"/>
      <c r="E414" s="40"/>
      <c r="F414" s="23"/>
      <c r="G414" s="20"/>
      <c r="H414" s="23"/>
      <c r="I414" s="21"/>
      <c r="J414" s="23"/>
      <c r="K414" s="21"/>
      <c r="L414" s="23"/>
      <c r="M414" s="21"/>
      <c r="N414" s="23"/>
      <c r="O414" s="21"/>
      <c r="P414" s="29"/>
      <c r="Q414" s="21"/>
      <c r="R414" s="26"/>
      <c r="S414" s="26"/>
      <c r="T414" s="26"/>
      <c r="U414" s="26"/>
      <c r="V414" s="26"/>
      <c r="W414" s="26"/>
      <c r="X414" s="26"/>
      <c r="Y414" s="26"/>
      <c r="Z414" s="26"/>
      <c r="AA414" s="26"/>
    </row>
    <row r="415" spans="1:27" ht="15">
      <c r="A415" s="42" t="s">
        <v>16</v>
      </c>
      <c r="B415" s="21"/>
      <c r="C415" s="43">
        <v>44412.98458333317</v>
      </c>
      <c r="D415" s="23"/>
      <c r="E415" s="116">
        <v>42393</v>
      </c>
      <c r="F415" s="23"/>
      <c r="G415" s="69">
        <v>8</v>
      </c>
      <c r="H415" s="68"/>
      <c r="I415" s="29">
        <f>ROUND($G415*C415,0)</f>
        <v>355304</v>
      </c>
      <c r="J415" s="23"/>
      <c r="K415" s="29">
        <f>ROUND($G415*E415,0)</f>
        <v>339144</v>
      </c>
      <c r="L415" s="23"/>
      <c r="M415" s="122">
        <f aca="true" t="shared" si="23" ref="M415:M423">M385</f>
        <v>9</v>
      </c>
      <c r="N415" s="68"/>
      <c r="O415" s="29">
        <f>ROUND(M415*$E415,0)</f>
        <v>381537</v>
      </c>
      <c r="P415" s="29"/>
      <c r="Q415" s="21"/>
      <c r="R415" s="26"/>
      <c r="S415" s="26"/>
      <c r="T415" s="26"/>
      <c r="U415" s="26"/>
      <c r="V415" s="26"/>
      <c r="W415" s="26"/>
      <c r="X415" s="26"/>
      <c r="Y415" s="26"/>
      <c r="Z415" s="26"/>
      <c r="AA415" s="26"/>
    </row>
    <row r="416" spans="1:27" ht="15">
      <c r="A416" s="42" t="s">
        <v>58</v>
      </c>
      <c r="B416" s="21"/>
      <c r="C416" s="43">
        <v>22219.262523658155</v>
      </c>
      <c r="D416" s="23"/>
      <c r="E416" s="116">
        <f>ROUND(C416*$E$425/$C$425,0)</f>
        <v>23220</v>
      </c>
      <c r="F416" s="23"/>
      <c r="G416" s="69">
        <v>7.25</v>
      </c>
      <c r="H416" s="68"/>
      <c r="I416" s="29">
        <f>ROUND($G416*C416,0)</f>
        <v>161090</v>
      </c>
      <c r="J416" s="23"/>
      <c r="K416" s="29">
        <f>ROUND($G416*E416,0)</f>
        <v>168345</v>
      </c>
      <c r="L416" s="23"/>
      <c r="M416" s="122">
        <f t="shared" si="23"/>
        <v>7.8500000000000005</v>
      </c>
      <c r="N416" s="68"/>
      <c r="O416" s="29">
        <f>ROUND(M416*$E416,0)</f>
        <v>182277</v>
      </c>
      <c r="P416" s="29"/>
      <c r="Q416" s="21"/>
      <c r="R416" s="26"/>
      <c r="S416" s="26"/>
      <c r="T416" s="26"/>
      <c r="U416" s="26"/>
      <c r="V416" s="26"/>
      <c r="W416" s="26"/>
      <c r="X416" s="26"/>
      <c r="Y416" s="26"/>
      <c r="Z416" s="26"/>
      <c r="AA416" s="26"/>
    </row>
    <row r="417" spans="1:27" ht="15">
      <c r="A417" s="42" t="s">
        <v>59</v>
      </c>
      <c r="B417" s="21"/>
      <c r="C417" s="43">
        <v>25096.9133425035</v>
      </c>
      <c r="D417" s="23"/>
      <c r="E417" s="116">
        <f>ROUND(C417*$E$425/$C$425,0)</f>
        <v>26228</v>
      </c>
      <c r="F417" s="23"/>
      <c r="G417" s="69">
        <v>7.3</v>
      </c>
      <c r="H417" s="68"/>
      <c r="I417" s="29">
        <f>ROUND($G417*C417,0)</f>
        <v>183207</v>
      </c>
      <c r="J417" s="23"/>
      <c r="K417" s="29">
        <f>ROUND($G417*E417,0)</f>
        <v>191464</v>
      </c>
      <c r="L417" s="23"/>
      <c r="M417" s="122">
        <f t="shared" si="23"/>
        <v>7.9</v>
      </c>
      <c r="N417" s="68"/>
      <c r="O417" s="29">
        <f>ROUND(M417*$E417,0)</f>
        <v>207201</v>
      </c>
      <c r="P417" s="29"/>
      <c r="Q417" s="21"/>
      <c r="R417" s="26"/>
      <c r="S417" s="26"/>
      <c r="T417" s="26"/>
      <c r="U417" s="26"/>
      <c r="V417" s="26"/>
      <c r="W417" s="26"/>
      <c r="X417" s="26"/>
      <c r="Y417" s="26"/>
      <c r="Z417" s="26"/>
      <c r="AA417" s="26"/>
    </row>
    <row r="418" spans="1:27" ht="15">
      <c r="A418" s="42" t="s">
        <v>60</v>
      </c>
      <c r="B418" s="21"/>
      <c r="C418" s="43">
        <v>4348.05263157895</v>
      </c>
      <c r="D418" s="23"/>
      <c r="E418" s="116">
        <f>ROUND(C418*$E$425/$C$425,0)</f>
        <v>4544</v>
      </c>
      <c r="F418" s="23"/>
      <c r="G418" s="69">
        <v>-0.41</v>
      </c>
      <c r="H418" s="68"/>
      <c r="I418" s="29">
        <f>ROUND($G418*C418,0)</f>
        <v>-1783</v>
      </c>
      <c r="J418" s="23"/>
      <c r="K418" s="29">
        <f>ROUND($G418*E418,0)</f>
        <v>-1863</v>
      </c>
      <c r="L418" s="23"/>
      <c r="M418" s="122">
        <f t="shared" si="23"/>
        <v>-0.44</v>
      </c>
      <c r="N418" s="68"/>
      <c r="O418" s="29">
        <f>ROUND(M418*$E418,0)</f>
        <v>-1999</v>
      </c>
      <c r="P418" s="29"/>
      <c r="Q418" s="21"/>
      <c r="R418" s="26"/>
      <c r="S418" s="26"/>
      <c r="T418" s="26"/>
      <c r="U418" s="26"/>
      <c r="V418" s="26"/>
      <c r="W418" s="26"/>
      <c r="X418" s="26"/>
      <c r="Y418" s="26"/>
      <c r="Z418" s="26"/>
      <c r="AA418" s="26"/>
    </row>
    <row r="419" spans="1:27" ht="15">
      <c r="A419" s="42" t="s">
        <v>61</v>
      </c>
      <c r="B419" s="21"/>
      <c r="C419" s="43">
        <v>12184944.063776063</v>
      </c>
      <c r="D419" s="23"/>
      <c r="E419" s="116">
        <f>ROUND(C419*($E$425-$E$424)/($C$425-$C$424),0)</f>
        <v>12779044</v>
      </c>
      <c r="F419" s="23"/>
      <c r="G419" s="143">
        <v>9.8214</v>
      </c>
      <c r="H419" s="50" t="s">
        <v>20</v>
      </c>
      <c r="I419" s="29">
        <f>ROUND($G419*C419/100,0)</f>
        <v>1196732</v>
      </c>
      <c r="J419" s="23"/>
      <c r="K419" s="29">
        <f>ROUND($G419*E419/100,0)</f>
        <v>1255081</v>
      </c>
      <c r="L419" s="23"/>
      <c r="M419" s="144">
        <f t="shared" si="23"/>
        <v>10.629</v>
      </c>
      <c r="N419" s="50" t="s">
        <v>20</v>
      </c>
      <c r="O419" s="29">
        <f>ROUND(M419*$E419/100,0)</f>
        <v>1358285</v>
      </c>
      <c r="P419" s="29"/>
      <c r="Q419" s="21"/>
      <c r="R419" s="26"/>
      <c r="S419" s="78"/>
      <c r="T419" s="26"/>
      <c r="U419" s="26"/>
      <c r="V419" s="26"/>
      <c r="W419" s="26"/>
      <c r="X419" s="26"/>
      <c r="Y419" s="26"/>
      <c r="Z419" s="26"/>
      <c r="AA419" s="26"/>
    </row>
    <row r="420" spans="1:27" ht="15">
      <c r="A420" s="42" t="s">
        <v>62</v>
      </c>
      <c r="B420" s="21"/>
      <c r="C420" s="43">
        <v>13858241</v>
      </c>
      <c r="D420" s="23"/>
      <c r="E420" s="116">
        <f>ROUND(C420*($E$425-$E$424)/($C$425-$C$424),0)</f>
        <v>14533926</v>
      </c>
      <c r="F420" s="23"/>
      <c r="G420" s="143">
        <v>5.5063</v>
      </c>
      <c r="H420" s="50" t="s">
        <v>20</v>
      </c>
      <c r="I420" s="29">
        <f>ROUND($G420*C420/100,0)</f>
        <v>763076</v>
      </c>
      <c r="J420" s="23"/>
      <c r="K420" s="29">
        <f>ROUND($G420*E420/100,0)</f>
        <v>800282</v>
      </c>
      <c r="L420" s="23"/>
      <c r="M420" s="144">
        <f t="shared" si="23"/>
        <v>5.9591</v>
      </c>
      <c r="N420" s="50" t="s">
        <v>20</v>
      </c>
      <c r="O420" s="29">
        <f>ROUND(M420*$E420/100,0)</f>
        <v>866091</v>
      </c>
      <c r="P420" s="73"/>
      <c r="Q420" s="21"/>
      <c r="R420" s="26"/>
      <c r="S420" s="26"/>
      <c r="T420" s="26"/>
      <c r="U420" s="26"/>
      <c r="V420" s="26"/>
      <c r="W420" s="26"/>
      <c r="X420" s="26"/>
      <c r="Y420" s="26"/>
      <c r="Z420" s="26"/>
      <c r="AA420" s="26"/>
    </row>
    <row r="421" spans="1:27" ht="15">
      <c r="A421" s="42" t="s">
        <v>63</v>
      </c>
      <c r="B421" s="21"/>
      <c r="C421" s="43">
        <v>17929087</v>
      </c>
      <c r="D421" s="23"/>
      <c r="E421" s="116">
        <f>ROUND(C421*($E$425-$E$424)/($C$425-$C$424),0)</f>
        <v>18803253</v>
      </c>
      <c r="F421" s="23"/>
      <c r="G421" s="143">
        <v>9.04</v>
      </c>
      <c r="H421" s="50" t="s">
        <v>20</v>
      </c>
      <c r="I421" s="29">
        <f>ROUND($G421*C421/100,0)</f>
        <v>1620789</v>
      </c>
      <c r="J421" s="23"/>
      <c r="K421" s="29">
        <f>ROUND($G421*E421/100,0)</f>
        <v>1699814</v>
      </c>
      <c r="L421" s="23"/>
      <c r="M421" s="144">
        <f t="shared" si="23"/>
        <v>9.7833</v>
      </c>
      <c r="N421" s="50" t="s">
        <v>20</v>
      </c>
      <c r="O421" s="29">
        <f>ROUND(M421*$E421/100,0)</f>
        <v>1839579</v>
      </c>
      <c r="P421" s="73"/>
      <c r="Q421" s="21"/>
      <c r="R421" s="26"/>
      <c r="S421" s="26"/>
      <c r="T421" s="78"/>
      <c r="U421" s="26"/>
      <c r="V421" s="26"/>
      <c r="W421" s="26"/>
      <c r="X421" s="26"/>
      <c r="Y421" s="26"/>
      <c r="Z421" s="26"/>
      <c r="AA421" s="26"/>
    </row>
    <row r="422" spans="1:27" ht="15">
      <c r="A422" s="42" t="s">
        <v>64</v>
      </c>
      <c r="B422" s="21"/>
      <c r="C422" s="43">
        <v>16872636</v>
      </c>
      <c r="D422" s="23"/>
      <c r="E422" s="116">
        <f>E425-E419-E420-E421</f>
        <v>17695293</v>
      </c>
      <c r="F422" s="23"/>
      <c r="G422" s="143">
        <v>5.0688</v>
      </c>
      <c r="H422" s="50" t="s">
        <v>20</v>
      </c>
      <c r="I422" s="29">
        <f>ROUND($G422*C422/100,0)</f>
        <v>855240</v>
      </c>
      <c r="J422" s="23"/>
      <c r="K422" s="29">
        <f>ROUND($G422*E422/100,0)</f>
        <v>896939</v>
      </c>
      <c r="L422" s="23"/>
      <c r="M422" s="144">
        <f t="shared" si="23"/>
        <v>5.4835</v>
      </c>
      <c r="N422" s="50" t="s">
        <v>20</v>
      </c>
      <c r="O422" s="29">
        <f>ROUND(M422*$E422/100,0)</f>
        <v>970321</v>
      </c>
      <c r="P422" s="73"/>
      <c r="Q422" s="21"/>
      <c r="R422" s="26"/>
      <c r="S422" s="26"/>
      <c r="T422" s="26"/>
      <c r="U422" s="26"/>
      <c r="V422" s="26"/>
      <c r="W422" s="26"/>
      <c r="X422" s="26"/>
      <c r="Y422" s="26"/>
      <c r="Z422" s="26"/>
      <c r="AA422" s="26"/>
    </row>
    <row r="423" spans="1:27" ht="15">
      <c r="A423" s="42" t="s">
        <v>65</v>
      </c>
      <c r="B423" s="21"/>
      <c r="C423" s="43">
        <v>0</v>
      </c>
      <c r="D423" s="23"/>
      <c r="E423" s="116">
        <f>ROUND(C423*E415/C415,0)</f>
        <v>0</v>
      </c>
      <c r="F423" s="23"/>
      <c r="G423" s="69">
        <v>96</v>
      </c>
      <c r="H423" s="68"/>
      <c r="I423" s="29">
        <f>ROUND($G423*C423,0)</f>
        <v>0</v>
      </c>
      <c r="J423" s="23"/>
      <c r="K423" s="29">
        <f>ROUND($G423*E423,0)</f>
        <v>0</v>
      </c>
      <c r="L423" s="23"/>
      <c r="M423" s="122">
        <f t="shared" si="23"/>
        <v>108</v>
      </c>
      <c r="N423" s="68"/>
      <c r="O423" s="29">
        <f>ROUND(M423*$E423,0)</f>
        <v>0</v>
      </c>
      <c r="P423" s="73"/>
      <c r="Q423" s="21"/>
      <c r="R423" s="26"/>
      <c r="S423" s="26"/>
      <c r="T423" s="26"/>
      <c r="U423" s="78"/>
      <c r="V423" s="26"/>
      <c r="W423" s="26"/>
      <c r="X423" s="26"/>
      <c r="Y423" s="26"/>
      <c r="Z423" s="26"/>
      <c r="AA423" s="26"/>
    </row>
    <row r="424" spans="1:27" ht="15">
      <c r="A424" s="42" t="s">
        <v>44</v>
      </c>
      <c r="B424" s="21"/>
      <c r="C424" s="82">
        <v>215415</v>
      </c>
      <c r="D424" s="23"/>
      <c r="E424" s="133">
        <v>0</v>
      </c>
      <c r="F424" s="23"/>
      <c r="G424" s="20"/>
      <c r="H424" s="23"/>
      <c r="I424" s="84">
        <v>11146</v>
      </c>
      <c r="J424" s="23"/>
      <c r="K424" s="84">
        <v>0</v>
      </c>
      <c r="L424" s="23"/>
      <c r="M424" s="21"/>
      <c r="N424" s="23"/>
      <c r="O424" s="83">
        <v>0</v>
      </c>
      <c r="P424" s="21"/>
      <c r="Q424" s="21"/>
      <c r="R424" s="26"/>
      <c r="S424" s="26"/>
      <c r="T424" s="26"/>
      <c r="U424" s="26"/>
      <c r="V424" s="26"/>
      <c r="W424" s="26"/>
      <c r="X424" s="26"/>
      <c r="Y424" s="26"/>
      <c r="Z424" s="26"/>
      <c r="AA424" s="26"/>
    </row>
    <row r="425" spans="1:27" ht="15.75" thickBot="1">
      <c r="A425" s="42" t="s">
        <v>46</v>
      </c>
      <c r="B425" s="21"/>
      <c r="C425" s="118">
        <f>SUM(C419:C422,C424)</f>
        <v>61060323.06377606</v>
      </c>
      <c r="D425" s="23"/>
      <c r="E425" s="118">
        <v>63811516</v>
      </c>
      <c r="F425" s="23"/>
      <c r="G425" s="110"/>
      <c r="H425" s="23"/>
      <c r="I425" s="111">
        <f>SUM(I415:I424)</f>
        <v>5144801</v>
      </c>
      <c r="J425" s="23"/>
      <c r="K425" s="111">
        <f>SUM(K415:K424)</f>
        <v>5349206</v>
      </c>
      <c r="L425" s="23"/>
      <c r="M425" s="112"/>
      <c r="N425" s="23"/>
      <c r="O425" s="111">
        <f>SUM(O415:O424)</f>
        <v>5803292</v>
      </c>
      <c r="P425" s="21"/>
      <c r="Q425" s="21" t="s">
        <v>29</v>
      </c>
      <c r="R425" s="104">
        <f>O425/K425-1</f>
        <v>0.0848884862538477</v>
      </c>
      <c r="S425" s="26"/>
      <c r="T425" s="26"/>
      <c r="U425" s="26"/>
      <c r="V425" s="26"/>
      <c r="W425" s="26"/>
      <c r="X425" s="26"/>
      <c r="Y425" s="26"/>
      <c r="Z425" s="26"/>
      <c r="AA425" s="26"/>
    </row>
    <row r="426" spans="1:27" ht="15.75" thickTop="1">
      <c r="A426" s="42" t="s">
        <v>48</v>
      </c>
      <c r="B426" s="21"/>
      <c r="C426" s="40"/>
      <c r="D426" s="23"/>
      <c r="E426" s="40"/>
      <c r="F426" s="23"/>
      <c r="G426" s="92"/>
      <c r="H426" s="93"/>
      <c r="I426" s="83">
        <f>ROUND($I$396*I425/$I$395,0)</f>
        <v>206467</v>
      </c>
      <c r="J426" s="23"/>
      <c r="K426" s="83">
        <f>I426</f>
        <v>206467</v>
      </c>
      <c r="L426" s="23"/>
      <c r="M426" s="37"/>
      <c r="N426" s="93"/>
      <c r="O426" s="83">
        <v>0</v>
      </c>
      <c r="P426" s="29"/>
      <c r="Q426" s="20" t="s">
        <v>51</v>
      </c>
      <c r="R426" s="117">
        <f>(O425+O426)/(K425+K426)-1</f>
        <v>0.044570477780099704</v>
      </c>
      <c r="S426" s="26"/>
      <c r="T426" s="26"/>
      <c r="U426" s="26"/>
      <c r="V426" s="26"/>
      <c r="W426" s="26"/>
      <c r="X426" s="26"/>
      <c r="Y426" s="26"/>
      <c r="Z426" s="26"/>
      <c r="AA426" s="26"/>
    </row>
    <row r="427" spans="1:27" ht="15">
      <c r="A427" s="42" t="s">
        <v>49</v>
      </c>
      <c r="B427" s="21"/>
      <c r="C427" s="40"/>
      <c r="D427" s="23"/>
      <c r="E427" s="40"/>
      <c r="F427" s="23"/>
      <c r="G427" s="92">
        <f>M427</f>
        <v>0.0395</v>
      </c>
      <c r="H427" s="114"/>
      <c r="I427" s="83">
        <f>ROUND(SUM(I416:I422,I426)*$G427,0)</f>
        <v>196900</v>
      </c>
      <c r="J427" s="23"/>
      <c r="K427" s="83">
        <f>ROUND(SUM(K416:K422,K426)*$G427,0)</f>
        <v>206053</v>
      </c>
      <c r="L427" s="23"/>
      <c r="M427" s="115">
        <f>M397</f>
        <v>0.0395</v>
      </c>
      <c r="N427" s="114"/>
      <c r="O427" s="83">
        <f>ROUND(SUM(O416:O422,O426)*M427,0)</f>
        <v>214159</v>
      </c>
      <c r="P427" s="29"/>
      <c r="Q427" s="21"/>
      <c r="R427" s="78"/>
      <c r="S427" s="26"/>
      <c r="T427" s="26"/>
      <c r="U427" s="26"/>
      <c r="V427" s="26"/>
      <c r="W427" s="26"/>
      <c r="X427" s="26"/>
      <c r="Y427" s="26"/>
      <c r="Z427" s="26"/>
      <c r="AA427" s="26"/>
    </row>
    <row r="428" spans="1:27" ht="15">
      <c r="A428" s="20"/>
      <c r="B428" s="21"/>
      <c r="C428" s="40"/>
      <c r="D428" s="23"/>
      <c r="E428" s="40"/>
      <c r="F428" s="23"/>
      <c r="G428" s="20"/>
      <c r="H428" s="23"/>
      <c r="I428" s="21"/>
      <c r="J428" s="23"/>
      <c r="K428" s="21"/>
      <c r="L428" s="23"/>
      <c r="M428" s="21"/>
      <c r="N428" s="23"/>
      <c r="O428" s="21"/>
      <c r="P428" s="29"/>
      <c r="Q428" s="21"/>
      <c r="R428" s="26"/>
      <c r="S428" s="26"/>
      <c r="T428" s="26"/>
      <c r="U428" s="26"/>
      <c r="V428" s="26"/>
      <c r="W428" s="26"/>
      <c r="X428" s="26"/>
      <c r="Y428" s="26"/>
      <c r="Z428" s="26"/>
      <c r="AA428" s="26"/>
    </row>
    <row r="429" spans="1:27" ht="15">
      <c r="A429" s="38" t="s">
        <v>133</v>
      </c>
      <c r="B429" s="21"/>
      <c r="C429" s="40"/>
      <c r="D429" s="23"/>
      <c r="E429" s="40"/>
      <c r="F429" s="23"/>
      <c r="G429" s="20"/>
      <c r="H429" s="23"/>
      <c r="I429" s="21"/>
      <c r="J429" s="23"/>
      <c r="K429" s="21"/>
      <c r="L429" s="23"/>
      <c r="M429" s="21"/>
      <c r="N429" s="23"/>
      <c r="O429" s="21"/>
      <c r="P429" s="29"/>
      <c r="Q429" s="21"/>
      <c r="R429" s="26"/>
      <c r="S429" s="26"/>
      <c r="T429" s="26"/>
      <c r="U429" s="26"/>
      <c r="V429" s="26"/>
      <c r="W429" s="26"/>
      <c r="X429" s="26"/>
      <c r="Y429" s="26"/>
      <c r="Z429" s="26"/>
      <c r="AA429" s="26"/>
    </row>
    <row r="430" spans="1:27" ht="15">
      <c r="A430" s="42" t="s">
        <v>16</v>
      </c>
      <c r="B430" s="21"/>
      <c r="C430" s="43">
        <v>36.0004166666667</v>
      </c>
      <c r="D430" s="23"/>
      <c r="E430" s="116">
        <v>36</v>
      </c>
      <c r="F430" s="23"/>
      <c r="G430" s="69">
        <v>8</v>
      </c>
      <c r="H430" s="68"/>
      <c r="I430" s="29">
        <f>ROUND($G430*C430,0)</f>
        <v>288</v>
      </c>
      <c r="J430" s="23"/>
      <c r="K430" s="29">
        <f>ROUND($G430*E430,0)</f>
        <v>288</v>
      </c>
      <c r="L430" s="23"/>
      <c r="M430" s="122">
        <f aca="true" t="shared" si="24" ref="M430:M438">M385</f>
        <v>9</v>
      </c>
      <c r="N430" s="68"/>
      <c r="O430" s="29">
        <f>ROUND(M430*$E430,0)</f>
        <v>324</v>
      </c>
      <c r="P430" s="29"/>
      <c r="Q430" s="21"/>
      <c r="R430" s="26"/>
      <c r="S430" s="26"/>
      <c r="T430" s="26"/>
      <c r="U430" s="26"/>
      <c r="V430" s="26"/>
      <c r="W430" s="26"/>
      <c r="X430" s="26"/>
      <c r="Y430" s="26"/>
      <c r="Z430" s="26"/>
      <c r="AA430" s="26"/>
    </row>
    <row r="431" spans="1:27" ht="15">
      <c r="A431" s="42" t="s">
        <v>58</v>
      </c>
      <c r="B431" s="21"/>
      <c r="C431" s="43">
        <v>0</v>
      </c>
      <c r="D431" s="23"/>
      <c r="E431" s="116">
        <f>ROUND(C431*$E$440/$C$440,0)</f>
        <v>0</v>
      </c>
      <c r="F431" s="23"/>
      <c r="G431" s="69">
        <v>7.25</v>
      </c>
      <c r="H431" s="68"/>
      <c r="I431" s="29">
        <f>ROUND($G431*C431,0)</f>
        <v>0</v>
      </c>
      <c r="J431" s="23"/>
      <c r="K431" s="29">
        <f>ROUND($G431*E431,0)</f>
        <v>0</v>
      </c>
      <c r="L431" s="23"/>
      <c r="M431" s="122">
        <f t="shared" si="24"/>
        <v>7.8500000000000005</v>
      </c>
      <c r="N431" s="68"/>
      <c r="O431" s="29">
        <f>ROUND(M431*$E431,0)</f>
        <v>0</v>
      </c>
      <c r="P431" s="29"/>
      <c r="Q431" s="21"/>
      <c r="R431" s="26"/>
      <c r="S431" s="26"/>
      <c r="T431" s="26"/>
      <c r="U431" s="26"/>
      <c r="V431" s="26"/>
      <c r="W431" s="26"/>
      <c r="X431" s="26"/>
      <c r="Y431" s="26"/>
      <c r="Z431" s="26"/>
      <c r="AA431" s="26"/>
    </row>
    <row r="432" spans="1:27" ht="15">
      <c r="A432" s="42" t="s">
        <v>59</v>
      </c>
      <c r="B432" s="21"/>
      <c r="C432" s="43">
        <v>0</v>
      </c>
      <c r="D432" s="23"/>
      <c r="E432" s="116">
        <f>ROUND(C432*$E$440/$C$440,0)</f>
        <v>0</v>
      </c>
      <c r="F432" s="23"/>
      <c r="G432" s="69">
        <v>7.3</v>
      </c>
      <c r="H432" s="68"/>
      <c r="I432" s="29">
        <f>ROUND($G432*C432,0)</f>
        <v>0</v>
      </c>
      <c r="J432" s="23"/>
      <c r="K432" s="29">
        <f>ROUND($G432*E432,0)</f>
        <v>0</v>
      </c>
      <c r="L432" s="23"/>
      <c r="M432" s="122">
        <f t="shared" si="24"/>
        <v>7.9</v>
      </c>
      <c r="N432" s="68"/>
      <c r="O432" s="29">
        <f>ROUND(M432*$E432,0)</f>
        <v>0</v>
      </c>
      <c r="P432" s="29"/>
      <c r="Q432" s="21"/>
      <c r="R432" s="26"/>
      <c r="S432" s="26"/>
      <c r="T432" s="26"/>
      <c r="U432" s="26"/>
      <c r="V432" s="26"/>
      <c r="W432" s="26"/>
      <c r="X432" s="26"/>
      <c r="Y432" s="26"/>
      <c r="Z432" s="26"/>
      <c r="AA432" s="26"/>
    </row>
    <row r="433" spans="1:27" ht="15">
      <c r="A433" s="42" t="s">
        <v>60</v>
      </c>
      <c r="B433" s="21"/>
      <c r="C433" s="43">
        <v>0</v>
      </c>
      <c r="D433" s="23"/>
      <c r="E433" s="116">
        <f>ROUND(C433*$E$440/$C$440,0)</f>
        <v>0</v>
      </c>
      <c r="F433" s="23"/>
      <c r="G433" s="69">
        <v>-0.41</v>
      </c>
      <c r="H433" s="68"/>
      <c r="I433" s="29">
        <f>ROUND($G433*C433,0)</f>
        <v>0</v>
      </c>
      <c r="J433" s="23"/>
      <c r="K433" s="29">
        <f>ROUND($G433*E433,0)</f>
        <v>0</v>
      </c>
      <c r="L433" s="23"/>
      <c r="M433" s="122">
        <f t="shared" si="24"/>
        <v>-0.44</v>
      </c>
      <c r="N433" s="68"/>
      <c r="O433" s="29">
        <f>ROUND(M433*$E433,0)</f>
        <v>0</v>
      </c>
      <c r="P433" s="29"/>
      <c r="Q433" s="21"/>
      <c r="R433" s="26"/>
      <c r="S433" s="26"/>
      <c r="T433" s="26"/>
      <c r="U433" s="26"/>
      <c r="V433" s="26"/>
      <c r="W433" s="26"/>
      <c r="X433" s="26"/>
      <c r="Y433" s="26"/>
      <c r="Z433" s="26"/>
      <c r="AA433" s="26"/>
    </row>
    <row r="434" spans="1:27" ht="15">
      <c r="A434" s="42" t="s">
        <v>61</v>
      </c>
      <c r="B434" s="21"/>
      <c r="C434" s="43">
        <v>9370</v>
      </c>
      <c r="D434" s="23"/>
      <c r="E434" s="116">
        <f>ROUND(C434*($E$440-$E$439)/($C$440-$C$439),0)</f>
        <v>8828</v>
      </c>
      <c r="F434" s="23"/>
      <c r="G434" s="120">
        <v>9.8214</v>
      </c>
      <c r="H434" s="50" t="s">
        <v>20</v>
      </c>
      <c r="I434" s="29">
        <f>ROUND($G434*C434/100,0)</f>
        <v>920</v>
      </c>
      <c r="J434" s="23"/>
      <c r="K434" s="29">
        <f>ROUND($G434*E434/100,0)</f>
        <v>867</v>
      </c>
      <c r="L434" s="23"/>
      <c r="M434" s="121">
        <f t="shared" si="24"/>
        <v>10.629</v>
      </c>
      <c r="N434" s="50" t="s">
        <v>20</v>
      </c>
      <c r="O434" s="29">
        <f>ROUND(M434*$E434/100,0)</f>
        <v>938</v>
      </c>
      <c r="P434" s="29"/>
      <c r="Q434" s="21"/>
      <c r="R434" s="26"/>
      <c r="S434" s="78"/>
      <c r="T434" s="26"/>
      <c r="U434" s="26"/>
      <c r="V434" s="26"/>
      <c r="W434" s="26"/>
      <c r="X434" s="26"/>
      <c r="Y434" s="26"/>
      <c r="Z434" s="26"/>
      <c r="AA434" s="26"/>
    </row>
    <row r="435" spans="1:27" ht="15">
      <c r="A435" s="42" t="s">
        <v>62</v>
      </c>
      <c r="B435" s="21"/>
      <c r="C435" s="43">
        <v>1321</v>
      </c>
      <c r="D435" s="23"/>
      <c r="E435" s="116">
        <f>ROUND(C435*($E$440-$E$439)/($C$440-$C$439),0)</f>
        <v>1245</v>
      </c>
      <c r="F435" s="23"/>
      <c r="G435" s="120">
        <v>5.5063</v>
      </c>
      <c r="H435" s="50" t="s">
        <v>20</v>
      </c>
      <c r="I435" s="29">
        <f>ROUND($G435*C435/100,0)</f>
        <v>73</v>
      </c>
      <c r="J435" s="23"/>
      <c r="K435" s="29">
        <f>ROUND($G435*E435/100,0)</f>
        <v>69</v>
      </c>
      <c r="L435" s="23"/>
      <c r="M435" s="121">
        <f t="shared" si="24"/>
        <v>5.9591</v>
      </c>
      <c r="N435" s="50" t="s">
        <v>20</v>
      </c>
      <c r="O435" s="29">
        <f>ROUND(M435*$E435/100,0)</f>
        <v>74</v>
      </c>
      <c r="P435" s="73"/>
      <c r="Q435" s="21"/>
      <c r="R435" s="26"/>
      <c r="S435" s="26"/>
      <c r="T435" s="26"/>
      <c r="U435" s="26"/>
      <c r="V435" s="26"/>
      <c r="W435" s="26"/>
      <c r="X435" s="26"/>
      <c r="Y435" s="26"/>
      <c r="Z435" s="26"/>
      <c r="AA435" s="26"/>
    </row>
    <row r="436" spans="1:27" ht="15">
      <c r="A436" s="42" t="s">
        <v>63</v>
      </c>
      <c r="B436" s="21"/>
      <c r="C436" s="43">
        <v>16908</v>
      </c>
      <c r="D436" s="23"/>
      <c r="E436" s="116">
        <f>ROUND(C436*($E$440-$E$439)/($C$440-$C$439),0)</f>
        <v>15929</v>
      </c>
      <c r="F436" s="23"/>
      <c r="G436" s="120">
        <v>9.04</v>
      </c>
      <c r="H436" s="50" t="s">
        <v>20</v>
      </c>
      <c r="I436" s="29">
        <f>ROUND($G436*C436/100,0)</f>
        <v>1528</v>
      </c>
      <c r="J436" s="23"/>
      <c r="K436" s="29">
        <f>ROUND($G436*E436/100,0)</f>
        <v>1440</v>
      </c>
      <c r="L436" s="23"/>
      <c r="M436" s="121">
        <f t="shared" si="24"/>
        <v>9.7833</v>
      </c>
      <c r="N436" s="50" t="s">
        <v>20</v>
      </c>
      <c r="O436" s="29">
        <f>ROUND(M436*$E436/100,0)</f>
        <v>1558</v>
      </c>
      <c r="P436" s="73"/>
      <c r="Q436" s="21"/>
      <c r="R436" s="26"/>
      <c r="S436" s="26"/>
      <c r="T436" s="78"/>
      <c r="U436" s="26"/>
      <c r="V436" s="26"/>
      <c r="W436" s="26"/>
      <c r="X436" s="26"/>
      <c r="Y436" s="26"/>
      <c r="Z436" s="26"/>
      <c r="AA436" s="26"/>
    </row>
    <row r="437" spans="1:27" ht="15">
      <c r="A437" s="42" t="s">
        <v>64</v>
      </c>
      <c r="B437" s="21"/>
      <c r="C437" s="43">
        <v>889</v>
      </c>
      <c r="D437" s="23"/>
      <c r="E437" s="116">
        <f>E440-E434-E435-E436</f>
        <v>837.2437531185678</v>
      </c>
      <c r="F437" s="23"/>
      <c r="G437" s="120">
        <v>5.0688</v>
      </c>
      <c r="H437" s="50" t="s">
        <v>20</v>
      </c>
      <c r="I437" s="29">
        <f>ROUND($G437*C437/100,0)</f>
        <v>45</v>
      </c>
      <c r="J437" s="23"/>
      <c r="K437" s="29">
        <f>ROUND($G437*E437/100,0)</f>
        <v>42</v>
      </c>
      <c r="L437" s="23"/>
      <c r="M437" s="121">
        <f t="shared" si="24"/>
        <v>5.4835</v>
      </c>
      <c r="N437" s="50" t="s">
        <v>20</v>
      </c>
      <c r="O437" s="29">
        <f>ROUND(M437*$E437/100,0)</f>
        <v>46</v>
      </c>
      <c r="P437" s="73"/>
      <c r="Q437" s="21"/>
      <c r="R437" s="26"/>
      <c r="S437" s="26"/>
      <c r="T437" s="26"/>
      <c r="U437" s="26"/>
      <c r="V437" s="26"/>
      <c r="W437" s="26"/>
      <c r="X437" s="26"/>
      <c r="Y437" s="26"/>
      <c r="Z437" s="26"/>
      <c r="AA437" s="26"/>
    </row>
    <row r="438" spans="1:27" ht="15">
      <c r="A438" s="42" t="s">
        <v>65</v>
      </c>
      <c r="B438" s="21"/>
      <c r="C438" s="43">
        <v>0</v>
      </c>
      <c r="D438" s="23"/>
      <c r="E438" s="116">
        <f>ROUND(C438*E430/C430,0)</f>
        <v>0</v>
      </c>
      <c r="F438" s="23"/>
      <c r="G438" s="69">
        <v>96</v>
      </c>
      <c r="H438" s="68"/>
      <c r="I438" s="29">
        <f>ROUND($G438*C438,0)</f>
        <v>0</v>
      </c>
      <c r="J438" s="23"/>
      <c r="K438" s="29">
        <f>ROUND($G438*E438,0)</f>
        <v>0</v>
      </c>
      <c r="L438" s="23"/>
      <c r="M438" s="122">
        <f t="shared" si="24"/>
        <v>108</v>
      </c>
      <c r="N438" s="68"/>
      <c r="O438" s="29">
        <f>ROUND(M438*$E438,0)</f>
        <v>0</v>
      </c>
      <c r="P438" s="73"/>
      <c r="Q438" s="21"/>
      <c r="R438" s="26"/>
      <c r="S438" s="26"/>
      <c r="T438" s="26"/>
      <c r="U438" s="78"/>
      <c r="V438" s="26"/>
      <c r="W438" s="26"/>
      <c r="X438" s="26"/>
      <c r="Y438" s="26"/>
      <c r="Z438" s="26"/>
      <c r="AA438" s="26"/>
    </row>
    <row r="439" spans="1:27" ht="15">
      <c r="A439" s="42" t="s">
        <v>44</v>
      </c>
      <c r="B439" s="21"/>
      <c r="C439" s="82">
        <v>-64</v>
      </c>
      <c r="D439" s="23"/>
      <c r="E439" s="82">
        <v>0</v>
      </c>
      <c r="F439" s="23"/>
      <c r="G439" s="20"/>
      <c r="H439" s="23"/>
      <c r="I439" s="84">
        <v>9</v>
      </c>
      <c r="J439" s="23"/>
      <c r="K439" s="84">
        <v>0</v>
      </c>
      <c r="L439" s="23"/>
      <c r="M439" s="21"/>
      <c r="N439" s="23"/>
      <c r="O439" s="83">
        <v>0</v>
      </c>
      <c r="P439" s="21"/>
      <c r="Q439" s="21"/>
      <c r="R439" s="26"/>
      <c r="S439" s="26"/>
      <c r="T439" s="26"/>
      <c r="U439" s="26"/>
      <c r="V439" s="26"/>
      <c r="W439" s="26"/>
      <c r="X439" s="26"/>
      <c r="Y439" s="26"/>
      <c r="Z439" s="26"/>
      <c r="AA439" s="26"/>
    </row>
    <row r="440" spans="1:27" ht="15.75" thickBot="1">
      <c r="A440" s="42" t="s">
        <v>46</v>
      </c>
      <c r="B440" s="21"/>
      <c r="C440" s="118">
        <f>SUM(C434:C437,C439)</f>
        <v>28424</v>
      </c>
      <c r="D440" s="23"/>
      <c r="E440" s="118">
        <v>26839.243753118568</v>
      </c>
      <c r="F440" s="23"/>
      <c r="G440" s="110"/>
      <c r="H440" s="23"/>
      <c r="I440" s="111">
        <f>SUM(I430:I439)</f>
        <v>2863</v>
      </c>
      <c r="J440" s="23"/>
      <c r="K440" s="111">
        <f>SUM(K430:K439)</f>
        <v>2706</v>
      </c>
      <c r="L440" s="23"/>
      <c r="M440" s="112"/>
      <c r="N440" s="23"/>
      <c r="O440" s="111">
        <f>SUM(O430:O439)</f>
        <v>2940</v>
      </c>
      <c r="P440" s="21"/>
      <c r="Q440" s="21" t="s">
        <v>29</v>
      </c>
      <c r="R440" s="104">
        <f>O440/K440-1</f>
        <v>0.0864745011086474</v>
      </c>
      <c r="S440" s="26"/>
      <c r="T440" s="26"/>
      <c r="U440" s="26"/>
      <c r="V440" s="26"/>
      <c r="W440" s="26"/>
      <c r="X440" s="26"/>
      <c r="Y440" s="26"/>
      <c r="Z440" s="26"/>
      <c r="AA440" s="26"/>
    </row>
    <row r="441" spans="1:27" ht="15.75" thickTop="1">
      <c r="A441" s="42" t="s">
        <v>48</v>
      </c>
      <c r="B441" s="21"/>
      <c r="C441" s="40"/>
      <c r="D441" s="23"/>
      <c r="E441" s="40"/>
      <c r="F441" s="23"/>
      <c r="G441" s="92"/>
      <c r="H441" s="93"/>
      <c r="I441" s="83">
        <f>I396-I411-I426</f>
        <v>114.47290000040084</v>
      </c>
      <c r="J441" s="23"/>
      <c r="K441" s="83">
        <f>I441</f>
        <v>114.47290000040084</v>
      </c>
      <c r="L441" s="23"/>
      <c r="M441" s="37"/>
      <c r="N441" s="93"/>
      <c r="O441" s="83">
        <v>0</v>
      </c>
      <c r="P441" s="29"/>
      <c r="Q441" s="20" t="s">
        <v>51</v>
      </c>
      <c r="R441" s="117">
        <f>(O440+O441)/(K440+K441)-1</f>
        <v>0.04237838980817088</v>
      </c>
      <c r="S441" s="26"/>
      <c r="T441" s="26"/>
      <c r="U441" s="26"/>
      <c r="V441" s="26"/>
      <c r="W441" s="26"/>
      <c r="X441" s="26"/>
      <c r="Y441" s="26"/>
      <c r="Z441" s="26"/>
      <c r="AA441" s="26"/>
    </row>
    <row r="442" spans="1:27" ht="15">
      <c r="A442" s="42" t="s">
        <v>49</v>
      </c>
      <c r="B442" s="21"/>
      <c r="C442" s="40"/>
      <c r="D442" s="23"/>
      <c r="E442" s="40"/>
      <c r="F442" s="23"/>
      <c r="G442" s="92">
        <f>M442</f>
        <v>0.0395</v>
      </c>
      <c r="H442" s="114"/>
      <c r="I442" s="83">
        <f>ROUND(SUM(I431:I437,I441)*$G442,0)</f>
        <v>106</v>
      </c>
      <c r="J442" s="23"/>
      <c r="K442" s="83">
        <f>ROUND(SUM(K431:K437,K441)*$G442,0)</f>
        <v>100</v>
      </c>
      <c r="L442" s="23"/>
      <c r="M442" s="115">
        <f>M397</f>
        <v>0.0395</v>
      </c>
      <c r="N442" s="114"/>
      <c r="O442" s="83">
        <f>ROUND(SUM(O431:O437,O441)*M442,0)</f>
        <v>103</v>
      </c>
      <c r="P442" s="29"/>
      <c r="Q442" s="21"/>
      <c r="R442" s="78"/>
      <c r="S442" s="26"/>
      <c r="T442" s="26"/>
      <c r="U442" s="26"/>
      <c r="V442" s="26"/>
      <c r="W442" s="26"/>
      <c r="X442" s="26"/>
      <c r="Y442" s="26"/>
      <c r="Z442" s="26"/>
      <c r="AA442" s="26"/>
    </row>
    <row r="443" spans="1:27" ht="15">
      <c r="A443" s="20"/>
      <c r="B443" s="21"/>
      <c r="C443" s="21"/>
      <c r="D443" s="23"/>
      <c r="E443" s="21"/>
      <c r="F443" s="23"/>
      <c r="G443" s="20"/>
      <c r="H443" s="23"/>
      <c r="I443" s="21"/>
      <c r="J443" s="23"/>
      <c r="K443" s="21"/>
      <c r="L443" s="23"/>
      <c r="M443" s="21"/>
      <c r="N443" s="23"/>
      <c r="O443" s="21"/>
      <c r="P443" s="29"/>
      <c r="Q443" s="21"/>
      <c r="R443" s="26"/>
      <c r="S443" s="26"/>
      <c r="T443" s="26"/>
      <c r="U443" s="26"/>
      <c r="V443" s="26"/>
      <c r="W443" s="26"/>
      <c r="X443" s="26"/>
      <c r="Y443" s="26"/>
      <c r="Z443" s="26"/>
      <c r="AA443" s="26"/>
    </row>
  </sheetData>
  <printOptions/>
  <pageMargins left="0.17" right="0.17" top="0.75" bottom="0.5" header="0.3" footer="0.3"/>
  <pageSetup horizontalDpi="600" verticalDpi="600" orientation="landscape" r:id="rId3"/>
  <rowBreaks count="28" manualBreakCount="28">
    <brk id="29" max="16383" man="1"/>
    <brk id="50" max="16383" man="1"/>
    <brk id="73" max="16383" man="1"/>
    <brk id="90" max="16383" man="1"/>
    <brk id="104" max="16383" man="1"/>
    <brk id="118" max="16383" man="1"/>
    <brk id="132" max="16383" man="1"/>
    <brk id="146" max="16383" man="1"/>
    <brk id="160" max="16383" man="1"/>
    <brk id="174" max="16383" man="1"/>
    <brk id="188" max="16383" man="1"/>
    <brk id="202" max="16383" man="1"/>
    <brk id="216" max="16383" man="1"/>
    <brk id="230" max="16383" man="1"/>
    <brk id="245" max="16383" man="1"/>
    <brk id="259" max="16383" man="1"/>
    <brk id="273" max="16383" man="1"/>
    <brk id="286" max="16383" man="1"/>
    <brk id="299" max="16383" man="1"/>
    <brk id="312" max="16383" man="1"/>
    <brk id="325" max="16383" man="1"/>
    <brk id="336" max="16383" man="1"/>
    <brk id="346" max="16383" man="1"/>
    <brk id="364" max="16383" man="1"/>
    <brk id="382" max="16383" man="1"/>
    <brk id="397" max="16383" man="1"/>
    <brk id="412" max="16383" man="1"/>
    <brk id="42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44"/>
  <sheetViews>
    <sheetView workbookViewId="0" topLeftCell="A1">
      <selection activeCell="Y3" sqref="Y3"/>
    </sheetView>
  </sheetViews>
  <sheetFormatPr defaultColWidth="9.140625" defaultRowHeight="15"/>
  <cols>
    <col min="2" max="2" width="2.140625" style="0" customWidth="1"/>
    <col min="4" max="4" width="1.7109375" style="0" customWidth="1"/>
    <col min="6" max="6" width="1.28515625" style="0" customWidth="1"/>
    <col min="8" max="8" width="1.7109375" style="0" customWidth="1"/>
    <col min="10" max="10" width="1.7109375" style="0" customWidth="1"/>
    <col min="12" max="12" width="1.1484375" style="0" customWidth="1"/>
    <col min="14" max="14" width="1.421875" style="0" customWidth="1"/>
    <col min="16" max="16" width="1.57421875" style="0" customWidth="1"/>
    <col min="18" max="18" width="1.28515625" style="0" customWidth="1"/>
    <col min="20" max="20" width="1.28515625" style="0" customWidth="1"/>
    <col min="22" max="22" width="1.28515625" style="0" customWidth="1"/>
    <col min="25" max="25" width="11.57421875" style="0" customWidth="1"/>
  </cols>
  <sheetData>
    <row r="1" spans="1:37" ht="16.5">
      <c r="A1" s="177" t="s">
        <v>135</v>
      </c>
      <c r="B1" s="178"/>
      <c r="C1" s="178"/>
      <c r="D1" s="178"/>
      <c r="E1" s="178"/>
      <c r="F1" s="178"/>
      <c r="G1" s="178"/>
      <c r="H1" s="178"/>
      <c r="I1" s="179"/>
      <c r="J1" s="178"/>
      <c r="K1" s="179"/>
      <c r="L1" s="178"/>
      <c r="M1" s="180"/>
      <c r="N1" s="178"/>
      <c r="O1" s="178"/>
      <c r="P1" s="178"/>
      <c r="Q1" s="179"/>
      <c r="R1" s="178"/>
      <c r="S1" s="179"/>
      <c r="T1" s="178"/>
      <c r="U1" s="180"/>
      <c r="V1" s="178"/>
      <c r="W1" s="181"/>
      <c r="X1" s="182"/>
      <c r="Y1" s="313" t="s">
        <v>210</v>
      </c>
      <c r="Z1" s="183"/>
      <c r="AA1" s="8"/>
      <c r="AB1" s="184"/>
      <c r="AC1" s="184"/>
      <c r="AD1" s="184"/>
      <c r="AE1" s="184"/>
      <c r="AF1" s="184"/>
      <c r="AG1" s="184"/>
      <c r="AH1" s="184"/>
      <c r="AI1" s="184"/>
      <c r="AJ1" s="184"/>
      <c r="AK1" s="184"/>
    </row>
    <row r="2" spans="1:37" ht="16.5">
      <c r="A2" s="177" t="s">
        <v>136</v>
      </c>
      <c r="B2" s="178"/>
      <c r="C2" s="178"/>
      <c r="D2" s="178"/>
      <c r="E2" s="178"/>
      <c r="F2" s="178"/>
      <c r="G2" s="178"/>
      <c r="H2" s="178"/>
      <c r="I2" s="179"/>
      <c r="J2" s="178"/>
      <c r="K2" s="179"/>
      <c r="L2" s="178"/>
      <c r="M2" s="180"/>
      <c r="N2" s="178"/>
      <c r="O2" s="178"/>
      <c r="P2" s="178"/>
      <c r="Q2" s="179"/>
      <c r="R2" s="178"/>
      <c r="S2" s="179"/>
      <c r="T2" s="178"/>
      <c r="U2" s="180"/>
      <c r="V2" s="178"/>
      <c r="W2" s="181"/>
      <c r="X2" s="182"/>
      <c r="Y2" s="313" t="s">
        <v>211</v>
      </c>
      <c r="Z2" s="183"/>
      <c r="AA2" s="185"/>
      <c r="AB2" s="184"/>
      <c r="AC2" s="184"/>
      <c r="AD2" s="184"/>
      <c r="AE2" s="184"/>
      <c r="AF2" s="184"/>
      <c r="AG2" s="184"/>
      <c r="AH2" s="184"/>
      <c r="AI2" s="184"/>
      <c r="AJ2" s="184"/>
      <c r="AK2" s="184"/>
    </row>
    <row r="3" spans="1:37" ht="16.5">
      <c r="A3" s="177" t="s">
        <v>137</v>
      </c>
      <c r="B3" s="178"/>
      <c r="C3" s="178"/>
      <c r="D3" s="178"/>
      <c r="E3" s="178"/>
      <c r="F3" s="178"/>
      <c r="G3" s="178"/>
      <c r="H3" s="178"/>
      <c r="I3" s="179"/>
      <c r="J3" s="178"/>
      <c r="K3" s="179"/>
      <c r="L3" s="178"/>
      <c r="M3" s="180"/>
      <c r="N3" s="178"/>
      <c r="O3" s="178"/>
      <c r="P3" s="178"/>
      <c r="Q3" s="179"/>
      <c r="R3" s="178"/>
      <c r="S3" s="179"/>
      <c r="T3" s="178"/>
      <c r="U3" s="180"/>
      <c r="V3" s="178"/>
      <c r="W3" s="181"/>
      <c r="X3" s="182"/>
      <c r="Y3" s="313" t="s">
        <v>381</v>
      </c>
      <c r="Z3" s="183"/>
      <c r="AA3" s="8"/>
      <c r="AB3" s="184"/>
      <c r="AC3" s="184"/>
      <c r="AD3" s="184"/>
      <c r="AE3" s="184"/>
      <c r="AF3" s="184"/>
      <c r="AG3" s="184"/>
      <c r="AH3" s="184"/>
      <c r="AI3" s="184"/>
      <c r="AJ3" s="184"/>
      <c r="AK3" s="184"/>
    </row>
    <row r="4" spans="1:37" ht="16.5">
      <c r="A4" s="177" t="s">
        <v>138</v>
      </c>
      <c r="B4" s="178"/>
      <c r="C4" s="178"/>
      <c r="D4" s="178"/>
      <c r="E4" s="178"/>
      <c r="F4" s="178"/>
      <c r="G4" s="178"/>
      <c r="H4" s="178"/>
      <c r="I4" s="179"/>
      <c r="J4" s="178"/>
      <c r="K4" s="179"/>
      <c r="L4" s="178"/>
      <c r="M4" s="180"/>
      <c r="N4" s="178"/>
      <c r="O4" s="178"/>
      <c r="P4" s="178"/>
      <c r="Q4" s="179"/>
      <c r="R4" s="178"/>
      <c r="S4" s="179"/>
      <c r="T4" s="178"/>
      <c r="U4" s="180"/>
      <c r="V4" s="178"/>
      <c r="W4" s="181"/>
      <c r="X4" s="182"/>
      <c r="Y4" s="314">
        <v>40696</v>
      </c>
      <c r="Z4" s="186"/>
      <c r="AA4" s="19"/>
      <c r="AB4" s="184"/>
      <c r="AC4" s="184"/>
      <c r="AD4" s="184"/>
      <c r="AE4" s="184"/>
      <c r="AF4" s="184"/>
      <c r="AG4" s="184"/>
      <c r="AH4" s="184"/>
      <c r="AI4" s="184"/>
      <c r="AJ4" s="184"/>
      <c r="AK4" s="184"/>
    </row>
    <row r="5" spans="1:37" ht="15">
      <c r="A5" s="187"/>
      <c r="B5" s="178"/>
      <c r="C5" s="178"/>
      <c r="D5" s="178"/>
      <c r="E5" s="178"/>
      <c r="F5" s="178"/>
      <c r="G5" s="178"/>
      <c r="H5" s="178"/>
      <c r="I5" s="179"/>
      <c r="J5" s="178"/>
      <c r="K5" s="179"/>
      <c r="L5" s="178"/>
      <c r="M5" s="184"/>
      <c r="N5" s="184"/>
      <c r="O5" s="184"/>
      <c r="P5" s="178"/>
      <c r="Q5" s="179"/>
      <c r="R5" s="178"/>
      <c r="S5" s="179"/>
      <c r="T5" s="178"/>
      <c r="U5" s="184"/>
      <c r="V5" s="184"/>
      <c r="W5" s="182"/>
      <c r="X5" s="182"/>
      <c r="Y5" s="182"/>
      <c r="Z5" s="182"/>
      <c r="AA5" s="182"/>
      <c r="AB5" s="184"/>
      <c r="AC5" s="184"/>
      <c r="AD5" s="184"/>
      <c r="AE5" s="184"/>
      <c r="AF5" s="184"/>
      <c r="AG5" s="184"/>
      <c r="AH5" s="184"/>
      <c r="AI5" s="184"/>
      <c r="AJ5" s="184"/>
      <c r="AK5" s="184"/>
    </row>
    <row r="6" spans="1:37" ht="17.25">
      <c r="A6" s="188"/>
      <c r="B6" s="181"/>
      <c r="C6" s="181"/>
      <c r="D6" s="181"/>
      <c r="E6" s="181"/>
      <c r="F6" s="181"/>
      <c r="G6" s="181"/>
      <c r="H6" s="181"/>
      <c r="I6" s="189"/>
      <c r="J6" s="190"/>
      <c r="K6" s="191"/>
      <c r="L6" s="190"/>
      <c r="M6" s="190"/>
      <c r="N6" s="192"/>
      <c r="O6" s="192"/>
      <c r="P6" s="184"/>
      <c r="Q6" s="193"/>
      <c r="R6" s="192"/>
      <c r="S6" s="193"/>
      <c r="T6" s="192"/>
      <c r="U6" s="192"/>
      <c r="V6" s="192"/>
      <c r="W6" s="192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</row>
    <row r="7" spans="1:37" ht="15">
      <c r="A7" s="194"/>
      <c r="B7" s="184"/>
      <c r="C7" s="184"/>
      <c r="D7" s="184"/>
      <c r="E7" s="184"/>
      <c r="F7" s="184"/>
      <c r="G7" s="184"/>
      <c r="H7" s="184"/>
      <c r="I7" s="195"/>
      <c r="J7" s="184"/>
      <c r="K7" s="195"/>
      <c r="L7" s="184"/>
      <c r="M7" s="196"/>
      <c r="N7" s="184"/>
      <c r="O7" s="184"/>
      <c r="P7" s="184"/>
      <c r="Q7" s="195"/>
      <c r="R7" s="184"/>
      <c r="S7" s="195"/>
      <c r="T7" s="184"/>
      <c r="U7" s="196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</row>
    <row r="8" spans="1:37" ht="16.5">
      <c r="A8" s="194"/>
      <c r="B8" s="184"/>
      <c r="C8" s="178"/>
      <c r="D8" s="178"/>
      <c r="E8" s="178"/>
      <c r="F8" s="178"/>
      <c r="G8" s="178"/>
      <c r="H8" s="184"/>
      <c r="I8" s="197" t="s">
        <v>139</v>
      </c>
      <c r="J8" s="198"/>
      <c r="K8" s="199"/>
      <c r="L8" s="198"/>
      <c r="M8" s="200"/>
      <c r="N8" s="200"/>
      <c r="O8" s="200"/>
      <c r="P8" s="198"/>
      <c r="Q8" s="199"/>
      <c r="R8" s="198"/>
      <c r="S8" s="199"/>
      <c r="T8" s="198"/>
      <c r="U8" s="200"/>
      <c r="V8" s="200"/>
      <c r="W8" s="200"/>
      <c r="X8" s="184"/>
      <c r="Y8" s="184"/>
      <c r="Z8" s="184"/>
      <c r="AA8" s="184"/>
      <c r="AB8" s="184"/>
      <c r="AC8" s="178"/>
      <c r="AD8" s="178"/>
      <c r="AE8" s="178"/>
      <c r="AF8" s="178"/>
      <c r="AG8" s="184"/>
      <c r="AH8" s="184"/>
      <c r="AI8" s="184"/>
      <c r="AJ8" s="184"/>
      <c r="AK8" s="184"/>
    </row>
    <row r="9" spans="1:37" ht="15">
      <c r="A9" s="194"/>
      <c r="B9" s="184"/>
      <c r="C9" s="197" t="s">
        <v>140</v>
      </c>
      <c r="D9" s="198"/>
      <c r="E9" s="199"/>
      <c r="F9" s="198"/>
      <c r="G9" s="198"/>
      <c r="H9" s="184"/>
      <c r="I9" s="201" t="s">
        <v>141</v>
      </c>
      <c r="J9" s="202"/>
      <c r="K9" s="203"/>
      <c r="L9" s="204"/>
      <c r="M9" s="205"/>
      <c r="N9" s="204"/>
      <c r="O9" s="204"/>
      <c r="P9" s="184"/>
      <c r="Q9" s="197" t="s">
        <v>142</v>
      </c>
      <c r="R9" s="206"/>
      <c r="S9" s="199"/>
      <c r="T9" s="198"/>
      <c r="U9" s="207"/>
      <c r="V9" s="198"/>
      <c r="W9" s="198"/>
      <c r="X9" s="184"/>
      <c r="Y9" s="184"/>
      <c r="Z9" s="196"/>
      <c r="AA9" s="196"/>
      <c r="AB9" s="184"/>
      <c r="AC9" s="178"/>
      <c r="AD9" s="178"/>
      <c r="AE9" s="178"/>
      <c r="AF9" s="178"/>
      <c r="AG9" s="184"/>
      <c r="AH9" s="184"/>
      <c r="AI9" s="184"/>
      <c r="AJ9" s="184"/>
      <c r="AK9" s="184"/>
    </row>
    <row r="10" spans="1:37" ht="15">
      <c r="A10" s="208" t="s">
        <v>143</v>
      </c>
      <c r="B10" s="184"/>
      <c r="C10" s="199" t="s">
        <v>144</v>
      </c>
      <c r="D10" s="184"/>
      <c r="E10" s="209" t="s">
        <v>8</v>
      </c>
      <c r="F10" s="184"/>
      <c r="G10" s="210" t="s">
        <v>145</v>
      </c>
      <c r="H10" s="184"/>
      <c r="I10" s="199" t="s">
        <v>144</v>
      </c>
      <c r="J10" s="184"/>
      <c r="K10" s="209" t="s">
        <v>8</v>
      </c>
      <c r="L10" s="184"/>
      <c r="M10" s="211" t="s">
        <v>146</v>
      </c>
      <c r="N10" s="184"/>
      <c r="O10" s="211" t="s">
        <v>147</v>
      </c>
      <c r="P10" s="184"/>
      <c r="Q10" s="199" t="s">
        <v>144</v>
      </c>
      <c r="R10" s="184"/>
      <c r="S10" s="209" t="s">
        <v>8</v>
      </c>
      <c r="T10" s="184"/>
      <c r="U10" s="211" t="s">
        <v>146</v>
      </c>
      <c r="V10" s="184"/>
      <c r="W10" s="211" t="s">
        <v>147</v>
      </c>
      <c r="X10" s="184"/>
      <c r="Y10" s="184"/>
      <c r="Z10" s="184"/>
      <c r="AA10" s="184"/>
      <c r="AB10" s="184"/>
      <c r="AC10" s="212"/>
      <c r="AD10" s="212"/>
      <c r="AE10" s="212"/>
      <c r="AF10" s="212"/>
      <c r="AG10" s="184"/>
      <c r="AH10" s="184"/>
      <c r="AI10" s="184"/>
      <c r="AJ10" s="184"/>
      <c r="AK10" s="184"/>
    </row>
    <row r="11" spans="1:37" ht="15">
      <c r="A11" s="194">
        <v>100</v>
      </c>
      <c r="B11" s="184"/>
      <c r="C11" s="196">
        <f>$Z$13</f>
        <v>3.75</v>
      </c>
      <c r="D11" s="184"/>
      <c r="E11" s="196">
        <f>$AA$13</f>
        <v>6.81</v>
      </c>
      <c r="F11" s="184"/>
      <c r="G11" s="196">
        <f>E11-C11</f>
        <v>3.0599999999999996</v>
      </c>
      <c r="H11" s="184"/>
      <c r="I11" s="195">
        <f aca="true" t="shared" si="0" ref="I11:I17">ROUND((MIN(400,$A11)*$Z$14+MAX(0,MIN(600,$A11-400))*$Z$15+MAX(0,$A11-1000)*$Z$16)/100*(1+$Z$31)*(1+$Z$19)+$Z$18,2)</f>
        <v>8.31</v>
      </c>
      <c r="J11" s="184"/>
      <c r="K11" s="195">
        <f>ROUND((MIN(400,$A11)*$AA$14+MAX(0,MIN(600,$A11-400))*$AA$15+MAX(0,$A11-1000)*$AA$16)/100*(1+$AA$31)*(1+$AA$19)+$AA$18,2)</f>
        <v>8.82</v>
      </c>
      <c r="L11" s="195"/>
      <c r="M11" s="213">
        <f>K11-I11</f>
        <v>0.5099999999999998</v>
      </c>
      <c r="N11" s="184"/>
      <c r="O11" s="214">
        <f>ROUND(IF(I11=0,0,K11/I11-1),3)</f>
        <v>0.061</v>
      </c>
      <c r="P11" s="184"/>
      <c r="Q11" s="195">
        <f>ROUND($A11*$Z$22/100*(1+$Z$31)*(1+$Z$25)+$Z$24,2)</f>
        <v>8.6</v>
      </c>
      <c r="R11" s="184"/>
      <c r="S11" s="195">
        <f>ROUND($A11*$AA$22/100*(1+$AA$31)*(1+$AA$25)+$AA$24,2)</f>
        <v>9.13</v>
      </c>
      <c r="T11" s="195"/>
      <c r="U11" s="213">
        <f aca="true" t="shared" si="1" ref="U11:U20">S11-Q11</f>
        <v>0.5300000000000011</v>
      </c>
      <c r="V11" s="184"/>
      <c r="W11" s="214">
        <f aca="true" t="shared" si="2" ref="W11:W20">ROUND(IF(Q11=0,0,S11/Q11-1),3)</f>
        <v>0.062</v>
      </c>
      <c r="X11" s="184"/>
      <c r="Y11" s="215" t="s">
        <v>37</v>
      </c>
      <c r="Z11" s="216" t="s">
        <v>170</v>
      </c>
      <c r="AA11" s="217" t="s">
        <v>8</v>
      </c>
      <c r="AB11" s="184"/>
      <c r="AC11" s="218"/>
      <c r="AD11" s="218"/>
      <c r="AE11" s="218"/>
      <c r="AF11" s="218"/>
      <c r="AG11" s="184"/>
      <c r="AH11" s="184"/>
      <c r="AI11" s="184"/>
      <c r="AJ11" s="184"/>
      <c r="AK11" s="184"/>
    </row>
    <row r="12" spans="1:37" ht="15">
      <c r="A12" s="194">
        <v>200</v>
      </c>
      <c r="B12" s="184"/>
      <c r="C12" s="196">
        <f aca="true" t="shared" si="3" ref="C12:C32">$Z$13</f>
        <v>3.75</v>
      </c>
      <c r="D12" s="184"/>
      <c r="E12" s="196">
        <f aca="true" t="shared" si="4" ref="E12:E32">$AA$13</f>
        <v>6.81</v>
      </c>
      <c r="F12" s="184"/>
      <c r="G12" s="196">
        <f aca="true" t="shared" si="5" ref="G12:G32">E12-C12</f>
        <v>3.0599999999999996</v>
      </c>
      <c r="H12" s="184"/>
      <c r="I12" s="195">
        <f t="shared" si="0"/>
        <v>16.39</v>
      </c>
      <c r="J12" s="184"/>
      <c r="K12" s="195">
        <f aca="true" t="shared" si="6" ref="K12:K32">ROUND((MIN(400,$A12)*$AA$14+MAX(0,MIN(600,$A12-400))*$AA$15+MAX(0,$A12-1000)*$AA$16)/100*(1+$AA$31)*(1+$AA$19)+$AA$18,2)</f>
        <v>17.42</v>
      </c>
      <c r="L12" s="195"/>
      <c r="M12" s="213">
        <f aca="true" t="shared" si="7" ref="M12:M17">K12-I12</f>
        <v>1.0300000000000011</v>
      </c>
      <c r="N12" s="184"/>
      <c r="O12" s="214">
        <f aca="true" t="shared" si="8" ref="O12:O17">ROUND(IF(I12=0,0,K12/I12-1),3)</f>
        <v>0.063</v>
      </c>
      <c r="P12" s="184"/>
      <c r="Q12" s="195">
        <f aca="true" t="shared" si="9" ref="Q12:Q32">ROUND($A12*$Z$22/100*(1+$Z$31)*(1+$Z$25)+$Z$24,2)</f>
        <v>16.97</v>
      </c>
      <c r="R12" s="184"/>
      <c r="S12" s="195">
        <f aca="true" t="shared" si="10" ref="S12:S32">ROUND($A12*$AA$22/100*(1+$AA$31)*(1+$AA$25)+$AA$24,2)</f>
        <v>18.04</v>
      </c>
      <c r="T12" s="195"/>
      <c r="U12" s="213">
        <f t="shared" si="1"/>
        <v>1.0700000000000003</v>
      </c>
      <c r="V12" s="184"/>
      <c r="W12" s="214">
        <f t="shared" si="2"/>
        <v>0.063</v>
      </c>
      <c r="X12" s="184"/>
      <c r="Y12" s="219" t="s">
        <v>141</v>
      </c>
      <c r="Z12" s="182"/>
      <c r="AA12" s="220"/>
      <c r="AB12" s="184"/>
      <c r="AC12" s="218"/>
      <c r="AD12" s="218"/>
      <c r="AE12" s="218"/>
      <c r="AF12" s="218"/>
      <c r="AG12" s="184"/>
      <c r="AH12" s="184"/>
      <c r="AI12" s="184"/>
      <c r="AJ12" s="184"/>
      <c r="AK12" s="184"/>
    </row>
    <row r="13" spans="1:37" ht="15">
      <c r="A13" s="194">
        <v>300</v>
      </c>
      <c r="B13" s="184"/>
      <c r="C13" s="196">
        <f t="shared" si="3"/>
        <v>3.75</v>
      </c>
      <c r="D13" s="184"/>
      <c r="E13" s="196">
        <f t="shared" si="4"/>
        <v>6.81</v>
      </c>
      <c r="F13" s="184"/>
      <c r="G13" s="196">
        <f t="shared" si="5"/>
        <v>3.0599999999999996</v>
      </c>
      <c r="H13" s="184"/>
      <c r="I13" s="195">
        <f t="shared" si="0"/>
        <v>24.47</v>
      </c>
      <c r="J13" s="184"/>
      <c r="K13" s="195">
        <f t="shared" si="6"/>
        <v>26.01</v>
      </c>
      <c r="L13" s="195"/>
      <c r="M13" s="213">
        <f t="shared" si="7"/>
        <v>1.5400000000000027</v>
      </c>
      <c r="N13" s="184"/>
      <c r="O13" s="214">
        <f t="shared" si="8"/>
        <v>0.063</v>
      </c>
      <c r="P13" s="184"/>
      <c r="Q13" s="195">
        <f t="shared" si="9"/>
        <v>25.34</v>
      </c>
      <c r="R13" s="184"/>
      <c r="S13" s="195">
        <f t="shared" si="10"/>
        <v>26.94</v>
      </c>
      <c r="T13" s="195"/>
      <c r="U13" s="213">
        <f t="shared" si="1"/>
        <v>1.6000000000000014</v>
      </c>
      <c r="V13" s="184"/>
      <c r="W13" s="214">
        <f t="shared" si="2"/>
        <v>0.063</v>
      </c>
      <c r="X13" s="184"/>
      <c r="Y13" s="221" t="s">
        <v>148</v>
      </c>
      <c r="Z13" s="222">
        <v>3.75</v>
      </c>
      <c r="AA13" s="223">
        <v>6.81</v>
      </c>
      <c r="AB13" s="184"/>
      <c r="AC13" s="218"/>
      <c r="AD13" s="218"/>
      <c r="AE13" s="218"/>
      <c r="AF13" s="218"/>
      <c r="AG13" s="184"/>
      <c r="AH13" s="184"/>
      <c r="AI13" s="184"/>
      <c r="AJ13" s="184"/>
      <c r="AK13" s="184"/>
    </row>
    <row r="14" spans="1:37" ht="15">
      <c r="A14" s="194">
        <v>400</v>
      </c>
      <c r="B14" s="184"/>
      <c r="C14" s="196">
        <f t="shared" si="3"/>
        <v>3.75</v>
      </c>
      <c r="D14" s="184"/>
      <c r="E14" s="196">
        <f t="shared" si="4"/>
        <v>6.81</v>
      </c>
      <c r="F14" s="184"/>
      <c r="G14" s="196">
        <f t="shared" si="5"/>
        <v>3.0599999999999996</v>
      </c>
      <c r="H14" s="184"/>
      <c r="I14" s="195">
        <f t="shared" si="0"/>
        <v>32.55</v>
      </c>
      <c r="J14" s="184"/>
      <c r="K14" s="195">
        <f t="shared" si="6"/>
        <v>34.6</v>
      </c>
      <c r="L14" s="195"/>
      <c r="M14" s="213">
        <f t="shared" si="7"/>
        <v>2.0500000000000043</v>
      </c>
      <c r="N14" s="184"/>
      <c r="O14" s="214">
        <f t="shared" si="8"/>
        <v>0.063</v>
      </c>
      <c r="P14" s="184"/>
      <c r="Q14" s="195">
        <f t="shared" si="9"/>
        <v>33.71</v>
      </c>
      <c r="R14" s="184"/>
      <c r="S14" s="195">
        <f t="shared" si="10"/>
        <v>35.84</v>
      </c>
      <c r="T14" s="195"/>
      <c r="U14" s="213">
        <f t="shared" si="1"/>
        <v>2.1300000000000026</v>
      </c>
      <c r="V14" s="184"/>
      <c r="W14" s="214">
        <f t="shared" si="2"/>
        <v>0.063</v>
      </c>
      <c r="X14" s="184"/>
      <c r="Y14" s="221" t="s">
        <v>149</v>
      </c>
      <c r="Z14" s="224">
        <v>7.5292</v>
      </c>
      <c r="AA14" s="225">
        <v>8.3359</v>
      </c>
      <c r="AB14" s="184"/>
      <c r="AC14" s="218"/>
      <c r="AD14" s="218"/>
      <c r="AE14" s="218"/>
      <c r="AF14" s="218"/>
      <c r="AG14" s="184"/>
      <c r="AH14" s="184"/>
      <c r="AI14" s="184"/>
      <c r="AJ14" s="184"/>
      <c r="AK14" s="184"/>
    </row>
    <row r="15" spans="1:37" ht="15">
      <c r="A15" s="194">
        <v>500</v>
      </c>
      <c r="B15" s="184"/>
      <c r="C15" s="196">
        <f t="shared" si="3"/>
        <v>3.75</v>
      </c>
      <c r="D15" s="184"/>
      <c r="E15" s="196">
        <f t="shared" si="4"/>
        <v>6.81</v>
      </c>
      <c r="F15" s="184"/>
      <c r="G15" s="196">
        <f t="shared" si="5"/>
        <v>3.0599999999999996</v>
      </c>
      <c r="H15" s="184"/>
      <c r="I15" s="195">
        <f t="shared" si="0"/>
        <v>42.5</v>
      </c>
      <c r="J15" s="184"/>
      <c r="K15" s="195">
        <f t="shared" si="6"/>
        <v>45.19</v>
      </c>
      <c r="L15" s="195"/>
      <c r="M15" s="213">
        <f t="shared" si="7"/>
        <v>2.6899999999999977</v>
      </c>
      <c r="N15" s="184"/>
      <c r="O15" s="214">
        <f t="shared" si="8"/>
        <v>0.063</v>
      </c>
      <c r="P15" s="184"/>
      <c r="Q15" s="195">
        <f t="shared" si="9"/>
        <v>42.08</v>
      </c>
      <c r="R15" s="184"/>
      <c r="S15" s="195">
        <f t="shared" si="10"/>
        <v>44.75</v>
      </c>
      <c r="T15" s="195"/>
      <c r="U15" s="213">
        <f t="shared" si="1"/>
        <v>2.6700000000000017</v>
      </c>
      <c r="V15" s="184"/>
      <c r="W15" s="214">
        <f t="shared" si="2"/>
        <v>0.063</v>
      </c>
      <c r="X15" s="184"/>
      <c r="Y15" s="221" t="s">
        <v>150</v>
      </c>
      <c r="Z15" s="224">
        <v>9.2749</v>
      </c>
      <c r="AA15" s="225">
        <v>10.2686</v>
      </c>
      <c r="AB15" s="184"/>
      <c r="AC15" s="218"/>
      <c r="AD15" s="218"/>
      <c r="AE15" s="218"/>
      <c r="AF15" s="218"/>
      <c r="AG15" s="184"/>
      <c r="AH15" s="184"/>
      <c r="AI15" s="184"/>
      <c r="AJ15" s="184"/>
      <c r="AK15" s="184"/>
    </row>
    <row r="16" spans="1:37" ht="15">
      <c r="A16" s="194">
        <v>600</v>
      </c>
      <c r="B16" s="184"/>
      <c r="C16" s="196">
        <f t="shared" si="3"/>
        <v>3.75</v>
      </c>
      <c r="D16" s="184"/>
      <c r="E16" s="196">
        <f t="shared" si="4"/>
        <v>6.81</v>
      </c>
      <c r="F16" s="184"/>
      <c r="G16" s="196">
        <f t="shared" si="5"/>
        <v>3.0599999999999996</v>
      </c>
      <c r="H16" s="184"/>
      <c r="I16" s="195">
        <f t="shared" si="0"/>
        <v>52.45</v>
      </c>
      <c r="J16" s="184"/>
      <c r="K16" s="195">
        <f t="shared" si="6"/>
        <v>55.78</v>
      </c>
      <c r="L16" s="195"/>
      <c r="M16" s="213">
        <f t="shared" si="7"/>
        <v>3.3299999999999983</v>
      </c>
      <c r="N16" s="184"/>
      <c r="O16" s="214">
        <f t="shared" si="8"/>
        <v>0.063</v>
      </c>
      <c r="P16" s="184"/>
      <c r="Q16" s="195">
        <f t="shared" si="9"/>
        <v>50.46</v>
      </c>
      <c r="R16" s="184"/>
      <c r="S16" s="195">
        <f t="shared" si="10"/>
        <v>53.65</v>
      </c>
      <c r="T16" s="195"/>
      <c r="U16" s="213">
        <f t="shared" si="1"/>
        <v>3.1899999999999977</v>
      </c>
      <c r="V16" s="184"/>
      <c r="W16" s="214">
        <f t="shared" si="2"/>
        <v>0.063</v>
      </c>
      <c r="X16" s="184"/>
      <c r="Y16" s="221" t="s">
        <v>151</v>
      </c>
      <c r="Z16" s="224">
        <v>11.5361</v>
      </c>
      <c r="AA16" s="225">
        <v>12.7721</v>
      </c>
      <c r="AB16" s="184"/>
      <c r="AC16" s="218"/>
      <c r="AD16" s="218"/>
      <c r="AE16" s="218"/>
      <c r="AF16" s="218"/>
      <c r="AG16" s="184"/>
      <c r="AH16" s="184"/>
      <c r="AI16" s="184"/>
      <c r="AJ16" s="184"/>
      <c r="AK16" s="184"/>
    </row>
    <row r="17" spans="1:37" ht="15">
      <c r="A17" s="194">
        <v>700</v>
      </c>
      <c r="B17" s="184"/>
      <c r="C17" s="196">
        <f t="shared" si="3"/>
        <v>3.75</v>
      </c>
      <c r="D17" s="184"/>
      <c r="E17" s="196">
        <f t="shared" si="4"/>
        <v>6.81</v>
      </c>
      <c r="F17" s="184"/>
      <c r="G17" s="196">
        <f t="shared" si="5"/>
        <v>3.0599999999999996</v>
      </c>
      <c r="H17" s="184"/>
      <c r="I17" s="195">
        <f t="shared" si="0"/>
        <v>62.41</v>
      </c>
      <c r="J17" s="184"/>
      <c r="K17" s="195">
        <f t="shared" si="6"/>
        <v>66.36</v>
      </c>
      <c r="L17" s="195"/>
      <c r="M17" s="213">
        <f t="shared" si="7"/>
        <v>3.950000000000003</v>
      </c>
      <c r="N17" s="184"/>
      <c r="O17" s="214">
        <f t="shared" si="8"/>
        <v>0.063</v>
      </c>
      <c r="P17" s="184"/>
      <c r="Q17" s="195">
        <f t="shared" si="9"/>
        <v>58.83</v>
      </c>
      <c r="R17" s="184"/>
      <c r="S17" s="195">
        <f t="shared" si="10"/>
        <v>62.55</v>
      </c>
      <c r="T17" s="195"/>
      <c r="U17" s="213">
        <f t="shared" si="1"/>
        <v>3.719999999999999</v>
      </c>
      <c r="V17" s="184"/>
      <c r="W17" s="214">
        <f t="shared" si="2"/>
        <v>0.063</v>
      </c>
      <c r="X17" s="184"/>
      <c r="Y17" s="221" t="s">
        <v>152</v>
      </c>
      <c r="Z17" s="222">
        <v>3.78</v>
      </c>
      <c r="AA17" s="223">
        <v>6.81</v>
      </c>
      <c r="AB17" s="184"/>
      <c r="AC17" s="218"/>
      <c r="AD17" s="218"/>
      <c r="AE17" s="218"/>
      <c r="AF17" s="218"/>
      <c r="AG17" s="184"/>
      <c r="AH17" s="184"/>
      <c r="AI17" s="184"/>
      <c r="AJ17" s="184"/>
      <c r="AK17" s="184"/>
    </row>
    <row r="18" spans="1:37" ht="15">
      <c r="A18" s="194">
        <f>T38</f>
        <v>757.0294712214834</v>
      </c>
      <c r="B18" s="184" t="s">
        <v>153</v>
      </c>
      <c r="C18" s="196">
        <f t="shared" si="3"/>
        <v>3.75</v>
      </c>
      <c r="D18" s="184"/>
      <c r="E18" s="196">
        <f t="shared" si="4"/>
        <v>6.81</v>
      </c>
      <c r="F18" s="184"/>
      <c r="G18" s="196">
        <f t="shared" si="5"/>
        <v>3.0599999999999996</v>
      </c>
      <c r="H18" s="184"/>
      <c r="I18" s="195"/>
      <c r="J18" s="184"/>
      <c r="K18" s="195"/>
      <c r="L18" s="195"/>
      <c r="M18" s="213"/>
      <c r="N18" s="184"/>
      <c r="O18" s="214"/>
      <c r="P18" s="184"/>
      <c r="Q18" s="195">
        <f t="shared" si="9"/>
        <v>63.6</v>
      </c>
      <c r="R18" s="184"/>
      <c r="S18" s="195">
        <f t="shared" si="10"/>
        <v>67.63</v>
      </c>
      <c r="T18" s="195"/>
      <c r="U18" s="213">
        <f t="shared" si="1"/>
        <v>4.029999999999994</v>
      </c>
      <c r="V18" s="184"/>
      <c r="W18" s="214">
        <f t="shared" si="2"/>
        <v>0.063</v>
      </c>
      <c r="X18" s="184"/>
      <c r="Y18" s="221" t="s">
        <v>154</v>
      </c>
      <c r="Z18" s="222">
        <v>0.23</v>
      </c>
      <c r="AA18" s="223">
        <f>Z18</f>
        <v>0.23</v>
      </c>
      <c r="AB18" s="184"/>
      <c r="AC18" s="218"/>
      <c r="AD18" s="218"/>
      <c r="AE18" s="218"/>
      <c r="AF18" s="218"/>
      <c r="AG18" s="184"/>
      <c r="AH18" s="184"/>
      <c r="AI18" s="184"/>
      <c r="AJ18" s="184"/>
      <c r="AK18" s="184"/>
    </row>
    <row r="19" spans="1:37" ht="15">
      <c r="A19" s="194">
        <f>T39</f>
        <v>792.1185278091956</v>
      </c>
      <c r="B19" s="184" t="s">
        <v>155</v>
      </c>
      <c r="C19" s="196">
        <f t="shared" si="3"/>
        <v>3.75</v>
      </c>
      <c r="D19" s="184"/>
      <c r="E19" s="196">
        <f t="shared" si="4"/>
        <v>6.81</v>
      </c>
      <c r="F19" s="184"/>
      <c r="G19" s="196">
        <f t="shared" si="5"/>
        <v>3.0599999999999996</v>
      </c>
      <c r="H19" s="184"/>
      <c r="I19" s="195">
        <f aca="true" t="shared" si="11" ref="I19:I32">ROUND((MIN(400,$A19)*$Z$14+MAX(0,MIN(600,$A19-400))*$Z$15+MAX(0,$A19-1000)*$Z$16)/100*(1+$Z$31)*(1+$Z$19)+$Z$18,2)</f>
        <v>71.57</v>
      </c>
      <c r="J19" s="184"/>
      <c r="K19" s="195">
        <f t="shared" si="6"/>
        <v>76.11</v>
      </c>
      <c r="L19" s="195"/>
      <c r="M19" s="213">
        <f aca="true" t="shared" si="12" ref="M19:M32">K19-I19</f>
        <v>4.540000000000006</v>
      </c>
      <c r="N19" s="184"/>
      <c r="O19" s="214">
        <f aca="true" t="shared" si="13" ref="O19:O32">ROUND(IF(I19=0,0,K19/I19-1),3)</f>
        <v>0.063</v>
      </c>
      <c r="P19" s="184"/>
      <c r="Q19" s="195">
        <f t="shared" si="9"/>
        <v>66.54</v>
      </c>
      <c r="R19" s="184"/>
      <c r="S19" s="195">
        <f t="shared" si="10"/>
        <v>70.76</v>
      </c>
      <c r="T19" s="195"/>
      <c r="U19" s="213">
        <f t="shared" si="1"/>
        <v>4.219999999999999</v>
      </c>
      <c r="V19" s="184"/>
      <c r="W19" s="214">
        <f t="shared" si="2"/>
        <v>0.063</v>
      </c>
      <c r="X19" s="184"/>
      <c r="Y19" s="221" t="s">
        <v>156</v>
      </c>
      <c r="Z19" s="226">
        <v>0.0391</v>
      </c>
      <c r="AA19" s="227">
        <f>'[1]Exhibit RMP-(WRG-5)'!M29</f>
        <v>0.0391</v>
      </c>
      <c r="AB19" s="184"/>
      <c r="AC19" s="218"/>
      <c r="AD19" s="218"/>
      <c r="AE19" s="218"/>
      <c r="AF19" s="218"/>
      <c r="AG19" s="184"/>
      <c r="AH19" s="184"/>
      <c r="AI19" s="184"/>
      <c r="AJ19" s="184"/>
      <c r="AK19" s="184"/>
    </row>
    <row r="20" spans="1:37" ht="15">
      <c r="A20" s="194">
        <v>800</v>
      </c>
      <c r="B20" s="184"/>
      <c r="C20" s="196">
        <f t="shared" si="3"/>
        <v>3.75</v>
      </c>
      <c r="D20" s="184"/>
      <c r="E20" s="196">
        <f t="shared" si="4"/>
        <v>6.81</v>
      </c>
      <c r="F20" s="184"/>
      <c r="G20" s="196">
        <f t="shared" si="5"/>
        <v>3.0599999999999996</v>
      </c>
      <c r="H20" s="184"/>
      <c r="I20" s="195">
        <f t="shared" si="11"/>
        <v>72.36</v>
      </c>
      <c r="J20" s="184"/>
      <c r="K20" s="195">
        <f t="shared" si="6"/>
        <v>76.95</v>
      </c>
      <c r="L20" s="195"/>
      <c r="M20" s="213">
        <f t="shared" si="12"/>
        <v>4.590000000000003</v>
      </c>
      <c r="N20" s="184"/>
      <c r="O20" s="214">
        <f t="shared" si="13"/>
        <v>0.063</v>
      </c>
      <c r="P20" s="184"/>
      <c r="Q20" s="195">
        <f t="shared" si="9"/>
        <v>67.2</v>
      </c>
      <c r="R20" s="184"/>
      <c r="S20" s="195">
        <f t="shared" si="10"/>
        <v>71.46</v>
      </c>
      <c r="T20" s="195"/>
      <c r="U20" s="213">
        <f t="shared" si="1"/>
        <v>4.259999999999991</v>
      </c>
      <c r="V20" s="184"/>
      <c r="W20" s="214">
        <f t="shared" si="2"/>
        <v>0.063</v>
      </c>
      <c r="X20" s="184"/>
      <c r="Y20" s="219" t="s">
        <v>142</v>
      </c>
      <c r="Z20" s="182"/>
      <c r="AA20" s="220"/>
      <c r="AB20" s="184"/>
      <c r="AC20" s="218"/>
      <c r="AD20" s="218"/>
      <c r="AE20" s="218"/>
      <c r="AF20" s="218"/>
      <c r="AG20" s="184"/>
      <c r="AH20" s="184"/>
      <c r="AI20" s="184"/>
      <c r="AJ20" s="184"/>
      <c r="AK20" s="184"/>
    </row>
    <row r="21" spans="1:37" ht="15">
      <c r="A21" s="194">
        <f>T37</f>
        <v>841.2432070319929</v>
      </c>
      <c r="B21" s="184" t="s">
        <v>157</v>
      </c>
      <c r="C21" s="196">
        <f t="shared" si="3"/>
        <v>3.75</v>
      </c>
      <c r="D21" s="184"/>
      <c r="E21" s="196">
        <f t="shared" si="4"/>
        <v>6.81</v>
      </c>
      <c r="F21" s="184"/>
      <c r="G21" s="196">
        <f t="shared" si="5"/>
        <v>3.0599999999999996</v>
      </c>
      <c r="H21" s="184"/>
      <c r="I21" s="195">
        <f t="shared" si="11"/>
        <v>76.46</v>
      </c>
      <c r="J21" s="184"/>
      <c r="K21" s="195">
        <f t="shared" si="6"/>
        <v>81.31</v>
      </c>
      <c r="L21" s="195"/>
      <c r="M21" s="213">
        <f t="shared" si="12"/>
        <v>4.8500000000000085</v>
      </c>
      <c r="N21" s="184"/>
      <c r="O21" s="214">
        <f t="shared" si="13"/>
        <v>0.063</v>
      </c>
      <c r="P21" s="184"/>
      <c r="Q21" s="195"/>
      <c r="R21" s="184"/>
      <c r="S21" s="195"/>
      <c r="T21" s="195"/>
      <c r="U21" s="213"/>
      <c r="V21" s="184"/>
      <c r="W21" s="214"/>
      <c r="X21" s="184"/>
      <c r="Y21" s="221" t="s">
        <v>148</v>
      </c>
      <c r="Z21" s="228">
        <f>Z13</f>
        <v>3.75</v>
      </c>
      <c r="AA21" s="229">
        <f>AA13</f>
        <v>6.81</v>
      </c>
      <c r="AB21" s="184"/>
      <c r="AC21" s="218"/>
      <c r="AD21" s="218"/>
      <c r="AE21" s="218"/>
      <c r="AF21" s="218"/>
      <c r="AG21" s="184"/>
      <c r="AH21" s="184"/>
      <c r="AI21" s="184"/>
      <c r="AJ21" s="184"/>
      <c r="AK21" s="184"/>
    </row>
    <row r="22" spans="1:37" ht="15">
      <c r="A22" s="194">
        <v>900</v>
      </c>
      <c r="B22" s="184"/>
      <c r="C22" s="196">
        <f t="shared" si="3"/>
        <v>3.75</v>
      </c>
      <c r="D22" s="184"/>
      <c r="E22" s="196">
        <f t="shared" si="4"/>
        <v>6.81</v>
      </c>
      <c r="F22" s="184"/>
      <c r="G22" s="196">
        <f t="shared" si="5"/>
        <v>3.0599999999999996</v>
      </c>
      <c r="H22" s="184"/>
      <c r="I22" s="195">
        <f t="shared" si="11"/>
        <v>82.31</v>
      </c>
      <c r="J22" s="184"/>
      <c r="K22" s="195">
        <f t="shared" si="6"/>
        <v>87.53</v>
      </c>
      <c r="L22" s="195"/>
      <c r="M22" s="213">
        <f t="shared" si="12"/>
        <v>5.219999999999999</v>
      </c>
      <c r="N22" s="184"/>
      <c r="O22" s="214">
        <f t="shared" si="13"/>
        <v>0.063</v>
      </c>
      <c r="P22" s="184"/>
      <c r="Q22" s="195">
        <f t="shared" si="9"/>
        <v>75.57</v>
      </c>
      <c r="R22" s="184"/>
      <c r="S22" s="195">
        <f t="shared" si="10"/>
        <v>80.36</v>
      </c>
      <c r="T22" s="195"/>
      <c r="U22" s="213">
        <f aca="true" t="shared" si="14" ref="U22:U32">S22-Q22</f>
        <v>4.790000000000006</v>
      </c>
      <c r="V22" s="184"/>
      <c r="W22" s="214">
        <f aca="true" t="shared" si="15" ref="W22:W32">ROUND(IF(Q22=0,0,S22/Q22-1),3)</f>
        <v>0.063</v>
      </c>
      <c r="X22" s="184"/>
      <c r="Y22" s="221" t="s">
        <v>143</v>
      </c>
      <c r="Z22" s="230">
        <v>7.8009</v>
      </c>
      <c r="AA22" s="231">
        <v>8.6367</v>
      </c>
      <c r="AB22" s="184"/>
      <c r="AC22" s="218"/>
      <c r="AD22" s="218"/>
      <c r="AE22" s="218"/>
      <c r="AF22" s="218"/>
      <c r="AG22" s="184"/>
      <c r="AH22" s="184"/>
      <c r="AI22" s="184"/>
      <c r="AJ22" s="184"/>
      <c r="AK22" s="184"/>
    </row>
    <row r="23" spans="1:37" ht="15">
      <c r="A23" s="194">
        <v>1000</v>
      </c>
      <c r="B23" s="184"/>
      <c r="C23" s="196">
        <f t="shared" si="3"/>
        <v>3.75</v>
      </c>
      <c r="D23" s="184"/>
      <c r="E23" s="196">
        <f t="shared" si="4"/>
        <v>6.81</v>
      </c>
      <c r="F23" s="184"/>
      <c r="G23" s="196">
        <f t="shared" si="5"/>
        <v>3.0599999999999996</v>
      </c>
      <c r="H23" s="184"/>
      <c r="I23" s="195">
        <f t="shared" si="11"/>
        <v>92.26</v>
      </c>
      <c r="J23" s="184"/>
      <c r="K23" s="195">
        <f t="shared" si="6"/>
        <v>98.12</v>
      </c>
      <c r="L23" s="195"/>
      <c r="M23" s="213">
        <f t="shared" si="12"/>
        <v>5.859999999999999</v>
      </c>
      <c r="N23" s="184"/>
      <c r="O23" s="214">
        <f t="shared" si="13"/>
        <v>0.064</v>
      </c>
      <c r="P23" s="184"/>
      <c r="Q23" s="195">
        <f t="shared" si="9"/>
        <v>83.94</v>
      </c>
      <c r="R23" s="184"/>
      <c r="S23" s="195">
        <f t="shared" si="10"/>
        <v>89.26</v>
      </c>
      <c r="T23" s="195"/>
      <c r="U23" s="213">
        <f t="shared" si="14"/>
        <v>5.320000000000007</v>
      </c>
      <c r="V23" s="184"/>
      <c r="W23" s="214">
        <f t="shared" si="15"/>
        <v>0.063</v>
      </c>
      <c r="X23" s="184"/>
      <c r="Y23" s="221" t="s">
        <v>152</v>
      </c>
      <c r="Z23" s="228">
        <f>Z17</f>
        <v>3.78</v>
      </c>
      <c r="AA23" s="229">
        <f>AA17</f>
        <v>6.81</v>
      </c>
      <c r="AB23" s="184"/>
      <c r="AC23" s="218"/>
      <c r="AD23" s="218"/>
      <c r="AE23" s="218"/>
      <c r="AF23" s="218"/>
      <c r="AG23" s="184"/>
      <c r="AH23" s="184"/>
      <c r="AI23" s="184"/>
      <c r="AJ23" s="184"/>
      <c r="AK23" s="184"/>
    </row>
    <row r="24" spans="1:37" ht="15">
      <c r="A24" s="194">
        <v>1100</v>
      </c>
      <c r="B24" s="184"/>
      <c r="C24" s="196">
        <f t="shared" si="3"/>
        <v>3.75</v>
      </c>
      <c r="D24" s="184"/>
      <c r="E24" s="196">
        <f t="shared" si="4"/>
        <v>6.81</v>
      </c>
      <c r="F24" s="184"/>
      <c r="G24" s="196">
        <f t="shared" si="5"/>
        <v>3.0599999999999996</v>
      </c>
      <c r="H24" s="184"/>
      <c r="I24" s="195">
        <f t="shared" si="11"/>
        <v>104.64</v>
      </c>
      <c r="J24" s="184"/>
      <c r="K24" s="195">
        <f t="shared" si="6"/>
        <v>111.29</v>
      </c>
      <c r="L24" s="195"/>
      <c r="M24" s="213">
        <f t="shared" si="12"/>
        <v>6.650000000000006</v>
      </c>
      <c r="N24" s="184"/>
      <c r="O24" s="214">
        <f t="shared" si="13"/>
        <v>0.064</v>
      </c>
      <c r="P24" s="184"/>
      <c r="Q24" s="195">
        <f t="shared" si="9"/>
        <v>92.31</v>
      </c>
      <c r="R24" s="184"/>
      <c r="S24" s="195">
        <f t="shared" si="10"/>
        <v>98.17</v>
      </c>
      <c r="T24" s="195"/>
      <c r="U24" s="213">
        <f t="shared" si="14"/>
        <v>5.859999999999999</v>
      </c>
      <c r="V24" s="184"/>
      <c r="W24" s="214">
        <f t="shared" si="15"/>
        <v>0.063</v>
      </c>
      <c r="X24" s="184"/>
      <c r="Y24" s="221" t="s">
        <v>154</v>
      </c>
      <c r="Z24" s="228">
        <f>Z18</f>
        <v>0.23</v>
      </c>
      <c r="AA24" s="229">
        <f>Z24</f>
        <v>0.23</v>
      </c>
      <c r="AB24" s="184"/>
      <c r="AC24" s="218"/>
      <c r="AD24" s="218"/>
      <c r="AE24" s="218"/>
      <c r="AF24" s="218"/>
      <c r="AG24" s="184"/>
      <c r="AH24" s="184"/>
      <c r="AI24" s="184"/>
      <c r="AJ24" s="184"/>
      <c r="AK24" s="184"/>
    </row>
    <row r="25" spans="1:37" ht="15">
      <c r="A25" s="194">
        <v>1200</v>
      </c>
      <c r="B25" s="184"/>
      <c r="C25" s="196">
        <f t="shared" si="3"/>
        <v>3.75</v>
      </c>
      <c r="D25" s="184"/>
      <c r="E25" s="196">
        <f t="shared" si="4"/>
        <v>6.81</v>
      </c>
      <c r="F25" s="184"/>
      <c r="G25" s="196">
        <f t="shared" si="5"/>
        <v>3.0599999999999996</v>
      </c>
      <c r="H25" s="184"/>
      <c r="I25" s="195">
        <f t="shared" si="11"/>
        <v>117.02</v>
      </c>
      <c r="J25" s="184"/>
      <c r="K25" s="195">
        <f t="shared" si="6"/>
        <v>124.45</v>
      </c>
      <c r="L25" s="195"/>
      <c r="M25" s="213">
        <f t="shared" si="12"/>
        <v>7.430000000000007</v>
      </c>
      <c r="N25" s="184"/>
      <c r="O25" s="214">
        <f t="shared" si="13"/>
        <v>0.063</v>
      </c>
      <c r="P25" s="184"/>
      <c r="Q25" s="195">
        <f t="shared" si="9"/>
        <v>100.68</v>
      </c>
      <c r="R25" s="184"/>
      <c r="S25" s="195">
        <f t="shared" si="10"/>
        <v>107.07</v>
      </c>
      <c r="T25" s="195"/>
      <c r="U25" s="213">
        <f t="shared" si="14"/>
        <v>6.389999999999986</v>
      </c>
      <c r="V25" s="184"/>
      <c r="W25" s="214">
        <f t="shared" si="15"/>
        <v>0.063</v>
      </c>
      <c r="X25" s="184"/>
      <c r="Y25" s="232" t="s">
        <v>156</v>
      </c>
      <c r="Z25" s="233">
        <f>Z19</f>
        <v>0.0391</v>
      </c>
      <c r="AA25" s="234">
        <f>Z25</f>
        <v>0.0391</v>
      </c>
      <c r="AB25" s="184"/>
      <c r="AC25" s="218"/>
      <c r="AD25" s="218"/>
      <c r="AE25" s="218"/>
      <c r="AF25" s="218"/>
      <c r="AG25" s="184"/>
      <c r="AH25" s="184"/>
      <c r="AI25" s="184"/>
      <c r="AJ25" s="184"/>
      <c r="AK25" s="184"/>
    </row>
    <row r="26" spans="1:37" ht="15">
      <c r="A26" s="194">
        <v>1300</v>
      </c>
      <c r="B26" s="184"/>
      <c r="C26" s="196">
        <f t="shared" si="3"/>
        <v>3.75</v>
      </c>
      <c r="D26" s="184"/>
      <c r="E26" s="196">
        <f t="shared" si="4"/>
        <v>6.81</v>
      </c>
      <c r="F26" s="184"/>
      <c r="G26" s="196">
        <f t="shared" si="5"/>
        <v>3.0599999999999996</v>
      </c>
      <c r="H26" s="184"/>
      <c r="I26" s="195">
        <f t="shared" si="11"/>
        <v>129.4</v>
      </c>
      <c r="J26" s="184"/>
      <c r="K26" s="195">
        <f t="shared" si="6"/>
        <v>137.62</v>
      </c>
      <c r="L26" s="195"/>
      <c r="M26" s="213">
        <f t="shared" si="12"/>
        <v>8.219999999999999</v>
      </c>
      <c r="N26" s="184"/>
      <c r="O26" s="214">
        <f t="shared" si="13"/>
        <v>0.064</v>
      </c>
      <c r="P26" s="184"/>
      <c r="Q26" s="195">
        <f t="shared" si="9"/>
        <v>109.05</v>
      </c>
      <c r="R26" s="184"/>
      <c r="S26" s="195">
        <f t="shared" si="10"/>
        <v>115.98</v>
      </c>
      <c r="T26" s="195"/>
      <c r="U26" s="213">
        <f t="shared" si="14"/>
        <v>6.930000000000007</v>
      </c>
      <c r="V26" s="184"/>
      <c r="W26" s="214">
        <f t="shared" si="15"/>
        <v>0.064</v>
      </c>
      <c r="X26" s="184"/>
      <c r="Y26" s="184"/>
      <c r="Z26" s="184"/>
      <c r="AA26" s="184"/>
      <c r="AB26" s="184"/>
      <c r="AC26" s="218"/>
      <c r="AD26" s="218"/>
      <c r="AE26" s="218"/>
      <c r="AF26" s="218"/>
      <c r="AG26" s="184"/>
      <c r="AH26" s="184"/>
      <c r="AI26" s="184"/>
      <c r="AJ26" s="184"/>
      <c r="AK26" s="184"/>
    </row>
    <row r="27" spans="1:37" ht="15">
      <c r="A27" s="194">
        <v>1400</v>
      </c>
      <c r="B27" s="184"/>
      <c r="C27" s="196">
        <f t="shared" si="3"/>
        <v>3.75</v>
      </c>
      <c r="D27" s="184"/>
      <c r="E27" s="196">
        <f t="shared" si="4"/>
        <v>6.81</v>
      </c>
      <c r="F27" s="184"/>
      <c r="G27" s="196">
        <f t="shared" si="5"/>
        <v>3.0599999999999996</v>
      </c>
      <c r="H27" s="184"/>
      <c r="I27" s="195">
        <f t="shared" si="11"/>
        <v>141.78</v>
      </c>
      <c r="J27" s="184"/>
      <c r="K27" s="195">
        <f t="shared" si="6"/>
        <v>150.79</v>
      </c>
      <c r="L27" s="195"/>
      <c r="M27" s="213">
        <f t="shared" si="12"/>
        <v>9.009999999999991</v>
      </c>
      <c r="N27" s="184"/>
      <c r="O27" s="214">
        <f t="shared" si="13"/>
        <v>0.064</v>
      </c>
      <c r="P27" s="184"/>
      <c r="Q27" s="195">
        <f t="shared" si="9"/>
        <v>117.42</v>
      </c>
      <c r="R27" s="184"/>
      <c r="S27" s="195">
        <f t="shared" si="10"/>
        <v>124.88</v>
      </c>
      <c r="T27" s="195"/>
      <c r="U27" s="213">
        <f t="shared" si="14"/>
        <v>7.459999999999994</v>
      </c>
      <c r="V27" s="184"/>
      <c r="W27" s="214">
        <f t="shared" si="15"/>
        <v>0.064</v>
      </c>
      <c r="X27" s="184"/>
      <c r="Y27" s="184" t="s">
        <v>158</v>
      </c>
      <c r="Z27" s="182"/>
      <c r="AA27" s="235"/>
      <c r="AB27" s="184"/>
      <c r="AC27" s="218"/>
      <c r="AD27" s="218"/>
      <c r="AE27" s="218"/>
      <c r="AF27" s="218"/>
      <c r="AG27" s="184"/>
      <c r="AH27" s="184"/>
      <c r="AI27" s="184"/>
      <c r="AJ27" s="184"/>
      <c r="AK27" s="184"/>
    </row>
    <row r="28" spans="1:37" ht="15">
      <c r="A28" s="194">
        <v>1500</v>
      </c>
      <c r="B28" s="184"/>
      <c r="C28" s="196">
        <f t="shared" si="3"/>
        <v>3.75</v>
      </c>
      <c r="D28" s="184"/>
      <c r="E28" s="196">
        <f t="shared" si="4"/>
        <v>6.81</v>
      </c>
      <c r="F28" s="184"/>
      <c r="G28" s="196">
        <f t="shared" si="5"/>
        <v>3.0599999999999996</v>
      </c>
      <c r="H28" s="184"/>
      <c r="I28" s="195">
        <f t="shared" si="11"/>
        <v>154.16</v>
      </c>
      <c r="J28" s="184"/>
      <c r="K28" s="195">
        <f t="shared" si="6"/>
        <v>163.95</v>
      </c>
      <c r="L28" s="195"/>
      <c r="M28" s="213">
        <f t="shared" si="12"/>
        <v>9.789999999999992</v>
      </c>
      <c r="N28" s="184"/>
      <c r="O28" s="214">
        <f t="shared" si="13"/>
        <v>0.064</v>
      </c>
      <c r="P28" s="184"/>
      <c r="Q28" s="195">
        <f t="shared" si="9"/>
        <v>125.79</v>
      </c>
      <c r="R28" s="184"/>
      <c r="S28" s="195">
        <f t="shared" si="10"/>
        <v>133.78</v>
      </c>
      <c r="T28" s="195"/>
      <c r="U28" s="213">
        <f t="shared" si="14"/>
        <v>7.989999999999995</v>
      </c>
      <c r="V28" s="184"/>
      <c r="W28" s="214">
        <f t="shared" si="15"/>
        <v>0.064</v>
      </c>
      <c r="X28" s="184"/>
      <c r="Y28" s="184" t="s">
        <v>134</v>
      </c>
      <c r="Z28" s="235">
        <v>0.0406</v>
      </c>
      <c r="AA28" s="184">
        <v>0</v>
      </c>
      <c r="AB28" s="184"/>
      <c r="AC28" s="218"/>
      <c r="AD28" s="218"/>
      <c r="AE28" s="218"/>
      <c r="AF28" s="218"/>
      <c r="AG28" s="184"/>
      <c r="AH28" s="184"/>
      <c r="AI28" s="184"/>
      <c r="AJ28" s="184"/>
      <c r="AK28" s="184"/>
    </row>
    <row r="29" spans="1:37" ht="15">
      <c r="A29" s="194">
        <v>2000</v>
      </c>
      <c r="B29" s="184"/>
      <c r="C29" s="196">
        <f t="shared" si="3"/>
        <v>3.75</v>
      </c>
      <c r="D29" s="184"/>
      <c r="E29" s="196">
        <f t="shared" si="4"/>
        <v>6.81</v>
      </c>
      <c r="F29" s="184"/>
      <c r="G29" s="196">
        <f t="shared" si="5"/>
        <v>3.0599999999999996</v>
      </c>
      <c r="H29" s="184"/>
      <c r="I29" s="195">
        <f t="shared" si="11"/>
        <v>216.06</v>
      </c>
      <c r="J29" s="184"/>
      <c r="K29" s="195">
        <f t="shared" si="6"/>
        <v>229.78</v>
      </c>
      <c r="L29" s="195"/>
      <c r="M29" s="213">
        <f t="shared" si="12"/>
        <v>13.719999999999999</v>
      </c>
      <c r="N29" s="184"/>
      <c r="O29" s="214">
        <f t="shared" si="13"/>
        <v>0.064</v>
      </c>
      <c r="P29" s="184"/>
      <c r="Q29" s="195">
        <f t="shared" si="9"/>
        <v>167.65</v>
      </c>
      <c r="R29" s="184"/>
      <c r="S29" s="195">
        <f t="shared" si="10"/>
        <v>178.3</v>
      </c>
      <c r="T29" s="195"/>
      <c r="U29" s="213">
        <f t="shared" si="14"/>
        <v>10.650000000000006</v>
      </c>
      <c r="V29" s="184"/>
      <c r="W29" s="214">
        <f t="shared" si="15"/>
        <v>0.064</v>
      </c>
      <c r="X29" s="184"/>
      <c r="Y29" s="184" t="s">
        <v>159</v>
      </c>
      <c r="Z29" s="235">
        <v>0.0149</v>
      </c>
      <c r="AA29" s="236">
        <f>Z29</f>
        <v>0.0149</v>
      </c>
      <c r="AB29" s="184"/>
      <c r="AC29" s="218"/>
      <c r="AD29" s="218"/>
      <c r="AE29" s="218"/>
      <c r="AF29" s="218"/>
      <c r="AG29" s="184"/>
      <c r="AH29" s="184"/>
      <c r="AI29" s="184"/>
      <c r="AJ29" s="184"/>
      <c r="AK29" s="184"/>
    </row>
    <row r="30" spans="1:37" ht="15">
      <c r="A30" s="194">
        <v>3000</v>
      </c>
      <c r="B30" s="184"/>
      <c r="C30" s="196">
        <f t="shared" si="3"/>
        <v>3.75</v>
      </c>
      <c r="D30" s="184"/>
      <c r="E30" s="196">
        <f t="shared" si="4"/>
        <v>6.81</v>
      </c>
      <c r="F30" s="184"/>
      <c r="G30" s="196">
        <f t="shared" si="5"/>
        <v>3.0599999999999996</v>
      </c>
      <c r="H30" s="184"/>
      <c r="I30" s="195">
        <f t="shared" si="11"/>
        <v>339.85</v>
      </c>
      <c r="J30" s="184"/>
      <c r="K30" s="195">
        <f t="shared" si="6"/>
        <v>361.45</v>
      </c>
      <c r="L30" s="195"/>
      <c r="M30" s="213">
        <f t="shared" si="12"/>
        <v>21.599999999999966</v>
      </c>
      <c r="N30" s="184"/>
      <c r="O30" s="214">
        <f t="shared" si="13"/>
        <v>0.064</v>
      </c>
      <c r="P30" s="184"/>
      <c r="Q30" s="195">
        <f t="shared" si="9"/>
        <v>251.36</v>
      </c>
      <c r="R30" s="184"/>
      <c r="S30" s="195">
        <f t="shared" si="10"/>
        <v>267.33</v>
      </c>
      <c r="T30" s="195"/>
      <c r="U30" s="213">
        <f t="shared" si="14"/>
        <v>15.96999999999997</v>
      </c>
      <c r="V30" s="184"/>
      <c r="W30" s="214">
        <f t="shared" si="15"/>
        <v>0.064</v>
      </c>
      <c r="X30" s="184"/>
      <c r="Y30" s="184" t="s">
        <v>160</v>
      </c>
      <c r="Z30" s="235">
        <v>-0.0228</v>
      </c>
      <c r="AA30" s="236">
        <f>Z30</f>
        <v>-0.0228</v>
      </c>
      <c r="AB30" s="184"/>
      <c r="AC30" s="218"/>
      <c r="AD30" s="218"/>
      <c r="AE30" s="218"/>
      <c r="AF30" s="218"/>
      <c r="AG30" s="184"/>
      <c r="AH30" s="184"/>
      <c r="AI30" s="184"/>
      <c r="AJ30" s="184"/>
      <c r="AK30" s="184"/>
    </row>
    <row r="31" spans="1:37" ht="15">
      <c r="A31" s="194">
        <v>4000</v>
      </c>
      <c r="B31" s="184"/>
      <c r="C31" s="196">
        <f t="shared" si="3"/>
        <v>3.75</v>
      </c>
      <c r="D31" s="184"/>
      <c r="E31" s="196">
        <f t="shared" si="4"/>
        <v>6.81</v>
      </c>
      <c r="F31" s="184"/>
      <c r="G31" s="196">
        <f t="shared" si="5"/>
        <v>3.0599999999999996</v>
      </c>
      <c r="H31" s="184"/>
      <c r="I31" s="195">
        <f t="shared" si="11"/>
        <v>463.64</v>
      </c>
      <c r="J31" s="184"/>
      <c r="K31" s="195">
        <f t="shared" si="6"/>
        <v>493.12</v>
      </c>
      <c r="L31" s="195"/>
      <c r="M31" s="213">
        <f t="shared" si="12"/>
        <v>29.480000000000018</v>
      </c>
      <c r="N31" s="184"/>
      <c r="O31" s="214">
        <f t="shared" si="13"/>
        <v>0.064</v>
      </c>
      <c r="P31" s="184"/>
      <c r="Q31" s="195">
        <f t="shared" si="9"/>
        <v>335.07</v>
      </c>
      <c r="R31" s="184"/>
      <c r="S31" s="195">
        <f t="shared" si="10"/>
        <v>356.37</v>
      </c>
      <c r="T31" s="195"/>
      <c r="U31" s="213">
        <f t="shared" si="14"/>
        <v>21.30000000000001</v>
      </c>
      <c r="V31" s="184"/>
      <c r="W31" s="214">
        <f t="shared" si="15"/>
        <v>0.064</v>
      </c>
      <c r="X31" s="184"/>
      <c r="Y31" s="182" t="s">
        <v>161</v>
      </c>
      <c r="Z31" s="235">
        <f>SUM(Z28:Z30)</f>
        <v>0.03269999999999999</v>
      </c>
      <c r="AA31" s="236">
        <f>SUM(AA28:AA30)</f>
        <v>-0.0079</v>
      </c>
      <c r="AB31" s="184"/>
      <c r="AC31" s="218"/>
      <c r="AD31" s="218"/>
      <c r="AE31" s="218"/>
      <c r="AF31" s="218"/>
      <c r="AG31" s="184"/>
      <c r="AH31" s="184"/>
      <c r="AI31" s="184"/>
      <c r="AJ31" s="184"/>
      <c r="AK31" s="184"/>
    </row>
    <row r="32" spans="1:37" ht="15">
      <c r="A32" s="194">
        <v>5000</v>
      </c>
      <c r="B32" s="184"/>
      <c r="C32" s="196">
        <f t="shared" si="3"/>
        <v>3.75</v>
      </c>
      <c r="D32" s="184"/>
      <c r="E32" s="196">
        <f t="shared" si="4"/>
        <v>6.81</v>
      </c>
      <c r="F32" s="184"/>
      <c r="G32" s="196">
        <f t="shared" si="5"/>
        <v>3.0599999999999996</v>
      </c>
      <c r="H32" s="184"/>
      <c r="I32" s="195">
        <f t="shared" si="11"/>
        <v>587.43</v>
      </c>
      <c r="J32" s="184"/>
      <c r="K32" s="195">
        <f t="shared" si="6"/>
        <v>624.78</v>
      </c>
      <c r="L32" s="195"/>
      <c r="M32" s="213">
        <f t="shared" si="12"/>
        <v>37.35000000000002</v>
      </c>
      <c r="N32" s="184"/>
      <c r="O32" s="214">
        <f t="shared" si="13"/>
        <v>0.064</v>
      </c>
      <c r="P32" s="184"/>
      <c r="Q32" s="195">
        <f t="shared" si="9"/>
        <v>418.78</v>
      </c>
      <c r="R32" s="184"/>
      <c r="S32" s="195">
        <f t="shared" si="10"/>
        <v>445.4</v>
      </c>
      <c r="T32" s="195"/>
      <c r="U32" s="213">
        <f t="shared" si="14"/>
        <v>26.620000000000005</v>
      </c>
      <c r="V32" s="184"/>
      <c r="W32" s="214">
        <f t="shared" si="15"/>
        <v>0.064</v>
      </c>
      <c r="X32" s="184"/>
      <c r="Y32" s="184"/>
      <c r="Z32" s="184"/>
      <c r="AA32" s="184"/>
      <c r="AB32" s="184"/>
      <c r="AC32" s="218"/>
      <c r="AD32" s="218"/>
      <c r="AE32" s="218"/>
      <c r="AF32" s="218"/>
      <c r="AG32" s="184"/>
      <c r="AH32" s="184"/>
      <c r="AI32" s="184"/>
      <c r="AJ32" s="184"/>
      <c r="AK32" s="184"/>
    </row>
    <row r="33" spans="1:37" ht="15">
      <c r="A33" s="194"/>
      <c r="B33" s="184"/>
      <c r="C33" s="184"/>
      <c r="D33" s="184"/>
      <c r="E33" s="184"/>
      <c r="F33" s="184"/>
      <c r="G33" s="184"/>
      <c r="H33" s="184"/>
      <c r="I33" s="195"/>
      <c r="J33" s="184"/>
      <c r="K33" s="195"/>
      <c r="L33" s="184"/>
      <c r="M33" s="196"/>
      <c r="N33" s="184"/>
      <c r="O33" s="184"/>
      <c r="P33" s="184"/>
      <c r="Q33" s="195"/>
      <c r="R33" s="184"/>
      <c r="S33" s="195"/>
      <c r="T33" s="184"/>
      <c r="U33" s="196"/>
      <c r="V33" s="184"/>
      <c r="W33" s="184"/>
      <c r="X33" s="237"/>
      <c r="Y33" s="184"/>
      <c r="Z33" s="184"/>
      <c r="AA33" s="184"/>
      <c r="AB33" s="184"/>
      <c r="AC33" s="218"/>
      <c r="AD33" s="218"/>
      <c r="AE33" s="218"/>
      <c r="AF33" s="218"/>
      <c r="AG33" s="184"/>
      <c r="AH33" s="184"/>
      <c r="AI33" s="184"/>
      <c r="AJ33" s="184"/>
      <c r="AK33" s="184"/>
    </row>
    <row r="34" spans="1:37" ht="15">
      <c r="A34" s="194"/>
      <c r="B34" s="184"/>
      <c r="C34" s="184"/>
      <c r="D34" s="184"/>
      <c r="E34" s="184"/>
      <c r="F34" s="184"/>
      <c r="G34" s="184"/>
      <c r="H34" s="184"/>
      <c r="I34" s="195"/>
      <c r="J34" s="184"/>
      <c r="K34" s="195"/>
      <c r="L34" s="184"/>
      <c r="M34" s="196"/>
      <c r="N34" s="184"/>
      <c r="O34" s="184"/>
      <c r="P34" s="184"/>
      <c r="Q34" s="195"/>
      <c r="R34" s="184"/>
      <c r="S34" s="195"/>
      <c r="T34" s="184"/>
      <c r="U34" s="196"/>
      <c r="V34" s="184"/>
      <c r="W34" s="184"/>
      <c r="X34" s="184"/>
      <c r="Y34" s="238"/>
      <c r="Z34" s="182"/>
      <c r="AA34" s="182"/>
      <c r="AB34" s="184"/>
      <c r="AC34" s="218"/>
      <c r="AD34" s="218"/>
      <c r="AE34" s="218"/>
      <c r="AF34" s="218"/>
      <c r="AG34" s="184"/>
      <c r="AH34" s="184"/>
      <c r="AI34" s="184"/>
      <c r="AJ34" s="184"/>
      <c r="AK34" s="184"/>
    </row>
    <row r="35" spans="1:37" ht="16.5">
      <c r="A35" s="239" t="s">
        <v>162</v>
      </c>
      <c r="B35" s="184"/>
      <c r="C35" s="184"/>
      <c r="D35" s="184"/>
      <c r="E35" s="184"/>
      <c r="F35" s="184"/>
      <c r="G35" s="184"/>
      <c r="H35" s="184"/>
      <c r="I35" s="195"/>
      <c r="J35" s="184"/>
      <c r="K35" s="195"/>
      <c r="L35" s="184"/>
      <c r="M35" s="196"/>
      <c r="N35" s="184"/>
      <c r="O35" s="184"/>
      <c r="P35" s="184"/>
      <c r="Q35" s="195"/>
      <c r="R35" s="184"/>
      <c r="S35" s="315"/>
      <c r="T35" s="241" t="s">
        <v>164</v>
      </c>
      <c r="U35" s="242"/>
      <c r="V35" s="242"/>
      <c r="W35" s="243" t="s">
        <v>145</v>
      </c>
      <c r="X35" s="244"/>
      <c r="Y35" s="242" t="s">
        <v>144</v>
      </c>
      <c r="Z35" s="245" t="s">
        <v>165</v>
      </c>
      <c r="AA35" s="182"/>
      <c r="AB35" s="184"/>
      <c r="AC35" s="240"/>
      <c r="AD35" s="189"/>
      <c r="AE35" s="184"/>
      <c r="AF35" s="184"/>
      <c r="AG35" s="184"/>
      <c r="AH35" s="184"/>
      <c r="AI35" s="184"/>
      <c r="AJ35" s="184"/>
      <c r="AK35" s="184"/>
    </row>
    <row r="36" spans="1:37" ht="15">
      <c r="A36" s="194" t="s">
        <v>163</v>
      </c>
      <c r="B36" s="184"/>
      <c r="C36" s="184"/>
      <c r="D36" s="184"/>
      <c r="E36" s="184"/>
      <c r="F36" s="184"/>
      <c r="G36" s="184"/>
      <c r="H36" s="184"/>
      <c r="I36" s="195"/>
      <c r="J36" s="184"/>
      <c r="K36" s="195"/>
      <c r="L36" s="184"/>
      <c r="M36" s="196"/>
      <c r="N36" s="184"/>
      <c r="O36" s="184"/>
      <c r="P36" s="184"/>
      <c r="Q36" s="195"/>
      <c r="R36" s="184"/>
      <c r="S36" s="316"/>
      <c r="T36" s="247" t="s">
        <v>143</v>
      </c>
      <c r="U36" s="247" t="s">
        <v>144</v>
      </c>
      <c r="V36" s="247" t="s">
        <v>8</v>
      </c>
      <c r="W36" s="248" t="s">
        <v>166</v>
      </c>
      <c r="X36" s="249" t="s">
        <v>167</v>
      </c>
      <c r="Y36" s="250" t="s">
        <v>168</v>
      </c>
      <c r="Z36" s="250" t="s">
        <v>168</v>
      </c>
      <c r="AA36" s="182"/>
      <c r="AB36" s="184"/>
      <c r="AC36" s="240"/>
      <c r="AD36" s="189"/>
      <c r="AE36" s="184"/>
      <c r="AF36" s="184"/>
      <c r="AG36" s="184"/>
      <c r="AH36" s="184"/>
      <c r="AI36" s="184"/>
      <c r="AJ36" s="184"/>
      <c r="AK36" s="184"/>
    </row>
    <row r="37" spans="1:37" ht="16.5">
      <c r="A37" s="239"/>
      <c r="B37" s="184"/>
      <c r="C37" s="184"/>
      <c r="D37" s="184"/>
      <c r="E37" s="184"/>
      <c r="F37" s="184"/>
      <c r="G37" s="184"/>
      <c r="H37" s="184"/>
      <c r="I37" s="195"/>
      <c r="J37" s="184"/>
      <c r="K37" s="195"/>
      <c r="L37" s="184"/>
      <c r="M37" s="196"/>
      <c r="N37" s="184"/>
      <c r="O37" s="184"/>
      <c r="P37" s="184"/>
      <c r="Q37" s="195"/>
      <c r="R37" s="184"/>
      <c r="S37" s="254" t="s">
        <v>141</v>
      </c>
      <c r="T37" s="255">
        <f>'[1]Exhibit RMP-(WRG-5)'!R25</f>
        <v>841.2432070319929</v>
      </c>
      <c r="U37" s="256">
        <f>I21</f>
        <v>76.46</v>
      </c>
      <c r="V37" s="256">
        <f>K21</f>
        <v>81.31</v>
      </c>
      <c r="W37" s="256">
        <f>V37-U37</f>
        <v>4.8500000000000085</v>
      </c>
      <c r="X37" s="257">
        <f>V37/U37-1</f>
        <v>0.06343185979597177</v>
      </c>
      <c r="Y37" s="254">
        <f aca="true" t="shared" si="16" ref="Y37:Z39">ROUND(U37/$T37*100,2)</f>
        <v>9.09</v>
      </c>
      <c r="Z37" s="258">
        <f t="shared" si="16"/>
        <v>9.67</v>
      </c>
      <c r="AA37" s="184"/>
      <c r="AB37" s="184"/>
      <c r="AK37" s="184"/>
    </row>
    <row r="38" spans="1:37" ht="15">
      <c r="A38" s="246"/>
      <c r="B38" s="182"/>
      <c r="C38" s="182"/>
      <c r="D38" s="182"/>
      <c r="E38" s="182"/>
      <c r="F38" s="182"/>
      <c r="G38" s="182"/>
      <c r="H38" s="182"/>
      <c r="I38" s="189"/>
      <c r="J38" s="182"/>
      <c r="K38" s="189"/>
      <c r="L38" s="182"/>
      <c r="M38" s="228"/>
      <c r="N38" s="182"/>
      <c r="O38" s="182"/>
      <c r="P38" s="184"/>
      <c r="Q38" s="195"/>
      <c r="R38" s="184"/>
      <c r="S38" s="258" t="s">
        <v>142</v>
      </c>
      <c r="T38" s="255">
        <f>'[1]Exhibit RMP-(WRG-5)'!R26</f>
        <v>757.0294712214834</v>
      </c>
      <c r="U38" s="256">
        <f>Q18</f>
        <v>63.6</v>
      </c>
      <c r="V38" s="256">
        <f>S18</f>
        <v>67.63</v>
      </c>
      <c r="W38" s="256">
        <f>V38-U38</f>
        <v>4.029999999999994</v>
      </c>
      <c r="X38" s="259">
        <f>V38/U38-1</f>
        <v>0.06336477987421385</v>
      </c>
      <c r="Y38" s="260">
        <f t="shared" si="16"/>
        <v>8.4</v>
      </c>
      <c r="Z38" s="258">
        <f t="shared" si="16"/>
        <v>8.93</v>
      </c>
      <c r="AA38" s="222"/>
      <c r="AB38" s="184"/>
      <c r="AK38" s="184"/>
    </row>
    <row r="39" spans="1:37" ht="15">
      <c r="A39" s="246"/>
      <c r="B39" s="182"/>
      <c r="C39" s="182"/>
      <c r="D39" s="182"/>
      <c r="E39" s="182"/>
      <c r="F39" s="182"/>
      <c r="G39" s="182"/>
      <c r="H39" s="182"/>
      <c r="I39" s="191"/>
      <c r="J39" s="251"/>
      <c r="K39" s="252"/>
      <c r="L39" s="181"/>
      <c r="M39" s="253"/>
      <c r="N39" s="181"/>
      <c r="O39" s="181"/>
      <c r="P39" s="184"/>
      <c r="Q39" s="195"/>
      <c r="R39" s="184"/>
      <c r="S39" s="265" t="s">
        <v>169</v>
      </c>
      <c r="T39" s="266">
        <f>'[1]Exhibit RMP-(WRG-5)'!R24</f>
        <v>792.1185278091956</v>
      </c>
      <c r="U39" s="267">
        <f>(I19*5+Q19*7)/12</f>
        <v>68.63583333333334</v>
      </c>
      <c r="V39" s="267">
        <f>(K19*5+S19*7)/12</f>
        <v>72.98916666666668</v>
      </c>
      <c r="W39" s="267">
        <f>V39-U39</f>
        <v>4.353333333333339</v>
      </c>
      <c r="X39" s="268">
        <f>V39/U39-1</f>
        <v>0.06342653861564052</v>
      </c>
      <c r="Y39" s="265">
        <f t="shared" si="16"/>
        <v>8.66</v>
      </c>
      <c r="Z39" s="265">
        <f t="shared" si="16"/>
        <v>9.21</v>
      </c>
      <c r="AA39" s="184"/>
      <c r="AB39" s="184"/>
      <c r="AK39" s="184"/>
    </row>
    <row r="40" spans="1:37" ht="15">
      <c r="A40" s="246"/>
      <c r="B40" s="182"/>
      <c r="C40" s="182"/>
      <c r="D40" s="182"/>
      <c r="E40" s="182"/>
      <c r="F40" s="182"/>
      <c r="G40" s="182"/>
      <c r="H40" s="182"/>
      <c r="I40" s="252"/>
      <c r="J40" s="181"/>
      <c r="K40" s="252"/>
      <c r="L40" s="182"/>
      <c r="M40" s="252"/>
      <c r="N40" s="181"/>
      <c r="O40" s="252"/>
      <c r="P40" s="184"/>
      <c r="Q40" s="195"/>
      <c r="R40" s="184"/>
      <c r="S40" s="195"/>
      <c r="T40" s="184"/>
      <c r="U40" s="196"/>
      <c r="V40" s="184"/>
      <c r="W40" s="184"/>
      <c r="X40" s="184"/>
      <c r="Y40" s="184"/>
      <c r="Z40" s="184"/>
      <c r="AA40" s="184"/>
      <c r="AB40" s="184"/>
      <c r="AK40" s="184"/>
    </row>
    <row r="41" spans="1:37" ht="15">
      <c r="A41" s="261"/>
      <c r="B41" s="182"/>
      <c r="C41" s="182"/>
      <c r="D41" s="182"/>
      <c r="E41" s="182"/>
      <c r="F41" s="182"/>
      <c r="G41" s="182"/>
      <c r="H41" s="182"/>
      <c r="I41" s="252"/>
      <c r="J41" s="182"/>
      <c r="K41" s="262"/>
      <c r="L41" s="182"/>
      <c r="M41" s="263"/>
      <c r="N41" s="182"/>
      <c r="O41" s="264"/>
      <c r="P41" s="214"/>
      <c r="Q41" s="214"/>
      <c r="R41" s="214"/>
      <c r="S41" s="214"/>
      <c r="T41" s="214"/>
      <c r="U41" s="214"/>
      <c r="V41" s="184"/>
      <c r="W41" s="184"/>
      <c r="X41" s="184"/>
      <c r="Y41" s="184"/>
      <c r="Z41" s="184"/>
      <c r="AA41" s="195"/>
      <c r="AB41" s="184"/>
      <c r="AK41" s="184"/>
    </row>
    <row r="42" spans="1:37" ht="15">
      <c r="A42" s="246"/>
      <c r="B42" s="182"/>
      <c r="C42" s="182"/>
      <c r="D42" s="182"/>
      <c r="E42" s="182"/>
      <c r="F42" s="182"/>
      <c r="G42" s="182"/>
      <c r="H42" s="182"/>
      <c r="I42" s="189"/>
      <c r="J42" s="182"/>
      <c r="K42" s="189"/>
      <c r="L42" s="189"/>
      <c r="M42" s="269"/>
      <c r="N42" s="182"/>
      <c r="O42" s="270"/>
      <c r="P42" s="214"/>
      <c r="Q42" s="214"/>
      <c r="R42" s="214"/>
      <c r="S42" s="214"/>
      <c r="T42" s="214"/>
      <c r="U42" s="214"/>
      <c r="V42" s="184"/>
      <c r="W42" s="184"/>
      <c r="X42" s="184"/>
      <c r="Y42" s="184"/>
      <c r="Z42" s="184"/>
      <c r="AA42" s="195"/>
      <c r="AB42" s="184"/>
      <c r="AC42" s="182"/>
      <c r="AD42" s="182"/>
      <c r="AE42" s="182"/>
      <c r="AF42" s="182"/>
      <c r="AG42" s="182"/>
      <c r="AH42" s="182"/>
      <c r="AI42" s="182"/>
      <c r="AJ42" s="182"/>
      <c r="AK42" s="184"/>
    </row>
    <row r="43" spans="1:37" ht="15">
      <c r="A43" s="246"/>
      <c r="B43" s="182"/>
      <c r="C43" s="182"/>
      <c r="D43" s="182"/>
      <c r="E43" s="182"/>
      <c r="F43" s="182"/>
      <c r="G43" s="182"/>
      <c r="H43" s="182"/>
      <c r="I43" s="189"/>
      <c r="J43" s="182"/>
      <c r="K43" s="189"/>
      <c r="L43" s="189"/>
      <c r="M43" s="269"/>
      <c r="N43" s="182"/>
      <c r="O43" s="270"/>
      <c r="P43" s="214"/>
      <c r="Q43" s="214"/>
      <c r="R43" s="214"/>
      <c r="S43" s="214"/>
      <c r="T43" s="214"/>
      <c r="U43" s="21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</row>
    <row r="44" spans="1:37" ht="15">
      <c r="A44" s="246"/>
      <c r="B44" s="182"/>
      <c r="C44" s="182"/>
      <c r="D44" s="182"/>
      <c r="E44" s="182"/>
      <c r="F44" s="182"/>
      <c r="G44" s="182"/>
      <c r="H44" s="182"/>
      <c r="I44" s="189"/>
      <c r="J44" s="182"/>
      <c r="K44" s="189"/>
      <c r="L44" s="189"/>
      <c r="M44" s="269"/>
      <c r="N44" s="182"/>
      <c r="O44" s="270"/>
      <c r="P44" s="214"/>
      <c r="Q44" s="214"/>
      <c r="R44" s="214"/>
      <c r="S44" s="214"/>
      <c r="T44" s="214"/>
      <c r="U44" s="21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</row>
  </sheetData>
  <printOptions/>
  <pageMargins left="0.7" right="0.7" top="0.75" bottom="0.75" header="0.3" footer="0.3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workbookViewId="0" topLeftCell="A1">
      <selection activeCell="U3" sqref="U3"/>
    </sheetView>
  </sheetViews>
  <sheetFormatPr defaultColWidth="9.140625" defaultRowHeight="15"/>
  <cols>
    <col min="2" max="2" width="0.9921875" style="0" customWidth="1"/>
    <col min="4" max="4" width="0.9921875" style="0" customWidth="1"/>
    <col min="6" max="6" width="1.1484375" style="0" customWidth="1"/>
    <col min="8" max="8" width="1.1484375" style="0" customWidth="1"/>
    <col min="10" max="10" width="0.9921875" style="0" customWidth="1"/>
    <col min="12" max="12" width="0.85546875" style="0" customWidth="1"/>
    <col min="14" max="14" width="0.85546875" style="0" customWidth="1"/>
    <col min="16" max="16" width="0.9921875" style="0" customWidth="1"/>
    <col min="18" max="18" width="1.1484375" style="0" customWidth="1"/>
    <col min="21" max="21" width="12.8515625" style="0" customWidth="1"/>
  </cols>
  <sheetData>
    <row r="1" spans="1:23" ht="16.5">
      <c r="A1" s="177" t="s">
        <v>135</v>
      </c>
      <c r="B1" s="177"/>
      <c r="C1" s="177"/>
      <c r="D1" s="178"/>
      <c r="E1" s="179"/>
      <c r="F1" s="178"/>
      <c r="G1" s="179"/>
      <c r="H1" s="178"/>
      <c r="I1" s="178"/>
      <c r="J1" s="178"/>
      <c r="K1" s="178"/>
      <c r="L1" s="178"/>
      <c r="M1" s="179"/>
      <c r="N1" s="178"/>
      <c r="O1" s="179"/>
      <c r="P1" s="178"/>
      <c r="Q1" s="178"/>
      <c r="R1" s="178"/>
      <c r="S1" s="178"/>
      <c r="T1" s="184"/>
      <c r="U1" s="313" t="s">
        <v>210</v>
      </c>
      <c r="V1" s="184"/>
      <c r="W1" s="184"/>
    </row>
    <row r="2" spans="1:23" ht="16.5">
      <c r="A2" s="177" t="s">
        <v>136</v>
      </c>
      <c r="B2" s="177"/>
      <c r="C2" s="177"/>
      <c r="D2" s="178"/>
      <c r="E2" s="179"/>
      <c r="F2" s="178"/>
      <c r="G2" s="179"/>
      <c r="H2" s="178"/>
      <c r="I2" s="178"/>
      <c r="J2" s="178"/>
      <c r="K2" s="178"/>
      <c r="L2" s="178"/>
      <c r="M2" s="179"/>
      <c r="N2" s="178"/>
      <c r="O2" s="179"/>
      <c r="P2" s="178"/>
      <c r="Q2" s="178"/>
      <c r="R2" s="178"/>
      <c r="S2" s="178"/>
      <c r="T2" s="184"/>
      <c r="U2" s="313" t="s">
        <v>211</v>
      </c>
      <c r="V2" s="184"/>
      <c r="W2" s="184"/>
    </row>
    <row r="3" spans="1:23" ht="16.5">
      <c r="A3" s="177" t="s">
        <v>171</v>
      </c>
      <c r="B3" s="177"/>
      <c r="C3" s="177"/>
      <c r="D3" s="178"/>
      <c r="E3" s="179"/>
      <c r="F3" s="178"/>
      <c r="G3" s="179"/>
      <c r="H3" s="178"/>
      <c r="I3" s="178"/>
      <c r="J3" s="178"/>
      <c r="K3" s="178"/>
      <c r="L3" s="178"/>
      <c r="M3" s="179"/>
      <c r="N3" s="178"/>
      <c r="O3" s="179"/>
      <c r="P3" s="178"/>
      <c r="Q3" s="178"/>
      <c r="R3" s="178"/>
      <c r="S3" s="178"/>
      <c r="T3" s="184"/>
      <c r="U3" s="313" t="s">
        <v>382</v>
      </c>
      <c r="V3" s="184"/>
      <c r="W3" s="184"/>
    </row>
    <row r="4" spans="1:23" ht="16.5">
      <c r="A4" s="177" t="s">
        <v>172</v>
      </c>
      <c r="B4" s="177"/>
      <c r="C4" s="177"/>
      <c r="D4" s="178"/>
      <c r="E4" s="179"/>
      <c r="F4" s="178"/>
      <c r="G4" s="179"/>
      <c r="H4" s="178"/>
      <c r="I4" s="178"/>
      <c r="J4" s="178"/>
      <c r="K4" s="178"/>
      <c r="L4" s="178"/>
      <c r="M4" s="179"/>
      <c r="N4" s="178"/>
      <c r="O4" s="179"/>
      <c r="P4" s="178"/>
      <c r="Q4" s="178"/>
      <c r="R4" s="178"/>
      <c r="S4" s="178"/>
      <c r="T4" s="184"/>
      <c r="U4" s="314">
        <v>40696</v>
      </c>
      <c r="V4" s="184"/>
      <c r="W4" s="184"/>
    </row>
    <row r="5" spans="1:23" ht="16.5">
      <c r="A5" s="271"/>
      <c r="B5" s="272"/>
      <c r="C5" s="272"/>
      <c r="D5" s="273"/>
      <c r="E5" s="274"/>
      <c r="F5" s="273"/>
      <c r="G5" s="274"/>
      <c r="H5" s="273"/>
      <c r="I5" s="273"/>
      <c r="J5" s="273"/>
      <c r="K5" s="273"/>
      <c r="L5" s="273"/>
      <c r="M5" s="274"/>
      <c r="N5" s="273"/>
      <c r="O5" s="274"/>
      <c r="P5" s="273"/>
      <c r="Q5" s="273"/>
      <c r="R5" s="273"/>
      <c r="S5" s="273"/>
      <c r="T5" s="184"/>
      <c r="U5" s="184"/>
      <c r="V5" s="184"/>
      <c r="W5" s="184"/>
    </row>
    <row r="6" spans="1:23" ht="17.25">
      <c r="A6" s="188"/>
      <c r="B6" s="181"/>
      <c r="C6" s="181"/>
      <c r="D6" s="181"/>
      <c r="E6" s="191"/>
      <c r="F6" s="190"/>
      <c r="G6" s="191"/>
      <c r="H6" s="190"/>
      <c r="I6" s="190"/>
      <c r="J6" s="190"/>
      <c r="K6" s="190"/>
      <c r="L6" s="181"/>
      <c r="M6" s="191"/>
      <c r="N6" s="190"/>
      <c r="O6" s="191"/>
      <c r="P6" s="190"/>
      <c r="Q6" s="190"/>
      <c r="R6" s="190"/>
      <c r="S6" s="190"/>
      <c r="T6" s="184"/>
      <c r="U6" s="184"/>
      <c r="V6" s="184"/>
      <c r="W6" s="184"/>
    </row>
    <row r="7" spans="1:23" ht="15">
      <c r="A7" s="194"/>
      <c r="B7" s="194"/>
      <c r="C7" s="194"/>
      <c r="D7" s="184"/>
      <c r="E7" s="252"/>
      <c r="F7" s="182"/>
      <c r="G7" s="252"/>
      <c r="H7" s="182"/>
      <c r="I7" s="264"/>
      <c r="J7" s="182"/>
      <c r="K7" s="264"/>
      <c r="L7" s="182"/>
      <c r="M7" s="252"/>
      <c r="N7" s="182"/>
      <c r="O7" s="252"/>
      <c r="P7" s="182"/>
      <c r="Q7" s="264"/>
      <c r="R7" s="182"/>
      <c r="S7" s="264"/>
      <c r="T7" s="184"/>
      <c r="U7" s="184"/>
      <c r="V7" s="184"/>
      <c r="W7" s="184"/>
    </row>
    <row r="8" spans="1:23" ht="15">
      <c r="A8" s="194"/>
      <c r="B8" s="194"/>
      <c r="C8" s="194"/>
      <c r="D8" s="184"/>
      <c r="E8" s="197" t="s">
        <v>141</v>
      </c>
      <c r="F8" s="206"/>
      <c r="G8" s="199"/>
      <c r="H8" s="198"/>
      <c r="I8" s="207"/>
      <c r="J8" s="198"/>
      <c r="K8" s="198"/>
      <c r="L8" s="184"/>
      <c r="M8" s="197" t="s">
        <v>142</v>
      </c>
      <c r="N8" s="206"/>
      <c r="O8" s="199"/>
      <c r="P8" s="198"/>
      <c r="Q8" s="207"/>
      <c r="R8" s="198"/>
      <c r="S8" s="198"/>
      <c r="T8" s="184"/>
      <c r="U8" s="275" t="s">
        <v>173</v>
      </c>
      <c r="V8" s="276" t="s">
        <v>144</v>
      </c>
      <c r="W8" s="277" t="s">
        <v>8</v>
      </c>
    </row>
    <row r="9" spans="1:23" ht="16.5">
      <c r="A9" s="278" t="s">
        <v>174</v>
      </c>
      <c r="B9" s="194"/>
      <c r="C9" s="194"/>
      <c r="D9" s="184"/>
      <c r="E9" s="199" t="s">
        <v>175</v>
      </c>
      <c r="F9" s="198"/>
      <c r="G9" s="199"/>
      <c r="H9" s="184"/>
      <c r="I9" s="199" t="s">
        <v>145</v>
      </c>
      <c r="J9" s="198"/>
      <c r="K9" s="199"/>
      <c r="L9" s="184"/>
      <c r="M9" s="199" t="s">
        <v>175</v>
      </c>
      <c r="N9" s="198"/>
      <c r="O9" s="199"/>
      <c r="P9" s="184"/>
      <c r="Q9" s="199" t="s">
        <v>145</v>
      </c>
      <c r="R9" s="198"/>
      <c r="S9" s="199"/>
      <c r="T9" s="184"/>
      <c r="U9" s="279" t="s">
        <v>141</v>
      </c>
      <c r="V9" s="182"/>
      <c r="W9" s="220"/>
    </row>
    <row r="10" spans="1:23" ht="15">
      <c r="A10" s="280" t="s">
        <v>176</v>
      </c>
      <c r="B10" s="281"/>
      <c r="C10" s="282" t="s">
        <v>143</v>
      </c>
      <c r="D10" s="184"/>
      <c r="E10" s="203" t="s">
        <v>144</v>
      </c>
      <c r="F10" s="184"/>
      <c r="G10" s="283" t="s">
        <v>8</v>
      </c>
      <c r="H10" s="184"/>
      <c r="I10" s="211" t="s">
        <v>166</v>
      </c>
      <c r="J10" s="184"/>
      <c r="K10" s="280" t="s">
        <v>167</v>
      </c>
      <c r="L10" s="184"/>
      <c r="M10" s="203" t="s">
        <v>144</v>
      </c>
      <c r="N10" s="184"/>
      <c r="O10" s="283" t="s">
        <v>8</v>
      </c>
      <c r="P10" s="184"/>
      <c r="Q10" s="211" t="s">
        <v>166</v>
      </c>
      <c r="R10" s="184"/>
      <c r="S10" s="280" t="s">
        <v>167</v>
      </c>
      <c r="T10" s="184"/>
      <c r="U10" s="221" t="s">
        <v>35</v>
      </c>
      <c r="V10" s="222">
        <v>45</v>
      </c>
      <c r="W10" s="223">
        <v>49</v>
      </c>
    </row>
    <row r="11" spans="1:23" ht="15">
      <c r="A11" s="194">
        <v>50</v>
      </c>
      <c r="B11" s="194"/>
      <c r="C11" s="194">
        <v>5000</v>
      </c>
      <c r="D11" s="184"/>
      <c r="E11" s="284">
        <f>ROUND(($V$10+($V$11*$A11+$V$13/100*$C11)*(1+$V$28)*(1+$V$15))+$V$14,2)</f>
        <v>1041.7</v>
      </c>
      <c r="F11" s="284"/>
      <c r="G11" s="284">
        <f>ROUND(($W$10+($W$11*$A11+$W$13/100*$C11)*(1+$W$28)*(1+$W$15))+$W$14,2)</f>
        <v>1144.83</v>
      </c>
      <c r="H11" s="284"/>
      <c r="I11" s="284">
        <f>IF(G11="","",G11-E11)</f>
        <v>103.12999999999988</v>
      </c>
      <c r="J11" s="184"/>
      <c r="K11" s="214">
        <f>IF(I11="","",G11/E11-1)</f>
        <v>0.09900163194777756</v>
      </c>
      <c r="L11" s="184"/>
      <c r="M11" s="284">
        <f>ROUND(($V$17+($V$18*$A11+$V$20/100*$C11)*(1+$V$28)*(1+$V$22))+$V$21,2)</f>
        <v>867.15</v>
      </c>
      <c r="N11" s="284"/>
      <c r="O11" s="284">
        <f>ROUND(($W$17+($W$18*$A11+$W$20/100*$C11)*(1+$W$28)*(1+$W$22))+$W$21,2)</f>
        <v>952.72</v>
      </c>
      <c r="P11" s="284"/>
      <c r="Q11" s="284">
        <f aca="true" t="shared" si="0" ref="Q11:Q29">IF(O11="","",O11-M11)</f>
        <v>85.57000000000005</v>
      </c>
      <c r="R11" s="184"/>
      <c r="S11" s="214">
        <f aca="true" t="shared" si="1" ref="S11:S29">IF(Q11="","",O11/M11-1)</f>
        <v>0.09867958254050624</v>
      </c>
      <c r="T11" s="184"/>
      <c r="U11" s="221" t="s">
        <v>177</v>
      </c>
      <c r="V11" s="222">
        <v>15.16</v>
      </c>
      <c r="W11" s="223">
        <v>17.49</v>
      </c>
    </row>
    <row r="12" spans="1:23" ht="15">
      <c r="A12" s="285">
        <f>A11</f>
        <v>50</v>
      </c>
      <c r="B12" s="194"/>
      <c r="C12" s="194">
        <v>10000</v>
      </c>
      <c r="D12" s="184"/>
      <c r="E12" s="284">
        <f aca="true" t="shared" si="2" ref="E12:E29">ROUND(($V$10+($V$11*$A12+$V$13/100*$C12)*(1+$V$28)*(1+$V$15))+$V$14,2)</f>
        <v>1213.64</v>
      </c>
      <c r="F12" s="284"/>
      <c r="G12" s="284">
        <f aca="true" t="shared" si="3" ref="G12:G29">ROUND(($W$10+($W$11*$A12+$W$13/100*$C12)*(1+$W$28)*(1+$W$15))+$W$14,2)</f>
        <v>1333.99</v>
      </c>
      <c r="H12" s="284"/>
      <c r="I12" s="284">
        <f>IF(G12="","",G12-E12)</f>
        <v>120.34999999999991</v>
      </c>
      <c r="J12" s="184"/>
      <c r="K12" s="214">
        <f>IF(I12="","",G12/E12-1)</f>
        <v>0.09916449688540241</v>
      </c>
      <c r="L12" s="184"/>
      <c r="M12" s="284">
        <f>ROUND(($V$17+($V$18*$A12+$V$20/100*$C12)*(1+$V$28)*(1+$V$22))+$V$21,2)</f>
        <v>1025.67</v>
      </c>
      <c r="N12" s="284"/>
      <c r="O12" s="284">
        <f>ROUND(($W$17+($W$18*$A12+$W$20/100*$C12)*(1+$W$28)*(1+$W$22))+$W$21,2)</f>
        <v>1127.07</v>
      </c>
      <c r="P12" s="284"/>
      <c r="Q12" s="284">
        <f t="shared" si="0"/>
        <v>101.39999999999986</v>
      </c>
      <c r="R12" s="184"/>
      <c r="S12" s="214">
        <f t="shared" si="1"/>
        <v>0.09886220714264815</v>
      </c>
      <c r="T12" s="184"/>
      <c r="U12" s="221" t="s">
        <v>178</v>
      </c>
      <c r="V12" s="222">
        <v>-0.78</v>
      </c>
      <c r="W12" s="223">
        <v>-0.9</v>
      </c>
    </row>
    <row r="13" spans="1:23" ht="15">
      <c r="A13" s="285">
        <f>A12</f>
        <v>50</v>
      </c>
      <c r="B13" s="194"/>
      <c r="C13" s="194">
        <v>20000</v>
      </c>
      <c r="D13" s="184"/>
      <c r="E13" s="284">
        <f t="shared" si="2"/>
        <v>1557.52</v>
      </c>
      <c r="F13" s="284"/>
      <c r="G13" s="284">
        <f t="shared" si="3"/>
        <v>1712.31</v>
      </c>
      <c r="H13" s="284"/>
      <c r="I13" s="284">
        <f>IF(G13="","",G13-E13)</f>
        <v>154.78999999999996</v>
      </c>
      <c r="J13" s="184"/>
      <c r="K13" s="214">
        <f>IF(I13="","",G13/E13-1)</f>
        <v>0.09938235143047924</v>
      </c>
      <c r="L13" s="184"/>
      <c r="M13" s="284">
        <f>ROUND(($V$17+($V$18*$A13+$V$20/100*$C13)*(1+$V$28)*(1+$V$22))+$V$21,2)</f>
        <v>1342.7</v>
      </c>
      <c r="N13" s="284"/>
      <c r="O13" s="284">
        <f>ROUND(($W$17+($W$18*$A13+$W$20/100*$C13)*(1+$W$28)*(1+$W$22))+$W$21,2)</f>
        <v>1475.76</v>
      </c>
      <c r="P13" s="284"/>
      <c r="Q13" s="284">
        <f t="shared" si="0"/>
        <v>133.05999999999995</v>
      </c>
      <c r="R13" s="184"/>
      <c r="S13" s="214">
        <f t="shared" si="1"/>
        <v>0.09909883071423242</v>
      </c>
      <c r="T13" s="184"/>
      <c r="U13" s="221" t="s">
        <v>179</v>
      </c>
      <c r="V13" s="286">
        <v>3.1907</v>
      </c>
      <c r="W13" s="287">
        <v>3.6807</v>
      </c>
    </row>
    <row r="14" spans="1:23" ht="15">
      <c r="A14" s="194"/>
      <c r="B14" s="194"/>
      <c r="C14" s="194"/>
      <c r="D14" s="184"/>
      <c r="E14" s="284"/>
      <c r="F14" s="284"/>
      <c r="G14" s="284"/>
      <c r="H14" s="284"/>
      <c r="I14" s="284"/>
      <c r="J14" s="184"/>
      <c r="K14" s="214"/>
      <c r="L14" s="184"/>
      <c r="M14" s="284"/>
      <c r="N14" s="284"/>
      <c r="O14" s="284"/>
      <c r="P14" s="284"/>
      <c r="Q14" s="284" t="str">
        <f t="shared" si="0"/>
        <v/>
      </c>
      <c r="R14" s="184"/>
      <c r="S14" s="214" t="str">
        <f t="shared" si="1"/>
        <v/>
      </c>
      <c r="T14" s="184"/>
      <c r="U14" s="221" t="s">
        <v>154</v>
      </c>
      <c r="V14" s="222">
        <v>7.82</v>
      </c>
      <c r="W14" s="288">
        <f>V14</f>
        <v>7.82</v>
      </c>
    </row>
    <row r="15" spans="1:23" ht="15">
      <c r="A15" s="194">
        <v>100</v>
      </c>
      <c r="B15" s="194"/>
      <c r="C15" s="194">
        <v>20000</v>
      </c>
      <c r="D15" s="184"/>
      <c r="E15" s="284">
        <f t="shared" si="2"/>
        <v>2374.46</v>
      </c>
      <c r="F15" s="284"/>
      <c r="G15" s="284">
        <f t="shared" si="3"/>
        <v>2611.16</v>
      </c>
      <c r="H15" s="284"/>
      <c r="I15" s="284">
        <f>IF(G15="","",G15-E15)</f>
        <v>236.69999999999982</v>
      </c>
      <c r="J15" s="184"/>
      <c r="K15" s="214">
        <f>IF(I15="","",G15/E15-1)</f>
        <v>0.09968582330298248</v>
      </c>
      <c r="L15" s="184"/>
      <c r="M15" s="284">
        <f>ROUND(($V$17+($V$18*$A15+$V$20/100*$C15)*(1+$V$28)*(1+$V$22))+$V$21,2)</f>
        <v>1998.51</v>
      </c>
      <c r="N15" s="284"/>
      <c r="O15" s="284">
        <f>ROUND(($W$17+($W$18*$A15+$W$20/100*$C15)*(1+$W$28)*(1+$W$22))+$W$21,2)</f>
        <v>2197.31</v>
      </c>
      <c r="P15" s="284"/>
      <c r="Q15" s="284">
        <f t="shared" si="0"/>
        <v>198.79999999999995</v>
      </c>
      <c r="R15" s="184"/>
      <c r="S15" s="214">
        <f t="shared" si="1"/>
        <v>0.09947410821061697</v>
      </c>
      <c r="T15" s="184"/>
      <c r="U15" s="221" t="s">
        <v>156</v>
      </c>
      <c r="V15" s="289">
        <v>0.0376</v>
      </c>
      <c r="W15" s="290">
        <f>V15</f>
        <v>0.0376</v>
      </c>
    </row>
    <row r="16" spans="1:23" ht="15">
      <c r="A16" s="285">
        <f>A15</f>
        <v>100</v>
      </c>
      <c r="B16" s="194"/>
      <c r="C16" s="194">
        <v>40000</v>
      </c>
      <c r="D16" s="184"/>
      <c r="E16" s="284">
        <f t="shared" si="2"/>
        <v>3062.21</v>
      </c>
      <c r="F16" s="284"/>
      <c r="G16" s="284">
        <f t="shared" si="3"/>
        <v>3367.8</v>
      </c>
      <c r="H16" s="284"/>
      <c r="I16" s="284">
        <f>IF(G16="","",G16-E16)</f>
        <v>305.59000000000015</v>
      </c>
      <c r="J16" s="184"/>
      <c r="K16" s="214">
        <f>IF(I16="","",G16/E16-1)</f>
        <v>0.0997939396710219</v>
      </c>
      <c r="L16" s="184"/>
      <c r="M16" s="284">
        <f>ROUND(($V$17+($V$18*$A16+$V$20/100*$C16)*(1+$V$28)*(1+$V$22))+$V$21,2)</f>
        <v>2632.58</v>
      </c>
      <c r="N16" s="284"/>
      <c r="O16" s="284">
        <f>ROUND(($W$17+($W$18*$A16+$W$20/100*$C16)*(1+$W$28)*(1+$W$22))+$W$21,2)</f>
        <v>2894.7</v>
      </c>
      <c r="P16" s="284"/>
      <c r="Q16" s="284">
        <f t="shared" si="0"/>
        <v>262.1199999999999</v>
      </c>
      <c r="R16" s="184"/>
      <c r="S16" s="214">
        <f t="shared" si="1"/>
        <v>0.09956772443762385</v>
      </c>
      <c r="T16" s="184"/>
      <c r="U16" s="279" t="s">
        <v>142</v>
      </c>
      <c r="V16" s="182"/>
      <c r="W16" s="220"/>
    </row>
    <row r="17" spans="1:23" ht="15">
      <c r="A17" s="285">
        <f>A16</f>
        <v>100</v>
      </c>
      <c r="B17" s="194"/>
      <c r="C17" s="194">
        <v>60000</v>
      </c>
      <c r="D17" s="184"/>
      <c r="E17" s="284">
        <f t="shared" si="2"/>
        <v>3749.97</v>
      </c>
      <c r="F17" s="284"/>
      <c r="G17" s="284">
        <f t="shared" si="3"/>
        <v>4124.44</v>
      </c>
      <c r="H17" s="284"/>
      <c r="I17" s="284">
        <f>IF(G17="","",G17-E17)</f>
        <v>374.4699999999998</v>
      </c>
      <c r="J17" s="184"/>
      <c r="K17" s="214">
        <f>IF(I17="","",G17/E17-1)</f>
        <v>0.099859465542391</v>
      </c>
      <c r="L17" s="184"/>
      <c r="M17" s="284">
        <f>ROUND(($V$17+($V$18*$A17+$V$20/100*$C17)*(1+$V$28)*(1+$V$22))+$V$21,2)</f>
        <v>3266.64</v>
      </c>
      <c r="N17" s="284"/>
      <c r="O17" s="284">
        <f>ROUND(($W$17+($W$18*$A17+$W$20/100*$C17)*(1+$W$28)*(1+$W$22))+$W$21,2)</f>
        <v>3592.1</v>
      </c>
      <c r="P17" s="284"/>
      <c r="Q17" s="284">
        <f t="shared" si="0"/>
        <v>325.46000000000004</v>
      </c>
      <c r="R17" s="184"/>
      <c r="S17" s="214">
        <f t="shared" si="1"/>
        <v>0.09963142556265758</v>
      </c>
      <c r="T17" s="184"/>
      <c r="U17" s="221" t="s">
        <v>35</v>
      </c>
      <c r="V17" s="228">
        <f>V10</f>
        <v>45</v>
      </c>
      <c r="W17" s="229">
        <f>W10</f>
        <v>49</v>
      </c>
    </row>
    <row r="18" spans="1:23" ht="15">
      <c r="A18" s="194"/>
      <c r="B18" s="194"/>
      <c r="C18" s="194"/>
      <c r="D18" s="184"/>
      <c r="E18" s="284"/>
      <c r="F18" s="284"/>
      <c r="G18" s="284"/>
      <c r="H18" s="284"/>
      <c r="I18" s="284"/>
      <c r="J18" s="184"/>
      <c r="K18" s="214"/>
      <c r="L18" s="184"/>
      <c r="M18" s="284"/>
      <c r="N18" s="284"/>
      <c r="O18" s="284"/>
      <c r="P18" s="284"/>
      <c r="Q18" s="284" t="str">
        <f t="shared" si="0"/>
        <v/>
      </c>
      <c r="R18" s="184"/>
      <c r="S18" s="214" t="str">
        <f t="shared" si="1"/>
        <v/>
      </c>
      <c r="T18" s="184"/>
      <c r="U18" s="221" t="s">
        <v>177</v>
      </c>
      <c r="V18" s="222">
        <v>12.17</v>
      </c>
      <c r="W18" s="223">
        <v>14.04</v>
      </c>
    </row>
    <row r="19" spans="1:23" ht="15">
      <c r="A19" s="194">
        <v>200</v>
      </c>
      <c r="B19" s="194"/>
      <c r="C19" s="194">
        <v>40000</v>
      </c>
      <c r="D19" s="184"/>
      <c r="E19" s="284">
        <f t="shared" si="2"/>
        <v>4696.09</v>
      </c>
      <c r="F19" s="284"/>
      <c r="G19" s="284">
        <f t="shared" si="3"/>
        <v>5165.51</v>
      </c>
      <c r="H19" s="284"/>
      <c r="I19" s="284">
        <f>IF(G19="","",G19-E19)</f>
        <v>469.4200000000001</v>
      </c>
      <c r="J19" s="184"/>
      <c r="K19" s="214">
        <f>IF(I19="","",G19/E19-1)</f>
        <v>0.09995975375259003</v>
      </c>
      <c r="L19" s="184"/>
      <c r="M19" s="284">
        <f>ROUND(($V$17+($V$18*$A19+$V$20/100*$C19)*(1+$V$28)*(1+$V$22))+$V$21,2)</f>
        <v>3944.21</v>
      </c>
      <c r="N19" s="284"/>
      <c r="O19" s="284">
        <f>ROUND(($W$17+($W$18*$A19+$W$20/100*$C19)*(1+$W$28)*(1+$W$22))+$W$21,2)</f>
        <v>4337.8</v>
      </c>
      <c r="P19" s="284"/>
      <c r="Q19" s="284">
        <f t="shared" si="0"/>
        <v>393.59000000000015</v>
      </c>
      <c r="R19" s="184"/>
      <c r="S19" s="214">
        <f t="shared" si="1"/>
        <v>0.09978931142104508</v>
      </c>
      <c r="T19" s="184"/>
      <c r="U19" s="221" t="s">
        <v>178</v>
      </c>
      <c r="V19" s="228">
        <f>V12</f>
        <v>-0.78</v>
      </c>
      <c r="W19" s="229">
        <f>W12</f>
        <v>-0.9</v>
      </c>
    </row>
    <row r="20" spans="1:23" ht="15">
      <c r="A20" s="285">
        <f>A19</f>
        <v>200</v>
      </c>
      <c r="B20" s="194"/>
      <c r="C20" s="194">
        <v>80000</v>
      </c>
      <c r="D20" s="184"/>
      <c r="E20" s="284">
        <f t="shared" si="2"/>
        <v>6071.61</v>
      </c>
      <c r="F20" s="284"/>
      <c r="G20" s="284">
        <f t="shared" si="3"/>
        <v>6678.78</v>
      </c>
      <c r="H20" s="284"/>
      <c r="I20" s="284">
        <f>IF(G20="","",G20-E20)</f>
        <v>607.1700000000001</v>
      </c>
      <c r="J20" s="184"/>
      <c r="K20" s="214">
        <f>IF(I20="","",G20/E20-1)</f>
        <v>0.10000148230864636</v>
      </c>
      <c r="L20" s="184"/>
      <c r="M20" s="284">
        <f>ROUND(($V$17+($V$18*$A20+$V$20/100*$C20)*(1+$V$28)*(1+$V$22))+$V$21,2)</f>
        <v>5212.34</v>
      </c>
      <c r="N20" s="284"/>
      <c r="O20" s="284">
        <f>ROUND(($W$17+($W$18*$A20+$W$20/100*$C20)*(1+$W$28)*(1+$W$22))+$W$21,2)</f>
        <v>5732.59</v>
      </c>
      <c r="P20" s="284"/>
      <c r="Q20" s="284">
        <f t="shared" si="0"/>
        <v>520.25</v>
      </c>
      <c r="R20" s="184"/>
      <c r="S20" s="214">
        <f t="shared" si="1"/>
        <v>0.09981121722681174</v>
      </c>
      <c r="T20" s="184"/>
      <c r="U20" s="221" t="s">
        <v>179</v>
      </c>
      <c r="V20" s="230">
        <v>2.9416</v>
      </c>
      <c r="W20" s="220">
        <v>3.3925</v>
      </c>
    </row>
    <row r="21" spans="1:23" ht="15">
      <c r="A21" s="285">
        <f>A20</f>
        <v>200</v>
      </c>
      <c r="B21" s="194"/>
      <c r="C21" s="194">
        <v>120000</v>
      </c>
      <c r="D21" s="184"/>
      <c r="E21" s="284">
        <f t="shared" si="2"/>
        <v>7447.13</v>
      </c>
      <c r="F21" s="284"/>
      <c r="G21" s="284">
        <f t="shared" si="3"/>
        <v>8192.06</v>
      </c>
      <c r="H21" s="284"/>
      <c r="I21" s="284">
        <f>IF(G21="","",G21-E21)</f>
        <v>744.9299999999994</v>
      </c>
      <c r="J21" s="184"/>
      <c r="K21" s="214">
        <f>IF(I21="","",G21/E21-1)</f>
        <v>0.10002913874203889</v>
      </c>
      <c r="L21" s="184"/>
      <c r="M21" s="284">
        <f>ROUND(($V$17+($V$18*$A21+$V$20/100*$C21)*(1+$V$28)*(1+$V$22))+$V$21,2)</f>
        <v>6480.47</v>
      </c>
      <c r="N21" s="284"/>
      <c r="O21" s="284">
        <f>ROUND(($W$17+($W$18*$A21+$W$20/100*$C21)*(1+$W$28)*(1+$W$22))+$W$21,2)</f>
        <v>7127.38</v>
      </c>
      <c r="P21" s="284"/>
      <c r="Q21" s="284">
        <f t="shared" si="0"/>
        <v>646.9099999999999</v>
      </c>
      <c r="R21" s="184"/>
      <c r="S21" s="214">
        <f t="shared" si="1"/>
        <v>0.09982454976259425</v>
      </c>
      <c r="T21" s="184"/>
      <c r="U21" s="221" t="s">
        <v>154</v>
      </c>
      <c r="V21" s="228">
        <f>V14</f>
        <v>7.82</v>
      </c>
      <c r="W21" s="229">
        <f>W14</f>
        <v>7.82</v>
      </c>
    </row>
    <row r="22" spans="1:23" ht="15">
      <c r="A22" s="194"/>
      <c r="B22" s="194"/>
      <c r="C22" s="194"/>
      <c r="D22" s="184"/>
      <c r="E22" s="284"/>
      <c r="F22" s="284"/>
      <c r="G22" s="284"/>
      <c r="H22" s="284"/>
      <c r="I22" s="284"/>
      <c r="J22" s="184"/>
      <c r="K22" s="214"/>
      <c r="L22" s="184"/>
      <c r="M22" s="284"/>
      <c r="N22" s="284"/>
      <c r="O22" s="284"/>
      <c r="P22" s="284"/>
      <c r="Q22" s="284" t="str">
        <f t="shared" si="0"/>
        <v/>
      </c>
      <c r="R22" s="184"/>
      <c r="S22" s="214" t="str">
        <f t="shared" si="1"/>
        <v/>
      </c>
      <c r="T22" s="184"/>
      <c r="U22" s="232" t="s">
        <v>156</v>
      </c>
      <c r="V22" s="291">
        <f>V15</f>
        <v>0.0376</v>
      </c>
      <c r="W22" s="292">
        <f>W15</f>
        <v>0.0376</v>
      </c>
    </row>
    <row r="23" spans="1:23" ht="15">
      <c r="A23" s="194">
        <v>500</v>
      </c>
      <c r="B23" s="194"/>
      <c r="C23" s="194">
        <v>100000</v>
      </c>
      <c r="D23" s="184"/>
      <c r="E23" s="284">
        <f t="shared" si="2"/>
        <v>11661</v>
      </c>
      <c r="F23" s="284"/>
      <c r="G23" s="284">
        <f t="shared" si="3"/>
        <v>12828.53</v>
      </c>
      <c r="H23" s="284"/>
      <c r="I23" s="284">
        <f>IF(G23="","",G23-E23)</f>
        <v>1167.5300000000007</v>
      </c>
      <c r="J23" s="184"/>
      <c r="K23" s="214">
        <f>IF(I23="","",G23/E23-1)</f>
        <v>0.10012263099219632</v>
      </c>
      <c r="L23" s="184"/>
      <c r="M23" s="284">
        <f>ROUND(($V$17+($V$18*$A23+$V$20/100*$C23)*(1+$V$28)*(1+$V$22))+$V$21,2)</f>
        <v>9781.28</v>
      </c>
      <c r="N23" s="284"/>
      <c r="O23" s="284">
        <f>ROUND(($W$17+($W$18*$A23+$W$20/100*$C23)*(1+$W$28)*(1+$W$22))+$W$21,2)</f>
        <v>10759.27</v>
      </c>
      <c r="P23" s="284"/>
      <c r="Q23" s="284">
        <f t="shared" si="0"/>
        <v>977.9899999999998</v>
      </c>
      <c r="R23" s="184"/>
      <c r="S23" s="214">
        <f t="shared" si="1"/>
        <v>0.09998589141707415</v>
      </c>
      <c r="T23" s="184"/>
      <c r="U23" s="184"/>
      <c r="V23" s="184"/>
      <c r="W23" s="184"/>
    </row>
    <row r="24" spans="1:23" ht="15">
      <c r="A24" s="285">
        <f>A23</f>
        <v>500</v>
      </c>
      <c r="B24" s="194"/>
      <c r="C24" s="194">
        <v>200000</v>
      </c>
      <c r="D24" s="184"/>
      <c r="E24" s="284">
        <f t="shared" si="2"/>
        <v>15099.79</v>
      </c>
      <c r="F24" s="284"/>
      <c r="G24" s="284">
        <f t="shared" si="3"/>
        <v>16611.73</v>
      </c>
      <c r="H24" s="284"/>
      <c r="I24" s="284">
        <f>IF(G24="","",G24-E24)</f>
        <v>1511.9399999999987</v>
      </c>
      <c r="J24" s="184"/>
      <c r="K24" s="214">
        <f>IF(I24="","",G24/E24-1)</f>
        <v>0.10012986935579882</v>
      </c>
      <c r="L24" s="184"/>
      <c r="M24" s="284">
        <f>ROUND(($V$17+($V$18*$A24+$V$20/100*$C24)*(1+$V$28)*(1+$V$22))+$V$21,2)</f>
        <v>12951.61</v>
      </c>
      <c r="N24" s="284"/>
      <c r="O24" s="284">
        <f>ROUND(($W$17+($W$18*$A24+$W$20/100*$C24)*(1+$W$28)*(1+$W$22))+$W$21,2)</f>
        <v>14246.24</v>
      </c>
      <c r="P24" s="284"/>
      <c r="Q24" s="284">
        <f t="shared" si="0"/>
        <v>1294.6299999999992</v>
      </c>
      <c r="R24" s="184"/>
      <c r="S24" s="214">
        <f t="shared" si="1"/>
        <v>0.09995900123613977</v>
      </c>
      <c r="T24" s="184"/>
      <c r="U24" s="184" t="s">
        <v>158</v>
      </c>
      <c r="V24" s="184"/>
      <c r="W24" s="236"/>
    </row>
    <row r="25" spans="1:23" ht="15">
      <c r="A25" s="285">
        <f>A24</f>
        <v>500</v>
      </c>
      <c r="B25" s="194"/>
      <c r="C25" s="194">
        <v>300000</v>
      </c>
      <c r="D25" s="184"/>
      <c r="E25" s="284">
        <f t="shared" si="2"/>
        <v>18538.58</v>
      </c>
      <c r="F25" s="284"/>
      <c r="G25" s="284">
        <f t="shared" si="3"/>
        <v>20394.92</v>
      </c>
      <c r="H25" s="284"/>
      <c r="I25" s="284">
        <f>IF(G25="","",G25-E25)</f>
        <v>1856.3399999999965</v>
      </c>
      <c r="J25" s="184"/>
      <c r="K25" s="214">
        <f>IF(I25="","",G25/E25-1)</f>
        <v>0.10013388296190961</v>
      </c>
      <c r="L25" s="184"/>
      <c r="M25" s="284">
        <f>ROUND(($V$17+($V$18*$A25+$V$20/100*$C25)*(1+$V$28)*(1+$V$22))+$V$21,2)</f>
        <v>16121.93</v>
      </c>
      <c r="N25" s="284"/>
      <c r="O25" s="284">
        <f>ROUND(($W$17+($W$18*$A25+$W$20/100*$C25)*(1+$W$28)*(1+$W$22))+$W$21,2)</f>
        <v>17733.21</v>
      </c>
      <c r="P25" s="284"/>
      <c r="Q25" s="284">
        <f t="shared" si="0"/>
        <v>1611.2799999999988</v>
      </c>
      <c r="R25" s="184"/>
      <c r="S25" s="214">
        <f t="shared" si="1"/>
        <v>0.09994336906313328</v>
      </c>
      <c r="T25" s="184"/>
      <c r="U25" s="184" t="s">
        <v>134</v>
      </c>
      <c r="V25" s="235">
        <v>0.0481</v>
      </c>
      <c r="W25" s="184">
        <v>0</v>
      </c>
    </row>
    <row r="26" spans="1:23" ht="15">
      <c r="A26" s="194"/>
      <c r="B26" s="194"/>
      <c r="C26" s="194"/>
      <c r="D26" s="184"/>
      <c r="E26" s="284"/>
      <c r="F26" s="284"/>
      <c r="G26" s="284"/>
      <c r="H26" s="284"/>
      <c r="I26" s="284"/>
      <c r="J26" s="184"/>
      <c r="K26" s="214"/>
      <c r="L26" s="184"/>
      <c r="M26" s="284"/>
      <c r="N26" s="284"/>
      <c r="O26" s="284"/>
      <c r="P26" s="284"/>
      <c r="Q26" s="284" t="str">
        <f t="shared" si="0"/>
        <v/>
      </c>
      <c r="R26" s="184"/>
      <c r="S26" s="214" t="str">
        <f t="shared" si="1"/>
        <v/>
      </c>
      <c r="T26" s="184"/>
      <c r="U26" s="184" t="s">
        <v>159</v>
      </c>
      <c r="V26" s="235">
        <v>0.0176</v>
      </c>
      <c r="W26" s="236">
        <f>V26</f>
        <v>0.0176</v>
      </c>
    </row>
    <row r="27" spans="1:23" ht="15">
      <c r="A27" s="194">
        <v>1000</v>
      </c>
      <c r="B27" s="194"/>
      <c r="C27" s="194">
        <v>200000</v>
      </c>
      <c r="D27" s="184"/>
      <c r="E27" s="284">
        <f t="shared" si="2"/>
        <v>23269.17</v>
      </c>
      <c r="F27" s="284"/>
      <c r="G27" s="284">
        <f t="shared" si="3"/>
        <v>25600.25</v>
      </c>
      <c r="H27" s="284"/>
      <c r="I27" s="284">
        <f>IF(G27="","",G27-E27)</f>
        <v>2331.0800000000017</v>
      </c>
      <c r="J27" s="184"/>
      <c r="K27" s="214">
        <f>IF(I27="","",G27/E27-1)</f>
        <v>0.10017890625235037</v>
      </c>
      <c r="L27" s="184"/>
      <c r="M27" s="284">
        <f>ROUND(($V$17+($V$18*$A27+$V$20/100*$C27)*(1+$V$28)*(1+$V$22))+$V$21,2)</f>
        <v>19509.75</v>
      </c>
      <c r="N27" s="284"/>
      <c r="O27" s="284">
        <f>ROUND(($W$17+($W$18*$A27+$W$20/100*$C27)*(1+$W$28)*(1+$W$22))+$W$21,2)</f>
        <v>21461.72</v>
      </c>
      <c r="P27" s="284"/>
      <c r="Q27" s="284">
        <f t="shared" si="0"/>
        <v>1951.9700000000012</v>
      </c>
      <c r="R27" s="184"/>
      <c r="S27" s="214">
        <f t="shared" si="1"/>
        <v>0.10005100014095514</v>
      </c>
      <c r="T27" s="184"/>
      <c r="U27" s="184" t="s">
        <v>160</v>
      </c>
      <c r="V27" s="235">
        <v>-0.027</v>
      </c>
      <c r="W27" s="236">
        <f>V27</f>
        <v>-0.027</v>
      </c>
    </row>
    <row r="28" spans="1:23" ht="15">
      <c r="A28" s="285">
        <f>A27</f>
        <v>1000</v>
      </c>
      <c r="B28" s="194"/>
      <c r="C28" s="194">
        <v>400000</v>
      </c>
      <c r="D28" s="184"/>
      <c r="E28" s="284">
        <f t="shared" si="2"/>
        <v>30146.76</v>
      </c>
      <c r="F28" s="284"/>
      <c r="G28" s="284">
        <f t="shared" si="3"/>
        <v>33166.64</v>
      </c>
      <c r="H28" s="284"/>
      <c r="I28" s="284">
        <f>IF(G28="","",G28-E28)</f>
        <v>3019.880000000001</v>
      </c>
      <c r="J28" s="184"/>
      <c r="K28" s="214">
        <f>IF(I28="","",G28/E28-1)</f>
        <v>0.10017262219886991</v>
      </c>
      <c r="L28" s="184"/>
      <c r="M28" s="284">
        <f>ROUND(($V$17+($V$18*$A28+$V$20/100*$C28)*(1+$V$28)*(1+$V$22))+$V$21,2)</f>
        <v>25850.4</v>
      </c>
      <c r="N28" s="284"/>
      <c r="O28" s="284">
        <f>ROUND(($W$17+($W$18*$A28+$W$20/100*$C28)*(1+$W$28)*(1+$W$22))+$W$21,2)</f>
        <v>28435.66</v>
      </c>
      <c r="P28" s="284"/>
      <c r="Q28" s="284">
        <f t="shared" si="0"/>
        <v>2585.2599999999984</v>
      </c>
      <c r="R28" s="184"/>
      <c r="S28" s="214">
        <f t="shared" si="1"/>
        <v>0.10000851050660708</v>
      </c>
      <c r="T28" s="184"/>
      <c r="U28" s="182" t="s">
        <v>161</v>
      </c>
      <c r="V28" s="235">
        <f>SUM(V25:V27)</f>
        <v>0.0387</v>
      </c>
      <c r="W28" s="236">
        <f>SUM(W25:W27)</f>
        <v>-0.009399999999999999</v>
      </c>
    </row>
    <row r="29" spans="1:23" ht="15">
      <c r="A29" s="285">
        <f>A28</f>
        <v>1000</v>
      </c>
      <c r="B29" s="194"/>
      <c r="C29" s="194">
        <v>600000</v>
      </c>
      <c r="D29" s="184"/>
      <c r="E29" s="284">
        <f t="shared" si="2"/>
        <v>37024.35</v>
      </c>
      <c r="F29" s="284"/>
      <c r="G29" s="284">
        <f t="shared" si="3"/>
        <v>40733.03</v>
      </c>
      <c r="H29" s="284"/>
      <c r="I29" s="284">
        <f>IF(G29="","",G29-E29)</f>
        <v>3708.6800000000003</v>
      </c>
      <c r="J29" s="184"/>
      <c r="K29" s="214">
        <f>IF(I29="","",G29/E29-1)</f>
        <v>0.10016867277886043</v>
      </c>
      <c r="L29" s="184"/>
      <c r="M29" s="284">
        <f>ROUND(($V$17+($V$18*$A29+$V$20/100*$C29)*(1+$V$28)*(1+$V$22))+$V$21,2)</f>
        <v>32191.05</v>
      </c>
      <c r="N29" s="284"/>
      <c r="O29" s="284">
        <f>ROUND(($W$17+($W$18*$A29+$W$20/100*$C29)*(1+$W$28)*(1+$W$22))+$W$21,2)</f>
        <v>35409.6</v>
      </c>
      <c r="P29" s="284"/>
      <c r="Q29" s="284">
        <f t="shared" si="0"/>
        <v>3218.5499999999993</v>
      </c>
      <c r="R29" s="184"/>
      <c r="S29" s="214">
        <f t="shared" si="1"/>
        <v>0.09998275918306487</v>
      </c>
      <c r="T29" s="184"/>
      <c r="U29" s="184"/>
      <c r="V29" s="184"/>
      <c r="W29" s="184"/>
    </row>
    <row r="30" spans="1:23" ht="15">
      <c r="A30" s="194"/>
      <c r="B30" s="194"/>
      <c r="C30" s="194"/>
      <c r="D30" s="184"/>
      <c r="E30" s="195"/>
      <c r="F30" s="184"/>
      <c r="G30" s="195"/>
      <c r="H30" s="184"/>
      <c r="I30" s="184"/>
      <c r="J30" s="184"/>
      <c r="K30" s="184"/>
      <c r="L30" s="184"/>
      <c r="M30" s="195"/>
      <c r="N30" s="184"/>
      <c r="O30" s="195"/>
      <c r="P30" s="184"/>
      <c r="Q30" s="184"/>
      <c r="R30" s="184"/>
      <c r="S30" s="184"/>
      <c r="T30" s="184"/>
      <c r="U30" s="184"/>
      <c r="V30" s="184"/>
      <c r="W30" s="184"/>
    </row>
    <row r="31" spans="1:23" ht="16.5">
      <c r="A31" s="239" t="s">
        <v>162</v>
      </c>
      <c r="B31" s="194"/>
      <c r="C31" s="194"/>
      <c r="D31" s="184"/>
      <c r="E31" s="195"/>
      <c r="F31" s="184"/>
      <c r="G31" s="195"/>
      <c r="H31" s="184"/>
      <c r="I31" s="184"/>
      <c r="J31" s="184"/>
      <c r="K31" s="184"/>
      <c r="L31" s="184"/>
      <c r="M31" s="195"/>
      <c r="N31" s="184"/>
      <c r="O31" s="195"/>
      <c r="P31" s="184"/>
      <c r="Q31" s="184"/>
      <c r="R31" s="184"/>
      <c r="S31" s="184"/>
      <c r="T31" s="184"/>
      <c r="U31" s="184"/>
      <c r="V31" s="184"/>
      <c r="W31" s="184"/>
    </row>
    <row r="32" spans="1:23" ht="16.5">
      <c r="A32" s="239"/>
      <c r="B32" s="194"/>
      <c r="C32" s="194"/>
      <c r="D32" s="184"/>
      <c r="E32" s="195"/>
      <c r="F32" s="184"/>
      <c r="G32" s="195"/>
      <c r="H32" s="184"/>
      <c r="I32" s="184"/>
      <c r="J32" s="184"/>
      <c r="K32" s="184"/>
      <c r="L32" s="184"/>
      <c r="M32" s="195"/>
      <c r="N32" s="184"/>
      <c r="O32" s="195"/>
      <c r="P32" s="184"/>
      <c r="Q32" s="184"/>
      <c r="R32" s="184"/>
      <c r="S32" s="184"/>
      <c r="T32" s="184"/>
      <c r="U32" s="184"/>
      <c r="V32" s="184"/>
      <c r="W32" s="184"/>
    </row>
  </sheetData>
  <printOptions/>
  <pageMargins left="0.7" right="0.7" top="0.75" bottom="0.75" header="0.3" footer="0.3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 topLeftCell="A1">
      <selection activeCell="W3" sqref="W3"/>
    </sheetView>
  </sheetViews>
  <sheetFormatPr defaultColWidth="9.140625" defaultRowHeight="15"/>
  <cols>
    <col min="2" max="2" width="1.1484375" style="0" customWidth="1"/>
    <col min="4" max="4" width="1.1484375" style="0" customWidth="1"/>
    <col min="6" max="6" width="1.28515625" style="0" customWidth="1"/>
    <col min="8" max="8" width="0.9921875" style="0" customWidth="1"/>
    <col min="10" max="10" width="1.1484375" style="0" customWidth="1"/>
    <col min="12" max="12" width="1.1484375" style="0" customWidth="1"/>
    <col min="14" max="14" width="2.28125" style="0" customWidth="1"/>
    <col min="16" max="16" width="0.9921875" style="0" customWidth="1"/>
    <col min="18" max="18" width="0.71875" style="0" customWidth="1"/>
    <col min="20" max="20" width="0.85546875" style="0" customWidth="1"/>
    <col min="22" max="22" width="4.7109375" style="0" customWidth="1"/>
    <col min="23" max="23" width="17.8515625" style="0" bestFit="1" customWidth="1"/>
  </cols>
  <sheetData>
    <row r="1" spans="1:25" ht="16.5">
      <c r="A1" s="177" t="s">
        <v>135</v>
      </c>
      <c r="B1" s="177"/>
      <c r="C1" s="177"/>
      <c r="D1" s="178"/>
      <c r="E1" s="177"/>
      <c r="F1" s="178"/>
      <c r="G1" s="179"/>
      <c r="H1" s="178"/>
      <c r="I1" s="179"/>
      <c r="J1" s="178"/>
      <c r="K1" s="178"/>
      <c r="L1" s="178"/>
      <c r="M1" s="178"/>
      <c r="N1" s="178"/>
      <c r="O1" s="179"/>
      <c r="P1" s="178"/>
      <c r="Q1" s="179"/>
      <c r="R1" s="178"/>
      <c r="S1" s="178"/>
      <c r="T1" s="178"/>
      <c r="U1" s="178"/>
      <c r="V1" s="184"/>
      <c r="W1" s="313" t="s">
        <v>210</v>
      </c>
      <c r="X1" s="184"/>
      <c r="Y1" s="184"/>
    </row>
    <row r="2" spans="1:25" ht="16.5">
      <c r="A2" s="177" t="s">
        <v>136</v>
      </c>
      <c r="B2" s="177"/>
      <c r="C2" s="177"/>
      <c r="D2" s="178"/>
      <c r="E2" s="177"/>
      <c r="F2" s="178"/>
      <c r="G2" s="179"/>
      <c r="H2" s="178"/>
      <c r="I2" s="179"/>
      <c r="J2" s="178"/>
      <c r="K2" s="178"/>
      <c r="L2" s="178"/>
      <c r="M2" s="178"/>
      <c r="N2" s="178"/>
      <c r="O2" s="179"/>
      <c r="P2" s="178"/>
      <c r="Q2" s="179"/>
      <c r="R2" s="178"/>
      <c r="S2" s="178"/>
      <c r="T2" s="178"/>
      <c r="U2" s="178"/>
      <c r="V2" s="184"/>
      <c r="W2" s="313" t="s">
        <v>211</v>
      </c>
      <c r="X2" s="184"/>
      <c r="Y2" s="184"/>
    </row>
    <row r="3" spans="1:25" ht="16.5">
      <c r="A3" s="177" t="s">
        <v>180</v>
      </c>
      <c r="B3" s="177"/>
      <c r="C3" s="177"/>
      <c r="D3" s="178"/>
      <c r="E3" s="177"/>
      <c r="F3" s="178"/>
      <c r="G3" s="179"/>
      <c r="H3" s="178"/>
      <c r="I3" s="179"/>
      <c r="J3" s="178"/>
      <c r="K3" s="178"/>
      <c r="L3" s="178"/>
      <c r="M3" s="178"/>
      <c r="N3" s="178"/>
      <c r="O3" s="179"/>
      <c r="P3" s="178"/>
      <c r="Q3" s="179"/>
      <c r="R3" s="178"/>
      <c r="S3" s="178"/>
      <c r="T3" s="178"/>
      <c r="U3" s="178"/>
      <c r="V3" s="184"/>
      <c r="W3" s="313" t="s">
        <v>383</v>
      </c>
      <c r="X3" s="184"/>
      <c r="Y3" s="184"/>
    </row>
    <row r="4" spans="1:25" ht="16.5">
      <c r="A4" s="177" t="s">
        <v>181</v>
      </c>
      <c r="B4" s="177"/>
      <c r="C4" s="177"/>
      <c r="D4" s="178"/>
      <c r="E4" s="177"/>
      <c r="F4" s="178"/>
      <c r="G4" s="179"/>
      <c r="H4" s="178"/>
      <c r="I4" s="179"/>
      <c r="J4" s="178"/>
      <c r="K4" s="178"/>
      <c r="L4" s="178"/>
      <c r="M4" s="178"/>
      <c r="N4" s="178"/>
      <c r="O4" s="179"/>
      <c r="P4" s="178"/>
      <c r="Q4" s="179"/>
      <c r="R4" s="178"/>
      <c r="S4" s="178"/>
      <c r="T4" s="178"/>
      <c r="U4" s="178"/>
      <c r="V4" s="184"/>
      <c r="W4" s="314">
        <v>40696</v>
      </c>
      <c r="X4" s="184"/>
      <c r="Y4" s="184"/>
    </row>
    <row r="5" spans="1:25" ht="15">
      <c r="A5" s="187"/>
      <c r="B5" s="187"/>
      <c r="C5" s="187"/>
      <c r="D5" s="178"/>
      <c r="E5" s="187"/>
      <c r="F5" s="178"/>
      <c r="G5" s="179"/>
      <c r="H5" s="178"/>
      <c r="I5" s="179"/>
      <c r="J5" s="178"/>
      <c r="K5" s="184"/>
      <c r="L5" s="178"/>
      <c r="M5" s="184"/>
      <c r="N5" s="178"/>
      <c r="O5" s="179"/>
      <c r="P5" s="178"/>
      <c r="Q5" s="179"/>
      <c r="R5" s="178"/>
      <c r="S5" s="184"/>
      <c r="T5" s="178"/>
      <c r="U5" s="184"/>
      <c r="V5" s="184"/>
      <c r="W5" s="184"/>
      <c r="X5" s="184"/>
      <c r="Y5" s="184"/>
    </row>
    <row r="6" spans="1:25" ht="17.25">
      <c r="A6" s="188"/>
      <c r="B6" s="181"/>
      <c r="C6" s="181"/>
      <c r="D6" s="181"/>
      <c r="E6" s="191"/>
      <c r="F6" s="190"/>
      <c r="G6" s="191"/>
      <c r="H6" s="181"/>
      <c r="I6" s="252"/>
      <c r="J6" s="181"/>
      <c r="K6" s="181"/>
      <c r="L6" s="181"/>
      <c r="M6" s="181"/>
      <c r="N6" s="181"/>
      <c r="O6" s="191"/>
      <c r="P6" s="181"/>
      <c r="Q6" s="252"/>
      <c r="R6" s="181"/>
      <c r="S6" s="181"/>
      <c r="T6" s="181"/>
      <c r="U6" s="181"/>
      <c r="V6" s="184"/>
      <c r="W6" s="184"/>
      <c r="X6" s="184"/>
      <c r="Y6" s="184"/>
    </row>
    <row r="7" spans="1:25" ht="15">
      <c r="A7" s="194"/>
      <c r="B7" s="194"/>
      <c r="C7" s="194"/>
      <c r="D7" s="184"/>
      <c r="E7" s="194"/>
      <c r="F7" s="184"/>
      <c r="G7" s="252"/>
      <c r="H7" s="182"/>
      <c r="I7" s="252"/>
      <c r="J7" s="182"/>
      <c r="K7" s="264"/>
      <c r="L7" s="182"/>
      <c r="M7" s="264"/>
      <c r="N7" s="182"/>
      <c r="O7" s="252"/>
      <c r="P7" s="182"/>
      <c r="Q7" s="252"/>
      <c r="R7" s="182"/>
      <c r="S7" s="264"/>
      <c r="T7" s="182"/>
      <c r="U7" s="264"/>
      <c r="V7" s="184"/>
      <c r="W7" s="184"/>
      <c r="X7" s="196"/>
      <c r="Y7" s="196"/>
    </row>
    <row r="8" spans="1:25" ht="15">
      <c r="A8" s="194"/>
      <c r="B8" s="194"/>
      <c r="C8" s="194"/>
      <c r="D8" s="184"/>
      <c r="E8" s="194"/>
      <c r="F8" s="184"/>
      <c r="G8" s="197" t="s">
        <v>141</v>
      </c>
      <c r="H8" s="206"/>
      <c r="I8" s="199"/>
      <c r="J8" s="198"/>
      <c r="K8" s="207"/>
      <c r="L8" s="198"/>
      <c r="M8" s="198"/>
      <c r="N8" s="184"/>
      <c r="O8" s="197" t="s">
        <v>142</v>
      </c>
      <c r="P8" s="206"/>
      <c r="Q8" s="199"/>
      <c r="R8" s="198"/>
      <c r="S8" s="207"/>
      <c r="T8" s="198"/>
      <c r="U8" s="198"/>
      <c r="V8" s="184"/>
      <c r="W8" s="275" t="s">
        <v>182</v>
      </c>
      <c r="X8" s="276" t="s">
        <v>144</v>
      </c>
      <c r="Y8" s="277" t="s">
        <v>8</v>
      </c>
    </row>
    <row r="9" spans="1:25" ht="16.5">
      <c r="A9" s="278" t="s">
        <v>174</v>
      </c>
      <c r="B9" s="194"/>
      <c r="C9" s="194"/>
      <c r="D9" s="184"/>
      <c r="E9" s="278" t="s">
        <v>183</v>
      </c>
      <c r="F9" s="184"/>
      <c r="G9" s="199" t="s">
        <v>175</v>
      </c>
      <c r="H9" s="198"/>
      <c r="I9" s="199"/>
      <c r="J9" s="184"/>
      <c r="K9" s="199" t="s">
        <v>145</v>
      </c>
      <c r="L9" s="198"/>
      <c r="M9" s="199"/>
      <c r="N9" s="184"/>
      <c r="O9" s="199" t="s">
        <v>175</v>
      </c>
      <c r="P9" s="198"/>
      <c r="Q9" s="199"/>
      <c r="R9" s="184"/>
      <c r="S9" s="199" t="s">
        <v>145</v>
      </c>
      <c r="T9" s="198"/>
      <c r="U9" s="199"/>
      <c r="V9" s="184"/>
      <c r="W9" s="293" t="s">
        <v>141</v>
      </c>
      <c r="X9" s="294"/>
      <c r="Y9" s="295"/>
    </row>
    <row r="10" spans="1:25" ht="16.5">
      <c r="A10" s="280" t="s">
        <v>184</v>
      </c>
      <c r="B10" s="281"/>
      <c r="C10" s="282" t="s">
        <v>143</v>
      </c>
      <c r="D10" s="184"/>
      <c r="E10" s="282" t="s">
        <v>185</v>
      </c>
      <c r="F10" s="184"/>
      <c r="G10" s="203" t="s">
        <v>144</v>
      </c>
      <c r="H10" s="184"/>
      <c r="I10" s="283" t="s">
        <v>8</v>
      </c>
      <c r="J10" s="184"/>
      <c r="K10" s="211" t="s">
        <v>166</v>
      </c>
      <c r="L10" s="184"/>
      <c r="M10" s="280" t="s">
        <v>167</v>
      </c>
      <c r="N10" s="184"/>
      <c r="O10" s="203" t="s">
        <v>144</v>
      </c>
      <c r="P10" s="184"/>
      <c r="Q10" s="283" t="s">
        <v>8</v>
      </c>
      <c r="R10" s="184"/>
      <c r="S10" s="211" t="s">
        <v>166</v>
      </c>
      <c r="T10" s="184"/>
      <c r="U10" s="280" t="s">
        <v>167</v>
      </c>
      <c r="V10" s="184"/>
      <c r="W10" s="221" t="s">
        <v>35</v>
      </c>
      <c r="X10" s="222">
        <v>55</v>
      </c>
      <c r="Y10" s="223">
        <v>61</v>
      </c>
    </row>
    <row r="11" spans="1:25" ht="15">
      <c r="A11" s="194">
        <v>1000</v>
      </c>
      <c r="B11" s="194"/>
      <c r="C11" s="194">
        <f>A11*0.5*730</f>
        <v>365000</v>
      </c>
      <c r="D11" s="184"/>
      <c r="E11" s="237">
        <v>0.6</v>
      </c>
      <c r="F11" s="184"/>
      <c r="G11" s="284">
        <f>ROUND(($X$10+(($X$12*(1+$X$32)+$X$11+$X$13)*$A11+($X$14*$E11+$X$15*(1-$E11))/100*$C11*(1+$X$32))*(1+$X$17))+$X$16,2)</f>
        <v>30207.82</v>
      </c>
      <c r="H11" s="284"/>
      <c r="I11" s="284">
        <f>ROUND(($Y$10+(($Y$12*(1+$Y$32)+$Y$11+$Y$13)*$A11+($Y$14*$E11+$Y$15*(1-$E11))/100*$C11*(1+$Y$32))*(1+$Y$17))+$Y$16,2)</f>
        <v>32651.92</v>
      </c>
      <c r="J11" s="284"/>
      <c r="K11" s="284">
        <f aca="true" t="shared" si="0" ref="K11:K59">IF(I11="","",I11-G11)</f>
        <v>2444.0999999999985</v>
      </c>
      <c r="L11" s="184"/>
      <c r="M11" s="296">
        <f aca="true" t="shared" si="1" ref="M11:M59">IF(K11="","",I11/G11-1)</f>
        <v>0.08090951283475589</v>
      </c>
      <c r="N11" s="184"/>
      <c r="O11" s="284">
        <f>ROUND(($X$19+(($X$21*(1+$X$32)+$X$20+$X$22)*$A11+($X$23*$E11+$X$24*(1-$E11))/100*$C11*(1+$X$32))*(1+$X$26))+$X$25,2)</f>
        <v>24406.69</v>
      </c>
      <c r="P11" s="284"/>
      <c r="Q11" s="284">
        <f>ROUND(($Y$19+(($Y$21*(1+$Y$32)+$Y$20+$Y$22)*$A11+($Y$23*$E11+$Y$24*(1-$E11))/100*$C11*(1+$Y$32))*(1+$Y$26))+$Y$25,2)</f>
        <v>26413.07</v>
      </c>
      <c r="R11" s="284"/>
      <c r="S11" s="284">
        <f aca="true" t="shared" si="2" ref="S11:S59">IF(Q11="","",Q11-O11)</f>
        <v>2006.380000000001</v>
      </c>
      <c r="T11" s="184"/>
      <c r="U11" s="296">
        <f aca="true" t="shared" si="3" ref="U11:U59">IF(S11="","",Q11/O11-1)</f>
        <v>0.0822061492156454</v>
      </c>
      <c r="V11" s="184"/>
      <c r="W11" s="221" t="s">
        <v>186</v>
      </c>
      <c r="X11" s="222">
        <v>3.77</v>
      </c>
      <c r="Y11" s="223">
        <v>4.28</v>
      </c>
    </row>
    <row r="12" spans="1:25" ht="15">
      <c r="A12" s="297">
        <f>A11</f>
        <v>1000</v>
      </c>
      <c r="B12" s="194"/>
      <c r="C12" s="297">
        <f>C11</f>
        <v>365000</v>
      </c>
      <c r="D12" s="184"/>
      <c r="E12" s="237">
        <v>0.5</v>
      </c>
      <c r="F12" s="184"/>
      <c r="G12" s="284">
        <f aca="true" t="shared" si="4" ref="G12:G19">ROUND(($X$10+(($X$12*(1+$X$32)+$X$11+$X$13)*$A12+($X$14*$E12+$X$15*(1-$E12))/100*$C12*(1+$X$32))*(1+$X$17))+$X$16,2)</f>
        <v>29692.33</v>
      </c>
      <c r="H12" s="284"/>
      <c r="I12" s="284">
        <f aca="true" t="shared" si="5" ref="I12:I19">ROUND(($Y$10+(($Y$12*(1+$Y$32)+$Y$11+$Y$13)*$A12+($Y$14*$E12+$Y$15*(1-$E12))/100*$C12*(1+$Y$32))*(1+$Y$17))+$Y$16,2)</f>
        <v>32097.8</v>
      </c>
      <c r="J12" s="284"/>
      <c r="K12" s="284">
        <f t="shared" si="0"/>
        <v>2405.4699999999975</v>
      </c>
      <c r="L12" s="184"/>
      <c r="M12" s="296">
        <f t="shared" si="1"/>
        <v>0.08101317747714631</v>
      </c>
      <c r="N12" s="184"/>
      <c r="O12" s="284">
        <f aca="true" t="shared" si="6" ref="O12:O19">ROUND(($X$19+(($X$21*(1+$X$32)+$X$20+$X$22)*$A12+($X$23*$E12+$X$24*(1-$E12))/100*$C12*(1+$X$32))*(1+$X$26))+$X$25,2)</f>
        <v>24235</v>
      </c>
      <c r="P12" s="284"/>
      <c r="Q12" s="284">
        <f aca="true" t="shared" si="7" ref="Q12:Q19">ROUND(($Y$19+(($Y$21*(1+$Y$32)+$Y$20+$Y$22)*$A12+($Y$23*$E12+$Y$24*(1-$E12))/100*$C12*(1+$Y$32))*(1+$Y$26))+$Y$25,2)</f>
        <v>26228.5</v>
      </c>
      <c r="R12" s="284"/>
      <c r="S12" s="284">
        <f t="shared" si="2"/>
        <v>1993.5</v>
      </c>
      <c r="T12" s="184"/>
      <c r="U12" s="296">
        <f t="shared" si="3"/>
        <v>0.08225706622653184</v>
      </c>
      <c r="V12" s="184"/>
      <c r="W12" s="221" t="s">
        <v>187</v>
      </c>
      <c r="X12" s="222">
        <v>12.33</v>
      </c>
      <c r="Y12" s="223">
        <v>14</v>
      </c>
    </row>
    <row r="13" spans="1:25" ht="15">
      <c r="A13" s="297">
        <f>A12</f>
        <v>1000</v>
      </c>
      <c r="B13" s="194"/>
      <c r="C13" s="297">
        <f>C12</f>
        <v>365000</v>
      </c>
      <c r="D13" s="184"/>
      <c r="E13" s="237">
        <v>0.4</v>
      </c>
      <c r="F13" s="184"/>
      <c r="G13" s="284">
        <f t="shared" si="4"/>
        <v>29176.83</v>
      </c>
      <c r="H13" s="284"/>
      <c r="I13" s="284">
        <f t="shared" si="5"/>
        <v>31543.68</v>
      </c>
      <c r="J13" s="284"/>
      <c r="K13" s="284">
        <f t="shared" si="0"/>
        <v>2366.8499999999985</v>
      </c>
      <c r="L13" s="184"/>
      <c r="M13" s="296">
        <f t="shared" si="1"/>
        <v>0.0811208757085673</v>
      </c>
      <c r="N13" s="184"/>
      <c r="O13" s="284">
        <f t="shared" si="6"/>
        <v>24063.32</v>
      </c>
      <c r="P13" s="284"/>
      <c r="Q13" s="284">
        <f t="shared" si="7"/>
        <v>26043.94</v>
      </c>
      <c r="R13" s="284"/>
      <c r="S13" s="284">
        <f t="shared" si="2"/>
        <v>1980.619999999999</v>
      </c>
      <c r="T13" s="184"/>
      <c r="U13" s="296">
        <f t="shared" si="3"/>
        <v>0.08230867561084665</v>
      </c>
      <c r="V13" s="184"/>
      <c r="W13" s="221" t="s">
        <v>178</v>
      </c>
      <c r="X13" s="222">
        <v>-0.9</v>
      </c>
      <c r="Y13" s="223">
        <v>-1.02</v>
      </c>
    </row>
    <row r="14" spans="1:25" ht="15">
      <c r="A14" s="297">
        <f>A13</f>
        <v>1000</v>
      </c>
      <c r="B14" s="194"/>
      <c r="C14" s="194">
        <f>A11*0.7*730</f>
        <v>511000</v>
      </c>
      <c r="D14" s="184"/>
      <c r="E14" s="237">
        <f aca="true" t="shared" si="8" ref="E14:E19">E11</f>
        <v>0.6</v>
      </c>
      <c r="F14" s="184"/>
      <c r="G14" s="284">
        <f t="shared" si="4"/>
        <v>35714.35</v>
      </c>
      <c r="H14" s="284"/>
      <c r="I14" s="284">
        <f t="shared" si="5"/>
        <v>38570.97</v>
      </c>
      <c r="J14" s="284"/>
      <c r="K14" s="284">
        <f t="shared" si="0"/>
        <v>2856.6200000000026</v>
      </c>
      <c r="L14" s="184"/>
      <c r="M14" s="296">
        <f t="shared" si="1"/>
        <v>0.07998521602661124</v>
      </c>
      <c r="N14" s="184"/>
      <c r="O14" s="284">
        <f t="shared" si="6"/>
        <v>29088.08</v>
      </c>
      <c r="P14" s="284"/>
      <c r="Q14" s="284">
        <f t="shared" si="7"/>
        <v>31445.21</v>
      </c>
      <c r="R14" s="284"/>
      <c r="S14" s="284">
        <f t="shared" si="2"/>
        <v>2357.1299999999974</v>
      </c>
      <c r="T14" s="184"/>
      <c r="U14" s="296">
        <f t="shared" si="3"/>
        <v>0.08103422432831575</v>
      </c>
      <c r="V14" s="184"/>
      <c r="W14" s="221" t="s">
        <v>188</v>
      </c>
      <c r="X14" s="286">
        <v>4.0021</v>
      </c>
      <c r="Y14" s="287">
        <v>4.5437</v>
      </c>
    </row>
    <row r="15" spans="1:25" ht="15">
      <c r="A15" s="297">
        <f>A14</f>
        <v>1000</v>
      </c>
      <c r="B15" s="194"/>
      <c r="C15" s="297">
        <f>C14</f>
        <v>511000</v>
      </c>
      <c r="D15" s="184"/>
      <c r="E15" s="237">
        <f t="shared" si="8"/>
        <v>0.5</v>
      </c>
      <c r="F15" s="184"/>
      <c r="G15" s="284">
        <f t="shared" si="4"/>
        <v>34992.66</v>
      </c>
      <c r="H15" s="284"/>
      <c r="I15" s="284">
        <f t="shared" si="5"/>
        <v>37795.2</v>
      </c>
      <c r="J15" s="284"/>
      <c r="K15" s="284">
        <f t="shared" si="0"/>
        <v>2802.5399999999936</v>
      </c>
      <c r="L15" s="184"/>
      <c r="M15" s="296">
        <f t="shared" si="1"/>
        <v>0.08008936731303051</v>
      </c>
      <c r="N15" s="184"/>
      <c r="O15" s="284">
        <f t="shared" si="6"/>
        <v>28847.72</v>
      </c>
      <c r="P15" s="284"/>
      <c r="Q15" s="284">
        <f t="shared" si="7"/>
        <v>31186.81</v>
      </c>
      <c r="R15" s="284"/>
      <c r="S15" s="284">
        <f t="shared" si="2"/>
        <v>2339.09</v>
      </c>
      <c r="T15" s="184"/>
      <c r="U15" s="296">
        <f t="shared" si="3"/>
        <v>0.08108405100992377</v>
      </c>
      <c r="V15" s="184"/>
      <c r="W15" s="221" t="s">
        <v>189</v>
      </c>
      <c r="X15" s="286">
        <v>2.6987</v>
      </c>
      <c r="Y15" s="287">
        <v>3.0639</v>
      </c>
    </row>
    <row r="16" spans="1:25" ht="15">
      <c r="A16" s="297">
        <f>A15</f>
        <v>1000</v>
      </c>
      <c r="B16" s="194"/>
      <c r="C16" s="297">
        <f>C15</f>
        <v>511000</v>
      </c>
      <c r="D16" s="184"/>
      <c r="E16" s="237">
        <f t="shared" si="8"/>
        <v>0.4</v>
      </c>
      <c r="F16" s="184"/>
      <c r="G16" s="284">
        <f t="shared" si="4"/>
        <v>34270.97</v>
      </c>
      <c r="H16" s="284"/>
      <c r="I16" s="284">
        <f t="shared" si="5"/>
        <v>37019.44</v>
      </c>
      <c r="J16" s="284"/>
      <c r="K16" s="284">
        <f t="shared" si="0"/>
        <v>2748.470000000001</v>
      </c>
      <c r="L16" s="184"/>
      <c r="M16" s="296">
        <f t="shared" si="1"/>
        <v>0.08019819689959173</v>
      </c>
      <c r="N16" s="184"/>
      <c r="O16" s="284">
        <f t="shared" si="6"/>
        <v>28607.36</v>
      </c>
      <c r="P16" s="284"/>
      <c r="Q16" s="284">
        <f t="shared" si="7"/>
        <v>30928.42</v>
      </c>
      <c r="R16" s="284"/>
      <c r="S16" s="284">
        <f t="shared" si="2"/>
        <v>2321.0599999999977</v>
      </c>
      <c r="T16" s="184"/>
      <c r="U16" s="296">
        <f t="shared" si="3"/>
        <v>0.08113506454283081</v>
      </c>
      <c r="V16" s="184"/>
      <c r="W16" s="221" t="s">
        <v>154</v>
      </c>
      <c r="X16" s="222">
        <v>50</v>
      </c>
      <c r="Y16" s="288">
        <f>X16</f>
        <v>50</v>
      </c>
    </row>
    <row r="17" spans="1:25" ht="15">
      <c r="A17" s="297">
        <f>A14</f>
        <v>1000</v>
      </c>
      <c r="B17" s="194"/>
      <c r="C17" s="194">
        <f>A11*0.9*730</f>
        <v>657000</v>
      </c>
      <c r="D17" s="184"/>
      <c r="E17" s="237">
        <f t="shared" si="8"/>
        <v>0.6</v>
      </c>
      <c r="F17" s="184"/>
      <c r="G17" s="284">
        <f t="shared" si="4"/>
        <v>41220.88</v>
      </c>
      <c r="H17" s="284"/>
      <c r="I17" s="284">
        <f t="shared" si="5"/>
        <v>44490.03</v>
      </c>
      <c r="J17" s="284"/>
      <c r="K17" s="284">
        <f t="shared" si="0"/>
        <v>3269.1500000000015</v>
      </c>
      <c r="L17" s="184"/>
      <c r="M17" s="296">
        <f t="shared" si="1"/>
        <v>0.07930810792976772</v>
      </c>
      <c r="N17" s="184"/>
      <c r="O17" s="284">
        <f t="shared" si="6"/>
        <v>33769.47</v>
      </c>
      <c r="P17" s="284"/>
      <c r="Q17" s="284">
        <f t="shared" si="7"/>
        <v>36477.35</v>
      </c>
      <c r="R17" s="284"/>
      <c r="S17" s="284">
        <f t="shared" si="2"/>
        <v>2707.8799999999974</v>
      </c>
      <c r="T17" s="184"/>
      <c r="U17" s="296">
        <f t="shared" si="3"/>
        <v>0.08018722236386888</v>
      </c>
      <c r="V17" s="184"/>
      <c r="W17" s="221" t="s">
        <v>156</v>
      </c>
      <c r="X17" s="289">
        <v>0.037</v>
      </c>
      <c r="Y17" s="290">
        <f>X17</f>
        <v>0.037</v>
      </c>
    </row>
    <row r="18" spans="1:25" ht="15">
      <c r="A18" s="297">
        <f>A15</f>
        <v>1000</v>
      </c>
      <c r="B18" s="194"/>
      <c r="C18" s="297">
        <f>C17</f>
        <v>657000</v>
      </c>
      <c r="D18" s="184"/>
      <c r="E18" s="237">
        <f t="shared" si="8"/>
        <v>0.5</v>
      </c>
      <c r="F18" s="184"/>
      <c r="G18" s="284">
        <f t="shared" si="4"/>
        <v>40292.99</v>
      </c>
      <c r="H18" s="284"/>
      <c r="I18" s="284">
        <f t="shared" si="5"/>
        <v>43492.61</v>
      </c>
      <c r="J18" s="284"/>
      <c r="K18" s="284">
        <f t="shared" si="0"/>
        <v>3199.6200000000026</v>
      </c>
      <c r="L18" s="184"/>
      <c r="M18" s="296">
        <f t="shared" si="1"/>
        <v>0.07940885002577369</v>
      </c>
      <c r="N18" s="184"/>
      <c r="O18" s="284">
        <f t="shared" si="6"/>
        <v>33460.43</v>
      </c>
      <c r="P18" s="284"/>
      <c r="Q18" s="284">
        <f t="shared" si="7"/>
        <v>36145.12</v>
      </c>
      <c r="R18" s="284"/>
      <c r="S18" s="284">
        <f t="shared" si="2"/>
        <v>2684.6900000000023</v>
      </c>
      <c r="T18" s="184"/>
      <c r="U18" s="296">
        <f t="shared" si="3"/>
        <v>0.08023477283465885</v>
      </c>
      <c r="V18" s="184"/>
      <c r="W18" s="279" t="s">
        <v>142</v>
      </c>
      <c r="X18" s="182"/>
      <c r="Y18" s="220"/>
    </row>
    <row r="19" spans="1:25" ht="15">
      <c r="A19" s="297">
        <f>A16</f>
        <v>1000</v>
      </c>
      <c r="B19" s="194"/>
      <c r="C19" s="297">
        <f>C18</f>
        <v>657000</v>
      </c>
      <c r="D19" s="184"/>
      <c r="E19" s="237">
        <f t="shared" si="8"/>
        <v>0.4</v>
      </c>
      <c r="F19" s="184"/>
      <c r="G19" s="284">
        <f t="shared" si="4"/>
        <v>39365.1</v>
      </c>
      <c r="H19" s="284"/>
      <c r="I19" s="284">
        <f t="shared" si="5"/>
        <v>42495.2</v>
      </c>
      <c r="J19" s="284"/>
      <c r="K19" s="284">
        <f t="shared" si="0"/>
        <v>3130.0999999999985</v>
      </c>
      <c r="L19" s="184"/>
      <c r="M19" s="296">
        <f t="shared" si="1"/>
        <v>0.07951459541573613</v>
      </c>
      <c r="N19" s="184"/>
      <c r="O19" s="284">
        <f t="shared" si="6"/>
        <v>33151.4</v>
      </c>
      <c r="P19" s="284"/>
      <c r="Q19" s="284">
        <f t="shared" si="7"/>
        <v>35812.9</v>
      </c>
      <c r="R19" s="284"/>
      <c r="S19" s="284">
        <f t="shared" si="2"/>
        <v>2661.5</v>
      </c>
      <c r="T19" s="184"/>
      <c r="U19" s="296">
        <f t="shared" si="3"/>
        <v>0.08028318562715309</v>
      </c>
      <c r="V19" s="184"/>
      <c r="W19" s="221" t="s">
        <v>35</v>
      </c>
      <c r="X19" s="228">
        <f>X10</f>
        <v>55</v>
      </c>
      <c r="Y19" s="229">
        <f>Y10</f>
        <v>61</v>
      </c>
    </row>
    <row r="20" spans="1:25" ht="15">
      <c r="A20" s="194"/>
      <c r="B20" s="194"/>
      <c r="C20" s="194"/>
      <c r="D20" s="184"/>
      <c r="E20" s="194"/>
      <c r="F20" s="184"/>
      <c r="G20" s="284"/>
      <c r="H20" s="284"/>
      <c r="I20" s="284"/>
      <c r="J20" s="284"/>
      <c r="K20" s="284" t="str">
        <f t="shared" si="0"/>
        <v/>
      </c>
      <c r="L20" s="184"/>
      <c r="M20" s="296" t="str">
        <f t="shared" si="1"/>
        <v/>
      </c>
      <c r="N20" s="184"/>
      <c r="O20" s="284"/>
      <c r="P20" s="284"/>
      <c r="Q20" s="284"/>
      <c r="R20" s="284"/>
      <c r="S20" s="284" t="str">
        <f t="shared" si="2"/>
        <v/>
      </c>
      <c r="T20" s="184"/>
      <c r="U20" s="296" t="str">
        <f t="shared" si="3"/>
        <v/>
      </c>
      <c r="V20" s="184"/>
      <c r="W20" s="221" t="s">
        <v>186</v>
      </c>
      <c r="X20" s="228">
        <f>X11</f>
        <v>3.77</v>
      </c>
      <c r="Y20" s="229">
        <f>Y11</f>
        <v>4.28</v>
      </c>
    </row>
    <row r="21" spans="1:25" ht="15">
      <c r="A21" s="194">
        <v>2000</v>
      </c>
      <c r="B21" s="194"/>
      <c r="C21" s="194">
        <f>A21*0.5*730</f>
        <v>730000</v>
      </c>
      <c r="D21" s="184"/>
      <c r="E21" s="237">
        <v>0.6</v>
      </c>
      <c r="F21" s="184"/>
      <c r="G21" s="284">
        <f aca="true" t="shared" si="9" ref="G21:G29">ROUND(($X$10+(($X$12*(1+$X$32)+$X$11+$X$13)*$A21+($X$14*$E21+$X$15*(1-$E21))/100*$C21*(1+$X$32))*(1+$X$17))+$X$16,2)</f>
        <v>60310.65</v>
      </c>
      <c r="H21" s="284"/>
      <c r="I21" s="284">
        <f aca="true" t="shared" si="10" ref="I21:I29">ROUND(($Y$10+(($Y$12*(1+$Y$32)+$Y$11+$Y$13)*$A21+($Y$14*$E21+$Y$15*(1-$E21))/100*$C21*(1+$Y$32))*(1+$Y$17))+$Y$16,2)</f>
        <v>65192.83</v>
      </c>
      <c r="J21" s="284"/>
      <c r="K21" s="284">
        <f t="shared" si="0"/>
        <v>4882.18</v>
      </c>
      <c r="L21" s="184"/>
      <c r="M21" s="296">
        <f t="shared" si="1"/>
        <v>0.08095054521879641</v>
      </c>
      <c r="N21" s="184"/>
      <c r="O21" s="284">
        <f>ROUND(($X$19+(($X$21*(1+$X$32)+$X$20+$X$22)*$A21+($X$23*$E21+$X$24*(1-$E21))/100*$C21*(1+$X$32))*(1+$X$26))+$X$25,2)</f>
        <v>48708.38</v>
      </c>
      <c r="P21" s="284"/>
      <c r="Q21" s="284">
        <f aca="true" t="shared" si="11" ref="Q21:Q29">ROUND(($Y$19+(($Y$21*(1+$Y$32)+$Y$20+$Y$22)*$A21+($Y$23*$E21+$Y$24*(1-$E21))/100*$C21*(1+$Y$32))*(1+$Y$26))+$Y$25,2)</f>
        <v>52715.15</v>
      </c>
      <c r="R21" s="284"/>
      <c r="S21" s="284">
        <f t="shared" si="2"/>
        <v>4006.770000000004</v>
      </c>
      <c r="T21" s="184"/>
      <c r="U21" s="296">
        <f t="shared" si="3"/>
        <v>0.0822603831209332</v>
      </c>
      <c r="V21" s="184"/>
      <c r="W21" s="221" t="s">
        <v>187</v>
      </c>
      <c r="X21" s="222">
        <v>8.88</v>
      </c>
      <c r="Y21" s="223">
        <v>10.08</v>
      </c>
    </row>
    <row r="22" spans="1:25" ht="15">
      <c r="A22" s="297">
        <f>A21</f>
        <v>2000</v>
      </c>
      <c r="B22" s="194"/>
      <c r="C22" s="297">
        <f>C21</f>
        <v>730000</v>
      </c>
      <c r="D22" s="184"/>
      <c r="E22" s="237">
        <v>0.5</v>
      </c>
      <c r="F22" s="184"/>
      <c r="G22" s="284">
        <f t="shared" si="9"/>
        <v>59279.66</v>
      </c>
      <c r="H22" s="284"/>
      <c r="I22" s="284">
        <f t="shared" si="10"/>
        <v>64084.59</v>
      </c>
      <c r="J22" s="284"/>
      <c r="K22" s="284">
        <f t="shared" si="0"/>
        <v>4804.929999999993</v>
      </c>
      <c r="L22" s="184"/>
      <c r="M22" s="296">
        <f t="shared" si="1"/>
        <v>0.08105528945341445</v>
      </c>
      <c r="N22" s="184"/>
      <c r="O22" s="284">
        <f aca="true" t="shared" si="12" ref="O22:O29">ROUND(($X$19+(($X$21*(1+$X$32)+$X$20+$X$22)*$A22+($X$23*$E22+$X$24*(1-$E22))/100*$C22*(1+$X$32))*(1+$X$26))+$X$25,2)</f>
        <v>48365</v>
      </c>
      <c r="P22" s="284"/>
      <c r="Q22" s="284">
        <f t="shared" si="11"/>
        <v>52346.01</v>
      </c>
      <c r="R22" s="284"/>
      <c r="S22" s="284">
        <f t="shared" si="2"/>
        <v>3981.010000000002</v>
      </c>
      <c r="T22" s="184"/>
      <c r="U22" s="296">
        <f t="shared" si="3"/>
        <v>0.08231179572004543</v>
      </c>
      <c r="V22" s="184"/>
      <c r="W22" s="221" t="s">
        <v>178</v>
      </c>
      <c r="X22" s="228">
        <f>X13</f>
        <v>-0.9</v>
      </c>
      <c r="Y22" s="229">
        <f>Y13</f>
        <v>-1.02</v>
      </c>
    </row>
    <row r="23" spans="1:25" ht="15">
      <c r="A23" s="297">
        <f>A22</f>
        <v>2000</v>
      </c>
      <c r="B23" s="194"/>
      <c r="C23" s="297">
        <f>C22</f>
        <v>730000</v>
      </c>
      <c r="D23" s="184"/>
      <c r="E23" s="237">
        <v>0.4</v>
      </c>
      <c r="F23" s="184"/>
      <c r="G23" s="284">
        <f t="shared" si="9"/>
        <v>58248.67</v>
      </c>
      <c r="H23" s="284"/>
      <c r="I23" s="284">
        <f t="shared" si="10"/>
        <v>62976.36</v>
      </c>
      <c r="J23" s="284"/>
      <c r="K23" s="284">
        <f t="shared" si="0"/>
        <v>4727.690000000002</v>
      </c>
      <c r="L23" s="184"/>
      <c r="M23" s="296">
        <f t="shared" si="1"/>
        <v>0.08116391327046624</v>
      </c>
      <c r="N23" s="184"/>
      <c r="O23" s="284">
        <f t="shared" si="12"/>
        <v>48021.63</v>
      </c>
      <c r="P23" s="284"/>
      <c r="Q23" s="284">
        <f t="shared" si="11"/>
        <v>51976.87</v>
      </c>
      <c r="R23" s="284"/>
      <c r="S23" s="284">
        <f t="shared" si="2"/>
        <v>3955.2400000000052</v>
      </c>
      <c r="T23" s="184"/>
      <c r="U23" s="296">
        <f t="shared" si="3"/>
        <v>0.0823637181828274</v>
      </c>
      <c r="V23" s="184"/>
      <c r="W23" s="221" t="s">
        <v>188</v>
      </c>
      <c r="X23" s="286">
        <v>3.1328</v>
      </c>
      <c r="Y23" s="287">
        <v>3.5568</v>
      </c>
    </row>
    <row r="24" spans="1:25" ht="15">
      <c r="A24" s="297">
        <f>A23</f>
        <v>2000</v>
      </c>
      <c r="B24" s="194"/>
      <c r="C24" s="194">
        <f>A21*0.7*730</f>
        <v>1022000</v>
      </c>
      <c r="D24" s="184"/>
      <c r="E24" s="237">
        <f aca="true" t="shared" si="13" ref="E24:E29">E21</f>
        <v>0.6</v>
      </c>
      <c r="F24" s="184"/>
      <c r="G24" s="284">
        <f t="shared" si="9"/>
        <v>71323.7</v>
      </c>
      <c r="H24" s="284"/>
      <c r="I24" s="284">
        <f t="shared" si="10"/>
        <v>77030.94</v>
      </c>
      <c r="J24" s="284"/>
      <c r="K24" s="284">
        <f t="shared" si="0"/>
        <v>5707.240000000005</v>
      </c>
      <c r="L24" s="184"/>
      <c r="M24" s="296">
        <f t="shared" si="1"/>
        <v>0.08001884366627099</v>
      </c>
      <c r="N24" s="184"/>
      <c r="O24" s="284">
        <f>ROUND(($X$19+(($X$21*(1+$X$32)+$X$20+$X$22)*$A24+($X$23*$E24+$X$24*(1-$E24))/100*$C24*(1+$X$32))*(1+$X$26))+$X$25,2)</f>
        <v>58071.16</v>
      </c>
      <c r="P24" s="284"/>
      <c r="Q24" s="284">
        <f t="shared" si="11"/>
        <v>62779.42</v>
      </c>
      <c r="R24" s="284"/>
      <c r="S24" s="284">
        <f t="shared" si="2"/>
        <v>4708.259999999995</v>
      </c>
      <c r="T24" s="184"/>
      <c r="U24" s="296">
        <f t="shared" si="3"/>
        <v>0.08107742294109488</v>
      </c>
      <c r="V24" s="184"/>
      <c r="W24" s="221" t="s">
        <v>189</v>
      </c>
      <c r="X24" s="286">
        <v>2.6987</v>
      </c>
      <c r="Y24" s="298">
        <f>Y15</f>
        <v>3.0639</v>
      </c>
    </row>
    <row r="25" spans="1:25" ht="15">
      <c r="A25" s="297">
        <f>A24</f>
        <v>2000</v>
      </c>
      <c r="B25" s="194"/>
      <c r="C25" s="297">
        <f>C24</f>
        <v>1022000</v>
      </c>
      <c r="D25" s="184"/>
      <c r="E25" s="237">
        <f t="shared" si="13"/>
        <v>0.5</v>
      </c>
      <c r="F25" s="184"/>
      <c r="G25" s="284">
        <f t="shared" si="9"/>
        <v>69880.32</v>
      </c>
      <c r="H25" s="284"/>
      <c r="I25" s="284">
        <f t="shared" si="10"/>
        <v>75479.41</v>
      </c>
      <c r="J25" s="284"/>
      <c r="K25" s="284">
        <f t="shared" si="0"/>
        <v>5599.0899999999965</v>
      </c>
      <c r="L25" s="184"/>
      <c r="M25" s="296">
        <f t="shared" si="1"/>
        <v>0.08012398912884189</v>
      </c>
      <c r="N25" s="184"/>
      <c r="O25" s="284">
        <f t="shared" si="12"/>
        <v>57590.43</v>
      </c>
      <c r="P25" s="284"/>
      <c r="Q25" s="284">
        <f t="shared" si="11"/>
        <v>62262.63</v>
      </c>
      <c r="R25" s="284"/>
      <c r="S25" s="284">
        <f t="shared" si="2"/>
        <v>4672.199999999997</v>
      </c>
      <c r="T25" s="184"/>
      <c r="U25" s="296">
        <f t="shared" si="3"/>
        <v>0.08112806242287118</v>
      </c>
      <c r="V25" s="184"/>
      <c r="W25" s="221" t="s">
        <v>154</v>
      </c>
      <c r="X25" s="228">
        <f>X16</f>
        <v>50</v>
      </c>
      <c r="Y25" s="229">
        <f>Y16</f>
        <v>50</v>
      </c>
    </row>
    <row r="26" spans="1:25" ht="15">
      <c r="A26" s="297">
        <f>A25</f>
        <v>2000</v>
      </c>
      <c r="B26" s="194"/>
      <c r="C26" s="297">
        <f>C25</f>
        <v>1022000</v>
      </c>
      <c r="D26" s="184"/>
      <c r="E26" s="237">
        <f t="shared" si="13"/>
        <v>0.4</v>
      </c>
      <c r="F26" s="184"/>
      <c r="G26" s="284">
        <f t="shared" si="9"/>
        <v>68436.93</v>
      </c>
      <c r="H26" s="284"/>
      <c r="I26" s="284">
        <f t="shared" si="10"/>
        <v>73927.88</v>
      </c>
      <c r="J26" s="284"/>
      <c r="K26" s="284">
        <f t="shared" si="0"/>
        <v>5490.950000000012</v>
      </c>
      <c r="L26" s="184"/>
      <c r="M26" s="296">
        <f t="shared" si="1"/>
        <v>0.08023372760876346</v>
      </c>
      <c r="N26" s="184"/>
      <c r="O26" s="284">
        <f t="shared" si="12"/>
        <v>57109.71</v>
      </c>
      <c r="P26" s="284"/>
      <c r="Q26" s="284">
        <f t="shared" si="11"/>
        <v>61745.83</v>
      </c>
      <c r="R26" s="284"/>
      <c r="S26" s="284">
        <f t="shared" si="2"/>
        <v>4636.120000000003</v>
      </c>
      <c r="T26" s="184"/>
      <c r="U26" s="296">
        <f t="shared" si="3"/>
        <v>0.08117919001865004</v>
      </c>
      <c r="V26" s="184"/>
      <c r="W26" s="232" t="s">
        <v>156</v>
      </c>
      <c r="X26" s="291">
        <f>X17</f>
        <v>0.037</v>
      </c>
      <c r="Y26" s="292">
        <f>Y17</f>
        <v>0.037</v>
      </c>
    </row>
    <row r="27" spans="1:25" ht="15">
      <c r="A27" s="297">
        <f>A24</f>
        <v>2000</v>
      </c>
      <c r="B27" s="194"/>
      <c r="C27" s="194">
        <f>A21*0.9*730</f>
        <v>1314000</v>
      </c>
      <c r="D27" s="184"/>
      <c r="E27" s="237">
        <f t="shared" si="13"/>
        <v>0.6</v>
      </c>
      <c r="F27" s="184"/>
      <c r="G27" s="284">
        <f t="shared" si="9"/>
        <v>82336.76</v>
      </c>
      <c r="H27" s="284"/>
      <c r="I27" s="284">
        <f t="shared" si="10"/>
        <v>88869.05</v>
      </c>
      <c r="J27" s="284"/>
      <c r="K27" s="284">
        <f t="shared" si="0"/>
        <v>6532.290000000008</v>
      </c>
      <c r="L27" s="184"/>
      <c r="M27" s="296">
        <f t="shared" si="1"/>
        <v>0.07933625272599998</v>
      </c>
      <c r="N27" s="184"/>
      <c r="O27" s="284">
        <f t="shared" si="12"/>
        <v>67433.94</v>
      </c>
      <c r="P27" s="284"/>
      <c r="Q27" s="284">
        <f t="shared" si="11"/>
        <v>72843.69</v>
      </c>
      <c r="R27" s="284"/>
      <c r="S27" s="284">
        <f t="shared" si="2"/>
        <v>5409.75</v>
      </c>
      <c r="T27" s="184"/>
      <c r="U27" s="296">
        <f t="shared" si="3"/>
        <v>0.08022295597736084</v>
      </c>
      <c r="V27" s="184"/>
      <c r="W27" s="184"/>
      <c r="X27" s="184"/>
      <c r="Y27" s="184"/>
    </row>
    <row r="28" spans="1:25" ht="15">
      <c r="A28" s="297">
        <f>A25</f>
        <v>2000</v>
      </c>
      <c r="B28" s="194"/>
      <c r="C28" s="297">
        <f>C27</f>
        <v>1314000</v>
      </c>
      <c r="D28" s="184"/>
      <c r="E28" s="237">
        <f t="shared" si="13"/>
        <v>0.5</v>
      </c>
      <c r="F28" s="184"/>
      <c r="G28" s="284">
        <f t="shared" si="9"/>
        <v>80480.98</v>
      </c>
      <c r="H28" s="284"/>
      <c r="I28" s="284">
        <f t="shared" si="10"/>
        <v>86874.22</v>
      </c>
      <c r="J28" s="284"/>
      <c r="K28" s="284">
        <f t="shared" si="0"/>
        <v>6393.240000000005</v>
      </c>
      <c r="L28" s="184"/>
      <c r="M28" s="296">
        <f t="shared" si="1"/>
        <v>0.07943789948879854</v>
      </c>
      <c r="N28" s="184"/>
      <c r="O28" s="284">
        <f t="shared" si="12"/>
        <v>66815.86</v>
      </c>
      <c r="P28" s="284"/>
      <c r="Q28" s="284">
        <f t="shared" si="11"/>
        <v>72179.24</v>
      </c>
      <c r="R28" s="284"/>
      <c r="S28" s="284">
        <f t="shared" si="2"/>
        <v>5363.380000000005</v>
      </c>
      <c r="T28" s="184"/>
      <c r="U28" s="296">
        <f t="shared" si="3"/>
        <v>0.08027106139171147</v>
      </c>
      <c r="V28" s="184"/>
      <c r="W28" s="184" t="s">
        <v>158</v>
      </c>
      <c r="X28" s="184"/>
      <c r="Y28" s="236">
        <f>'[1]Exhibit RMP-(WRG-1)'!S24</f>
        <v>0.1457654315095987</v>
      </c>
    </row>
    <row r="29" spans="1:25" ht="15">
      <c r="A29" s="297">
        <f>A26</f>
        <v>2000</v>
      </c>
      <c r="B29" s="194"/>
      <c r="C29" s="297">
        <f>C28</f>
        <v>1314000</v>
      </c>
      <c r="D29" s="184"/>
      <c r="E29" s="237">
        <f t="shared" si="13"/>
        <v>0.4</v>
      </c>
      <c r="F29" s="184"/>
      <c r="G29" s="284">
        <f t="shared" si="9"/>
        <v>78625.2</v>
      </c>
      <c r="H29" s="284"/>
      <c r="I29" s="284">
        <f t="shared" si="10"/>
        <v>84879.4</v>
      </c>
      <c r="J29" s="284"/>
      <c r="K29" s="284">
        <f t="shared" si="0"/>
        <v>6254.199999999997</v>
      </c>
      <c r="L29" s="184"/>
      <c r="M29" s="296">
        <f t="shared" si="1"/>
        <v>0.07954447174697177</v>
      </c>
      <c r="N29" s="184"/>
      <c r="O29" s="284">
        <f t="shared" si="12"/>
        <v>66197.79</v>
      </c>
      <c r="P29" s="284"/>
      <c r="Q29" s="284">
        <f t="shared" si="11"/>
        <v>71514.79</v>
      </c>
      <c r="R29" s="284"/>
      <c r="S29" s="284">
        <f t="shared" si="2"/>
        <v>5317</v>
      </c>
      <c r="T29" s="184"/>
      <c r="U29" s="296">
        <f t="shared" si="3"/>
        <v>0.08031990191817573</v>
      </c>
      <c r="V29" s="184"/>
      <c r="W29" s="184" t="s">
        <v>134</v>
      </c>
      <c r="X29" s="235">
        <v>0.0556</v>
      </c>
      <c r="Y29" s="184">
        <v>0</v>
      </c>
    </row>
    <row r="30" spans="1:25" ht="15">
      <c r="A30" s="194"/>
      <c r="B30" s="194"/>
      <c r="C30" s="194"/>
      <c r="D30" s="184"/>
      <c r="E30" s="194"/>
      <c r="F30" s="184"/>
      <c r="G30" s="284"/>
      <c r="H30" s="284"/>
      <c r="I30" s="284"/>
      <c r="J30" s="284"/>
      <c r="K30" s="284" t="str">
        <f t="shared" si="0"/>
        <v/>
      </c>
      <c r="L30" s="184"/>
      <c r="M30" s="296" t="str">
        <f t="shared" si="1"/>
        <v/>
      </c>
      <c r="N30" s="184"/>
      <c r="O30" s="284"/>
      <c r="P30" s="284"/>
      <c r="Q30" s="284"/>
      <c r="R30" s="284"/>
      <c r="S30" s="284" t="str">
        <f t="shared" si="2"/>
        <v/>
      </c>
      <c r="T30" s="184"/>
      <c r="U30" s="296" t="str">
        <f t="shared" si="3"/>
        <v/>
      </c>
      <c r="V30" s="184"/>
      <c r="W30" s="184" t="s">
        <v>159</v>
      </c>
      <c r="X30" s="235">
        <v>0.0205</v>
      </c>
      <c r="Y30" s="236">
        <f>X30</f>
        <v>0.0205</v>
      </c>
    </row>
    <row r="31" spans="1:25" ht="15">
      <c r="A31" s="194">
        <v>4000</v>
      </c>
      <c r="B31" s="194"/>
      <c r="C31" s="194">
        <f>A31*0.5*730</f>
        <v>1460000</v>
      </c>
      <c r="D31" s="184"/>
      <c r="E31" s="237">
        <v>0.6</v>
      </c>
      <c r="F31" s="184"/>
      <c r="G31" s="284">
        <f>ROUND(($X$10+(($X$12*(1+$X$32)+$X$11+$X$13)*$A31+($X$14*$E31+$X$15*(1-$E31))/100*$C31*(1+$X$32))*(1+$X$17))+$X$16,2)</f>
        <v>120516.29</v>
      </c>
      <c r="H31" s="284"/>
      <c r="I31" s="284">
        <f aca="true" t="shared" si="14" ref="I31:I59">ROUND(($Y$10+(($Y$12*(1+$Y$32)+$Y$11+$Y$13)*$A31+($Y$14*$E31+$Y$15*(1-$E31))/100*$C31*(1+$Y$32))*(1+$Y$17))+$Y$16,2)</f>
        <v>130274.66</v>
      </c>
      <c r="J31" s="284"/>
      <c r="K31" s="284">
        <f t="shared" si="0"/>
        <v>9758.37000000001</v>
      </c>
      <c r="L31" s="184"/>
      <c r="M31" s="296">
        <f t="shared" si="1"/>
        <v>0.08097137739636695</v>
      </c>
      <c r="N31" s="184"/>
      <c r="O31" s="284">
        <f aca="true" t="shared" si="15" ref="O31:O39">ROUND(($X$19+(($X$21*(1+$X$32)+$X$20+$X$22)*$A31+($X$23*$E31+$X$24*(1-$E31))/100*$C31*(1+$X$32))*(1+$X$26))+$X$25,2)</f>
        <v>97311.75</v>
      </c>
      <c r="P31" s="284"/>
      <c r="Q31" s="284">
        <f aca="true" t="shared" si="16" ref="Q31:Q39">ROUND(($Y$19+(($Y$21*(1+$Y$32)+$Y$20+$Y$22)*$A31+($Y$23*$E31+$Y$24*(1-$E31))/100*$C31*(1+$Y$32))*(1+$Y$26))+$Y$25,2)</f>
        <v>105319.29</v>
      </c>
      <c r="R31" s="284"/>
      <c r="S31" s="284">
        <f t="shared" si="2"/>
        <v>8007.539999999994</v>
      </c>
      <c r="T31" s="184"/>
      <c r="U31" s="296">
        <f t="shared" si="3"/>
        <v>0.08228749354522957</v>
      </c>
      <c r="V31" s="184"/>
      <c r="W31" s="184" t="s">
        <v>160</v>
      </c>
      <c r="X31" s="235">
        <v>-0.0312</v>
      </c>
      <c r="Y31" s="236">
        <f>X31</f>
        <v>-0.0312</v>
      </c>
    </row>
    <row r="32" spans="1:25" ht="15">
      <c r="A32" s="297">
        <f>A31</f>
        <v>4000</v>
      </c>
      <c r="B32" s="194"/>
      <c r="C32" s="297">
        <f>C31</f>
        <v>1460000</v>
      </c>
      <c r="D32" s="184"/>
      <c r="E32" s="237">
        <v>0.5</v>
      </c>
      <c r="F32" s="184"/>
      <c r="G32" s="284">
        <f aca="true" t="shared" si="17" ref="G32:G59">ROUND(($X$10+(($X$12*(1+$X$32)+$X$11+$X$13)*$A32+($X$14*$E32+$X$15*(1-$E32))/100*$C32*(1+$X$32))*(1+$X$17))+$X$16,2)</f>
        <v>118454.31</v>
      </c>
      <c r="H32" s="284"/>
      <c r="I32" s="284">
        <f t="shared" si="14"/>
        <v>128058.19</v>
      </c>
      <c r="J32" s="284"/>
      <c r="K32" s="284">
        <f t="shared" si="0"/>
        <v>9603.880000000005</v>
      </c>
      <c r="L32" s="184"/>
      <c r="M32" s="296">
        <f t="shared" si="1"/>
        <v>0.08107666154148374</v>
      </c>
      <c r="N32" s="184"/>
      <c r="O32" s="284">
        <f t="shared" si="15"/>
        <v>96625.01</v>
      </c>
      <c r="P32" s="284"/>
      <c r="Q32" s="284">
        <f t="shared" si="16"/>
        <v>104581.02</v>
      </c>
      <c r="R32" s="284"/>
      <c r="S32" s="284">
        <f t="shared" si="2"/>
        <v>7956.010000000009</v>
      </c>
      <c r="T32" s="184"/>
      <c r="U32" s="296">
        <f t="shared" si="3"/>
        <v>0.08233903416931088</v>
      </c>
      <c r="V32" s="184"/>
      <c r="W32" s="182" t="s">
        <v>161</v>
      </c>
      <c r="X32" s="235">
        <f>SUM(X29:X31)</f>
        <v>0.0449</v>
      </c>
      <c r="Y32" s="236">
        <f>SUM(Y29:Y31)</f>
        <v>-0.010699999999999998</v>
      </c>
    </row>
    <row r="33" spans="1:25" ht="15">
      <c r="A33" s="297">
        <f>A32</f>
        <v>4000</v>
      </c>
      <c r="B33" s="194"/>
      <c r="C33" s="297">
        <f>C32</f>
        <v>1460000</v>
      </c>
      <c r="D33" s="184"/>
      <c r="E33" s="237">
        <v>0.4</v>
      </c>
      <c r="F33" s="184"/>
      <c r="G33" s="284">
        <f t="shared" si="17"/>
        <v>116392.34</v>
      </c>
      <c r="H33" s="284"/>
      <c r="I33" s="284">
        <f t="shared" si="14"/>
        <v>125841.71</v>
      </c>
      <c r="J33" s="284"/>
      <c r="K33" s="284">
        <f t="shared" si="0"/>
        <v>9449.37000000001</v>
      </c>
      <c r="L33" s="184"/>
      <c r="M33" s="296">
        <f t="shared" si="1"/>
        <v>0.08118549725866853</v>
      </c>
      <c r="N33" s="184"/>
      <c r="O33" s="284">
        <f t="shared" si="15"/>
        <v>95938.26</v>
      </c>
      <c r="P33" s="284"/>
      <c r="Q33" s="284">
        <f t="shared" si="16"/>
        <v>103842.74</v>
      </c>
      <c r="R33" s="284"/>
      <c r="S33" s="284">
        <f t="shared" si="2"/>
        <v>7904.4800000000105</v>
      </c>
      <c r="T33" s="184"/>
      <c r="U33" s="296">
        <f t="shared" si="3"/>
        <v>0.08239132125181348</v>
      </c>
      <c r="V33" s="184"/>
      <c r="W33" s="184"/>
      <c r="X33" s="184"/>
      <c r="Y33" s="184"/>
    </row>
    <row r="34" spans="1:25" ht="15">
      <c r="A34" s="297">
        <f>A33</f>
        <v>4000</v>
      </c>
      <c r="B34" s="194"/>
      <c r="C34" s="194">
        <f>A31*0.7*730</f>
        <v>2044000</v>
      </c>
      <c r="D34" s="184"/>
      <c r="E34" s="237">
        <f aca="true" t="shared" si="18" ref="E34:E39">E31</f>
        <v>0.6</v>
      </c>
      <c r="F34" s="184"/>
      <c r="G34" s="284">
        <f t="shared" si="17"/>
        <v>142542.41</v>
      </c>
      <c r="H34" s="284"/>
      <c r="I34" s="284">
        <f t="shared" si="14"/>
        <v>153950.88</v>
      </c>
      <c r="J34" s="284"/>
      <c r="K34" s="284">
        <f t="shared" si="0"/>
        <v>11408.470000000001</v>
      </c>
      <c r="L34" s="184"/>
      <c r="M34" s="296">
        <f t="shared" si="1"/>
        <v>0.08003561887300759</v>
      </c>
      <c r="N34" s="184"/>
      <c r="O34" s="284">
        <f t="shared" si="15"/>
        <v>116037.31</v>
      </c>
      <c r="P34" s="284"/>
      <c r="Q34" s="284">
        <f t="shared" si="16"/>
        <v>125447.84</v>
      </c>
      <c r="R34" s="284"/>
      <c r="S34" s="284">
        <f t="shared" si="2"/>
        <v>9410.529999999999</v>
      </c>
      <c r="T34" s="184"/>
      <c r="U34" s="296">
        <f t="shared" si="3"/>
        <v>0.08109917405013944</v>
      </c>
      <c r="V34" s="184"/>
      <c r="W34" s="184"/>
      <c r="X34" s="184"/>
      <c r="Y34" s="184"/>
    </row>
    <row r="35" spans="1:25" ht="15">
      <c r="A35" s="297">
        <f>A34</f>
        <v>4000</v>
      </c>
      <c r="B35" s="194"/>
      <c r="C35" s="297">
        <f>C34</f>
        <v>2044000</v>
      </c>
      <c r="D35" s="184"/>
      <c r="E35" s="237">
        <f t="shared" si="18"/>
        <v>0.5</v>
      </c>
      <c r="F35" s="184"/>
      <c r="G35" s="284">
        <f t="shared" si="17"/>
        <v>139655.64</v>
      </c>
      <c r="H35" s="284"/>
      <c r="I35" s="284">
        <f t="shared" si="14"/>
        <v>150847.82</v>
      </c>
      <c r="J35" s="284"/>
      <c r="K35" s="284">
        <f t="shared" si="0"/>
        <v>11192.179999999993</v>
      </c>
      <c r="L35" s="184"/>
      <c r="M35" s="296">
        <f t="shared" si="1"/>
        <v>0.08014126747763273</v>
      </c>
      <c r="N35" s="184"/>
      <c r="O35" s="284">
        <f t="shared" si="15"/>
        <v>115075.87</v>
      </c>
      <c r="P35" s="284"/>
      <c r="Q35" s="284">
        <f t="shared" si="16"/>
        <v>124414.25</v>
      </c>
      <c r="R35" s="284"/>
      <c r="S35" s="284">
        <f t="shared" si="2"/>
        <v>9338.380000000005</v>
      </c>
      <c r="T35" s="184"/>
      <c r="U35" s="296">
        <f t="shared" si="3"/>
        <v>0.08114976667132745</v>
      </c>
      <c r="V35" s="184"/>
      <c r="W35" s="184"/>
      <c r="X35" s="184"/>
      <c r="Y35" s="184"/>
    </row>
    <row r="36" spans="1:25" ht="15">
      <c r="A36" s="297">
        <f>A35</f>
        <v>4000</v>
      </c>
      <c r="B36" s="194"/>
      <c r="C36" s="297">
        <f>C35</f>
        <v>2044000</v>
      </c>
      <c r="D36" s="184"/>
      <c r="E36" s="237">
        <f t="shared" si="18"/>
        <v>0.4</v>
      </c>
      <c r="F36" s="184"/>
      <c r="G36" s="284">
        <f t="shared" si="17"/>
        <v>136768.87</v>
      </c>
      <c r="H36" s="284"/>
      <c r="I36" s="284">
        <f t="shared" si="14"/>
        <v>147744.75</v>
      </c>
      <c r="J36" s="284"/>
      <c r="K36" s="284">
        <f t="shared" si="0"/>
        <v>10975.880000000005</v>
      </c>
      <c r="L36" s="184"/>
      <c r="M36" s="296">
        <f t="shared" si="1"/>
        <v>0.08025130280011816</v>
      </c>
      <c r="N36" s="184"/>
      <c r="O36" s="284">
        <f t="shared" si="15"/>
        <v>114114.42</v>
      </c>
      <c r="P36" s="284"/>
      <c r="Q36" s="284">
        <f t="shared" si="16"/>
        <v>123380.67</v>
      </c>
      <c r="R36" s="284"/>
      <c r="S36" s="284">
        <f t="shared" si="2"/>
        <v>9266.25</v>
      </c>
      <c r="T36" s="184"/>
      <c r="U36" s="296">
        <f t="shared" si="3"/>
        <v>0.08120139417963124</v>
      </c>
      <c r="V36" s="184"/>
      <c r="W36" s="184"/>
      <c r="X36" s="184"/>
      <c r="Y36" s="184"/>
    </row>
    <row r="37" spans="1:25" ht="15">
      <c r="A37" s="297">
        <f>A34</f>
        <v>4000</v>
      </c>
      <c r="B37" s="194"/>
      <c r="C37" s="194">
        <f>A31*0.9*730</f>
        <v>2628000</v>
      </c>
      <c r="D37" s="184"/>
      <c r="E37" s="237">
        <f t="shared" si="18"/>
        <v>0.6</v>
      </c>
      <c r="F37" s="184"/>
      <c r="G37" s="284">
        <f t="shared" si="17"/>
        <v>164568.52</v>
      </c>
      <c r="H37" s="284"/>
      <c r="I37" s="284">
        <f t="shared" si="14"/>
        <v>177627.1</v>
      </c>
      <c r="J37" s="284"/>
      <c r="K37" s="284">
        <f t="shared" si="0"/>
        <v>13058.580000000016</v>
      </c>
      <c r="L37" s="184"/>
      <c r="M37" s="296">
        <f t="shared" si="1"/>
        <v>0.07935041282500466</v>
      </c>
      <c r="N37" s="184"/>
      <c r="O37" s="284">
        <f t="shared" si="15"/>
        <v>134762.87</v>
      </c>
      <c r="P37" s="284"/>
      <c r="Q37" s="284">
        <f t="shared" si="16"/>
        <v>145576.38</v>
      </c>
      <c r="R37" s="284"/>
      <c r="S37" s="284">
        <f t="shared" si="2"/>
        <v>10813.51000000001</v>
      </c>
      <c r="T37" s="184"/>
      <c r="U37" s="296">
        <f t="shared" si="3"/>
        <v>0.08024101890973379</v>
      </c>
      <c r="V37" s="184"/>
      <c r="W37" s="184"/>
      <c r="X37" s="184"/>
      <c r="Y37" s="184"/>
    </row>
    <row r="38" spans="1:25" ht="15">
      <c r="A38" s="297">
        <f>A35</f>
        <v>4000</v>
      </c>
      <c r="B38" s="194"/>
      <c r="C38" s="297">
        <f>C37</f>
        <v>2628000</v>
      </c>
      <c r="D38" s="184"/>
      <c r="E38" s="237">
        <f t="shared" si="18"/>
        <v>0.5</v>
      </c>
      <c r="F38" s="184"/>
      <c r="G38" s="284">
        <f t="shared" si="17"/>
        <v>160856.96</v>
      </c>
      <c r="H38" s="284"/>
      <c r="I38" s="284">
        <f t="shared" si="14"/>
        <v>173637.45</v>
      </c>
      <c r="J38" s="284"/>
      <c r="K38" s="284">
        <f t="shared" si="0"/>
        <v>12780.49000000002</v>
      </c>
      <c r="L38" s="184"/>
      <c r="M38" s="296">
        <f t="shared" si="1"/>
        <v>0.07945251483056759</v>
      </c>
      <c r="N38" s="184"/>
      <c r="O38" s="284">
        <f t="shared" si="15"/>
        <v>133526.73</v>
      </c>
      <c r="P38" s="284"/>
      <c r="Q38" s="284">
        <f t="shared" si="16"/>
        <v>144247.48</v>
      </c>
      <c r="R38" s="284"/>
      <c r="S38" s="284">
        <f t="shared" si="2"/>
        <v>10720.75</v>
      </c>
      <c r="T38" s="184"/>
      <c r="U38" s="296">
        <f t="shared" si="3"/>
        <v>0.0802891675696693</v>
      </c>
      <c r="V38" s="184"/>
      <c r="W38" s="184"/>
      <c r="X38" s="184"/>
      <c r="Y38" s="184"/>
    </row>
    <row r="39" spans="1:25" ht="15">
      <c r="A39" s="297">
        <f>A36</f>
        <v>4000</v>
      </c>
      <c r="B39" s="194"/>
      <c r="C39" s="297">
        <f>C38</f>
        <v>2628000</v>
      </c>
      <c r="D39" s="184"/>
      <c r="E39" s="237">
        <f t="shared" si="18"/>
        <v>0.4</v>
      </c>
      <c r="F39" s="184"/>
      <c r="G39" s="284">
        <f t="shared" si="17"/>
        <v>157145.4</v>
      </c>
      <c r="H39" s="284"/>
      <c r="I39" s="284">
        <f t="shared" si="14"/>
        <v>169647.79</v>
      </c>
      <c r="J39" s="284"/>
      <c r="K39" s="284">
        <f t="shared" si="0"/>
        <v>12502.390000000014</v>
      </c>
      <c r="L39" s="184"/>
      <c r="M39" s="296">
        <f t="shared" si="1"/>
        <v>0.07955937622100295</v>
      </c>
      <c r="N39" s="184"/>
      <c r="O39" s="284">
        <f t="shared" si="15"/>
        <v>132290.59</v>
      </c>
      <c r="P39" s="284"/>
      <c r="Q39" s="284">
        <f t="shared" si="16"/>
        <v>142918.59</v>
      </c>
      <c r="R39" s="284"/>
      <c r="S39" s="284">
        <f t="shared" si="2"/>
        <v>10628</v>
      </c>
      <c r="T39" s="184"/>
      <c r="U39" s="296">
        <f t="shared" si="3"/>
        <v>0.08033829163510431</v>
      </c>
      <c r="V39" s="184"/>
      <c r="W39" s="184"/>
      <c r="X39" s="184"/>
      <c r="Y39" s="184"/>
    </row>
    <row r="40" spans="1:25" ht="15">
      <c r="A40" s="194"/>
      <c r="B40" s="194"/>
      <c r="C40" s="194"/>
      <c r="D40" s="184"/>
      <c r="E40" s="194"/>
      <c r="F40" s="184"/>
      <c r="G40" s="284"/>
      <c r="H40" s="284"/>
      <c r="I40" s="284"/>
      <c r="J40" s="284"/>
      <c r="K40" s="284" t="str">
        <f t="shared" si="0"/>
        <v/>
      </c>
      <c r="L40" s="184"/>
      <c r="M40" s="296" t="str">
        <f t="shared" si="1"/>
        <v/>
      </c>
      <c r="N40" s="184"/>
      <c r="O40" s="284"/>
      <c r="P40" s="284"/>
      <c r="Q40" s="284"/>
      <c r="R40" s="284"/>
      <c r="S40" s="284" t="str">
        <f t="shared" si="2"/>
        <v/>
      </c>
      <c r="T40" s="184"/>
      <c r="U40" s="296" t="str">
        <f t="shared" si="3"/>
        <v/>
      </c>
      <c r="V40" s="184"/>
      <c r="W40" s="184"/>
      <c r="X40" s="184"/>
      <c r="Y40" s="184"/>
    </row>
    <row r="41" spans="1:25" ht="15">
      <c r="A41" s="194">
        <v>6000</v>
      </c>
      <c r="B41" s="194"/>
      <c r="C41" s="194">
        <f>A41*0.5*730</f>
        <v>2190000</v>
      </c>
      <c r="D41" s="184"/>
      <c r="E41" s="237">
        <v>0.6</v>
      </c>
      <c r="F41" s="184"/>
      <c r="G41" s="284">
        <f t="shared" si="17"/>
        <v>180721.94</v>
      </c>
      <c r="H41" s="284"/>
      <c r="I41" s="284">
        <f t="shared" si="14"/>
        <v>195356.49</v>
      </c>
      <c r="J41" s="284"/>
      <c r="K41" s="284">
        <f t="shared" si="0"/>
        <v>14634.549999999988</v>
      </c>
      <c r="L41" s="184"/>
      <c r="M41" s="296">
        <f t="shared" si="1"/>
        <v>0.08097826971091604</v>
      </c>
      <c r="N41" s="184"/>
      <c r="O41" s="284">
        <f>ROUND(($X$19+(($X$21*(1+$X$32)+$X$20+$X$22)*$A41+($X$23*$E41+$X$24*(1-$E41))/100*$C41*(1+$X$32))*(1+$X$26))+$X$25,2)</f>
        <v>145915.13</v>
      </c>
      <c r="P41" s="284"/>
      <c r="Q41" s="284">
        <f aca="true" t="shared" si="19" ref="Q41:Q48">ROUND(($Y$19+(($Y$21*(1+$Y$32)+$Y$20+$Y$22)*$A41+($Y$23*$E41+$Y$24*(1-$E41))/100*$C41*(1+$Y$32))*(1+$Y$26))+$Y$25,2)</f>
        <v>157923.44</v>
      </c>
      <c r="R41" s="284"/>
      <c r="S41" s="284">
        <f t="shared" si="2"/>
        <v>12008.309999999998</v>
      </c>
      <c r="T41" s="184"/>
      <c r="U41" s="296">
        <f t="shared" si="3"/>
        <v>0.0822965377202487</v>
      </c>
      <c r="V41" s="184"/>
      <c r="W41" s="184"/>
      <c r="X41" s="184"/>
      <c r="Y41" s="184"/>
    </row>
    <row r="42" spans="1:25" ht="15">
      <c r="A42" s="297">
        <f>A41</f>
        <v>6000</v>
      </c>
      <c r="B42" s="194"/>
      <c r="C42" s="297">
        <f>C41</f>
        <v>2190000</v>
      </c>
      <c r="D42" s="184"/>
      <c r="E42" s="237">
        <v>0.5</v>
      </c>
      <c r="F42" s="184"/>
      <c r="G42" s="284">
        <f t="shared" si="17"/>
        <v>177628.97</v>
      </c>
      <c r="H42" s="284"/>
      <c r="I42" s="284">
        <f t="shared" si="14"/>
        <v>192031.78</v>
      </c>
      <c r="J42" s="284"/>
      <c r="K42" s="284">
        <f t="shared" si="0"/>
        <v>14402.809999999998</v>
      </c>
      <c r="L42" s="184"/>
      <c r="M42" s="296">
        <f t="shared" si="1"/>
        <v>0.08108367683492168</v>
      </c>
      <c r="N42" s="184"/>
      <c r="O42" s="284">
        <f aca="true" t="shared" si="20" ref="O42:O48">ROUND(($X$19+(($X$21*(1+$X$32)+$X$20+$X$22)*$A42+($X$23*$E42+$X$24*(1-$E42))/100*$C42*(1+$X$32))*(1+$X$26))+$X$25,2)</f>
        <v>144885.01</v>
      </c>
      <c r="P42" s="284"/>
      <c r="Q42" s="284">
        <f t="shared" si="19"/>
        <v>156816.03</v>
      </c>
      <c r="R42" s="284"/>
      <c r="S42" s="284">
        <f t="shared" si="2"/>
        <v>11931.01999999999</v>
      </c>
      <c r="T42" s="184"/>
      <c r="U42" s="296">
        <f t="shared" si="3"/>
        <v>0.08234820151511868</v>
      </c>
      <c r="V42" s="184"/>
      <c r="W42" s="184"/>
      <c r="X42" s="184"/>
      <c r="Y42" s="184"/>
    </row>
    <row r="43" spans="1:25" ht="15">
      <c r="A43" s="297">
        <f>A42</f>
        <v>6000</v>
      </c>
      <c r="B43" s="194"/>
      <c r="C43" s="297">
        <f>C42</f>
        <v>2190000</v>
      </c>
      <c r="D43" s="184"/>
      <c r="E43" s="237">
        <v>0.4</v>
      </c>
      <c r="F43" s="184"/>
      <c r="G43" s="284">
        <f t="shared" si="17"/>
        <v>174536</v>
      </c>
      <c r="H43" s="284"/>
      <c r="I43" s="284">
        <f t="shared" si="14"/>
        <v>188707.07</v>
      </c>
      <c r="J43" s="284"/>
      <c r="K43" s="284">
        <f t="shared" si="0"/>
        <v>14171.070000000007</v>
      </c>
      <c r="L43" s="184"/>
      <c r="M43" s="296">
        <f t="shared" si="1"/>
        <v>0.08119281981940696</v>
      </c>
      <c r="N43" s="184"/>
      <c r="O43" s="284">
        <f t="shared" si="20"/>
        <v>143854.89</v>
      </c>
      <c r="P43" s="284"/>
      <c r="Q43" s="284">
        <f t="shared" si="19"/>
        <v>155708.61</v>
      </c>
      <c r="R43" s="284"/>
      <c r="S43" s="284">
        <f t="shared" si="2"/>
        <v>11853.719999999972</v>
      </c>
      <c r="T43" s="184"/>
      <c r="U43" s="296">
        <f t="shared" si="3"/>
        <v>0.0824005357065023</v>
      </c>
      <c r="V43" s="184"/>
      <c r="W43" s="184"/>
      <c r="X43" s="184"/>
      <c r="Y43" s="184"/>
    </row>
    <row r="44" spans="1:25" ht="15">
      <c r="A44" s="297">
        <f>A43</f>
        <v>6000</v>
      </c>
      <c r="B44" s="194"/>
      <c r="C44" s="194">
        <f>A41*0.7*730</f>
        <v>3066000</v>
      </c>
      <c r="D44" s="184"/>
      <c r="E44" s="237">
        <f aca="true" t="shared" si="21" ref="E44:E49">E41</f>
        <v>0.6</v>
      </c>
      <c r="F44" s="184"/>
      <c r="G44" s="284">
        <f t="shared" si="17"/>
        <v>213761.11</v>
      </c>
      <c r="H44" s="284"/>
      <c r="I44" s="284">
        <f t="shared" si="14"/>
        <v>230870.82</v>
      </c>
      <c r="J44" s="284"/>
      <c r="K44" s="284">
        <f t="shared" si="0"/>
        <v>17109.71000000002</v>
      </c>
      <c r="L44" s="184"/>
      <c r="M44" s="296">
        <f t="shared" si="1"/>
        <v>0.0800412666270307</v>
      </c>
      <c r="N44" s="184"/>
      <c r="O44" s="284">
        <f t="shared" si="20"/>
        <v>174003.47</v>
      </c>
      <c r="P44" s="284"/>
      <c r="Q44" s="284">
        <f t="shared" si="19"/>
        <v>188116.25</v>
      </c>
      <c r="R44" s="284"/>
      <c r="S44" s="284">
        <f t="shared" si="2"/>
        <v>14112.779999999999</v>
      </c>
      <c r="T44" s="184"/>
      <c r="U44" s="296">
        <f t="shared" si="3"/>
        <v>0.08110631356949383</v>
      </c>
      <c r="V44" s="184"/>
      <c r="W44" s="184"/>
      <c r="X44" s="184"/>
      <c r="Y44" s="184"/>
    </row>
    <row r="45" spans="1:25" ht="15">
      <c r="A45" s="297">
        <f>A44</f>
        <v>6000</v>
      </c>
      <c r="B45" s="194"/>
      <c r="C45" s="297">
        <f>C44</f>
        <v>3066000</v>
      </c>
      <c r="D45" s="184"/>
      <c r="E45" s="237">
        <f t="shared" si="21"/>
        <v>0.5</v>
      </c>
      <c r="F45" s="184"/>
      <c r="G45" s="284">
        <f t="shared" si="17"/>
        <v>209430.96</v>
      </c>
      <c r="H45" s="284"/>
      <c r="I45" s="284">
        <f t="shared" si="14"/>
        <v>226216.23</v>
      </c>
      <c r="J45" s="284"/>
      <c r="K45" s="284">
        <f t="shared" si="0"/>
        <v>16785.27000000002</v>
      </c>
      <c r="L45" s="184"/>
      <c r="M45" s="296">
        <f t="shared" si="1"/>
        <v>0.08014703270232837</v>
      </c>
      <c r="N45" s="184"/>
      <c r="O45" s="284">
        <f t="shared" si="20"/>
        <v>172561.3</v>
      </c>
      <c r="P45" s="284"/>
      <c r="Q45" s="284">
        <f t="shared" si="19"/>
        <v>186565.88</v>
      </c>
      <c r="R45" s="284"/>
      <c r="S45" s="284">
        <f t="shared" si="2"/>
        <v>14004.580000000016</v>
      </c>
      <c r="T45" s="184"/>
      <c r="U45" s="296">
        <f t="shared" si="3"/>
        <v>0.08115713082829124</v>
      </c>
      <c r="V45" s="184"/>
      <c r="W45" s="184"/>
      <c r="X45" s="184"/>
      <c r="Y45" s="184"/>
    </row>
    <row r="46" spans="1:25" ht="15">
      <c r="A46" s="297">
        <f>A45</f>
        <v>6000</v>
      </c>
      <c r="B46" s="194"/>
      <c r="C46" s="297">
        <f>C45</f>
        <v>3066000</v>
      </c>
      <c r="D46" s="184"/>
      <c r="E46" s="237">
        <f t="shared" si="21"/>
        <v>0.4</v>
      </c>
      <c r="F46" s="184"/>
      <c r="G46" s="284">
        <f t="shared" si="17"/>
        <v>205100.8</v>
      </c>
      <c r="H46" s="284"/>
      <c r="I46" s="284">
        <f t="shared" si="14"/>
        <v>221561.63</v>
      </c>
      <c r="J46" s="284"/>
      <c r="K46" s="284">
        <f t="shared" si="0"/>
        <v>16460.830000000016</v>
      </c>
      <c r="L46" s="184"/>
      <c r="M46" s="296">
        <f t="shared" si="1"/>
        <v>0.08025726862108784</v>
      </c>
      <c r="N46" s="184"/>
      <c r="O46" s="284">
        <f t="shared" si="20"/>
        <v>171119.14</v>
      </c>
      <c r="P46" s="284"/>
      <c r="Q46" s="284">
        <f t="shared" si="19"/>
        <v>185015.5</v>
      </c>
      <c r="R46" s="284"/>
      <c r="S46" s="284">
        <f t="shared" si="2"/>
        <v>13896.359999999986</v>
      </c>
      <c r="T46" s="184"/>
      <c r="U46" s="296">
        <f t="shared" si="3"/>
        <v>0.08120868302634054</v>
      </c>
      <c r="V46" s="184"/>
      <c r="W46" s="184"/>
      <c r="X46" s="184"/>
      <c r="Y46" s="184"/>
    </row>
    <row r="47" spans="1:25" ht="15">
      <c r="A47" s="297">
        <f>A44</f>
        <v>6000</v>
      </c>
      <c r="B47" s="194"/>
      <c r="C47" s="194">
        <f>A41*0.9*730</f>
        <v>3942000</v>
      </c>
      <c r="D47" s="184"/>
      <c r="E47" s="237">
        <f t="shared" si="21"/>
        <v>0.6</v>
      </c>
      <c r="F47" s="184"/>
      <c r="G47" s="284">
        <f t="shared" si="17"/>
        <v>246800.29</v>
      </c>
      <c r="H47" s="284"/>
      <c r="I47" s="284">
        <f t="shared" si="14"/>
        <v>266385.15</v>
      </c>
      <c r="J47" s="284"/>
      <c r="K47" s="284">
        <f t="shared" si="0"/>
        <v>19584.860000000015</v>
      </c>
      <c r="L47" s="184"/>
      <c r="M47" s="296">
        <f t="shared" si="1"/>
        <v>0.07935509314028777</v>
      </c>
      <c r="N47" s="184"/>
      <c r="O47" s="284">
        <f t="shared" si="20"/>
        <v>202091.81</v>
      </c>
      <c r="P47" s="284"/>
      <c r="Q47" s="284">
        <f t="shared" si="19"/>
        <v>218309.07</v>
      </c>
      <c r="R47" s="284"/>
      <c r="S47" s="284">
        <f t="shared" si="2"/>
        <v>16217.26000000001</v>
      </c>
      <c r="T47" s="184"/>
      <c r="U47" s="296">
        <f t="shared" si="3"/>
        <v>0.08024699269109425</v>
      </c>
      <c r="V47" s="184"/>
      <c r="W47" s="184"/>
      <c r="X47" s="184"/>
      <c r="Y47" s="184"/>
    </row>
    <row r="48" spans="1:25" ht="15">
      <c r="A48" s="297">
        <f>A45</f>
        <v>6000</v>
      </c>
      <c r="B48" s="194"/>
      <c r="C48" s="297">
        <f>C47</f>
        <v>3942000</v>
      </c>
      <c r="D48" s="184"/>
      <c r="E48" s="237">
        <f t="shared" si="21"/>
        <v>0.5</v>
      </c>
      <c r="F48" s="184"/>
      <c r="G48" s="284">
        <f t="shared" si="17"/>
        <v>241232.95</v>
      </c>
      <c r="H48" s="284"/>
      <c r="I48" s="284">
        <f t="shared" si="14"/>
        <v>260400.67</v>
      </c>
      <c r="J48" s="284"/>
      <c r="K48" s="284">
        <f t="shared" si="0"/>
        <v>19167.72</v>
      </c>
      <c r="L48" s="184"/>
      <c r="M48" s="296">
        <f t="shared" si="1"/>
        <v>0.07945730465096079</v>
      </c>
      <c r="N48" s="184"/>
      <c r="O48" s="284">
        <f t="shared" si="20"/>
        <v>200237.59</v>
      </c>
      <c r="P48" s="284"/>
      <c r="Q48" s="284">
        <f t="shared" si="19"/>
        <v>216315.73</v>
      </c>
      <c r="R48" s="284"/>
      <c r="S48" s="284">
        <f t="shared" si="2"/>
        <v>16078.140000000014</v>
      </c>
      <c r="T48" s="184"/>
      <c r="U48" s="296">
        <f t="shared" si="3"/>
        <v>0.08029531318270466</v>
      </c>
      <c r="V48" s="184"/>
      <c r="W48" s="184"/>
      <c r="X48" s="184"/>
      <c r="Y48" s="184"/>
    </row>
    <row r="49" spans="1:25" ht="15">
      <c r="A49" s="297">
        <f>A46</f>
        <v>6000</v>
      </c>
      <c r="B49" s="194"/>
      <c r="C49" s="297">
        <f>C48</f>
        <v>3942000</v>
      </c>
      <c r="D49" s="184"/>
      <c r="E49" s="237">
        <f t="shared" si="21"/>
        <v>0.4</v>
      </c>
      <c r="F49" s="184"/>
      <c r="G49" s="284">
        <f t="shared" si="17"/>
        <v>235665.6</v>
      </c>
      <c r="H49" s="284"/>
      <c r="I49" s="284">
        <f t="shared" si="14"/>
        <v>254416.19</v>
      </c>
      <c r="J49" s="284"/>
      <c r="K49" s="284">
        <f t="shared" si="0"/>
        <v>18750.589999999997</v>
      </c>
      <c r="L49" s="184"/>
      <c r="M49" s="296">
        <f t="shared" si="1"/>
        <v>0.07956439123911174</v>
      </c>
      <c r="N49" s="184"/>
      <c r="O49" s="284">
        <f>ROUND(($X$19+(($X$21*(1+$X$32)+$X$20+$X$22)*$A49+($X$23*$E49+$X$24*(1-$E49))/100*$C49*(1+$X$32))*(1+$X$26))+$X$25,2)</f>
        <v>198383.38</v>
      </c>
      <c r="P49" s="284"/>
      <c r="Q49" s="284">
        <f>ROUND(($Y$19+(($Y$21*(1+$Y$32)+$Y$20+$Y$22)*$A49+($Y$23*$E49+$Y$24*(1-$E49))/100*$C49*(1+$Y$32))*(1+$Y$26))+$Y$25,2)</f>
        <v>214322.38</v>
      </c>
      <c r="R49" s="284"/>
      <c r="S49" s="284">
        <f t="shared" si="2"/>
        <v>15939</v>
      </c>
      <c r="T49" s="184"/>
      <c r="U49" s="296">
        <f t="shared" si="3"/>
        <v>0.08034443207893727</v>
      </c>
      <c r="V49" s="184"/>
      <c r="W49" s="184"/>
      <c r="X49" s="184"/>
      <c r="Y49" s="184"/>
    </row>
    <row r="50" spans="1:25" ht="15">
      <c r="A50" s="194"/>
      <c r="B50" s="194"/>
      <c r="C50" s="194"/>
      <c r="D50" s="184"/>
      <c r="E50" s="194"/>
      <c r="F50" s="184"/>
      <c r="G50" s="284"/>
      <c r="H50" s="284"/>
      <c r="I50" s="284"/>
      <c r="J50" s="284"/>
      <c r="K50" s="284" t="str">
        <f t="shared" si="0"/>
        <v/>
      </c>
      <c r="L50" s="184"/>
      <c r="M50" s="296" t="str">
        <f t="shared" si="1"/>
        <v/>
      </c>
      <c r="N50" s="184"/>
      <c r="O50" s="284"/>
      <c r="P50" s="284"/>
      <c r="Q50" s="284"/>
      <c r="R50" s="284"/>
      <c r="S50" s="284" t="str">
        <f t="shared" si="2"/>
        <v/>
      </c>
      <c r="T50" s="184"/>
      <c r="U50" s="296" t="str">
        <f t="shared" si="3"/>
        <v/>
      </c>
      <c r="V50" s="184"/>
      <c r="W50" s="184"/>
      <c r="X50" s="184"/>
      <c r="Y50" s="184"/>
    </row>
    <row r="51" spans="1:25" ht="15">
      <c r="A51" s="194">
        <v>10000</v>
      </c>
      <c r="B51" s="194"/>
      <c r="C51" s="194">
        <f>A51*0.5*730</f>
        <v>3650000</v>
      </c>
      <c r="D51" s="184"/>
      <c r="E51" s="237">
        <v>0.6</v>
      </c>
      <c r="F51" s="184"/>
      <c r="G51" s="284">
        <f>ROUND(($X$10+(($X$12*(1+$X$32)+$X$11+$X$13)*$A51+($X$14*$E51+$X$15*(1-$E51))/100*$C51*(1+$X$32))*(1+$X$17))+$X$16,2)</f>
        <v>301133.23</v>
      </c>
      <c r="H51" s="284"/>
      <c r="I51" s="284">
        <f t="shared" si="14"/>
        <v>325520.15</v>
      </c>
      <c r="J51" s="284"/>
      <c r="K51" s="284">
        <f t="shared" si="0"/>
        <v>24386.920000000042</v>
      </c>
      <c r="L51" s="184"/>
      <c r="M51" s="296">
        <f t="shared" si="1"/>
        <v>0.080983822343353</v>
      </c>
      <c r="N51" s="184"/>
      <c r="O51" s="284">
        <f aca="true" t="shared" si="22" ref="O51:O58">ROUND(($X$19+(($X$21*(1+$X$32)+$X$20+$X$22)*$A51+($X$23*$E51+$X$24*(1-$E51))/100*$C51*(1+$X$32))*(1+$X$26))+$X$25,2)</f>
        <v>243121.88</v>
      </c>
      <c r="P51" s="284"/>
      <c r="Q51" s="284">
        <f aca="true" t="shared" si="23" ref="Q51:Q58">ROUND(($Y$19+(($Y$21*(1+$Y$32)+$Y$20+$Y$22)*$A51+($Y$23*$E51+$Y$24*(1-$E51))/100*$C51*(1+$Y$32))*(1+$Y$26))+$Y$25,2)</f>
        <v>263131.73</v>
      </c>
      <c r="R51" s="284"/>
      <c r="S51" s="284">
        <f t="shared" si="2"/>
        <v>20009.849999999977</v>
      </c>
      <c r="T51" s="184"/>
      <c r="U51" s="296">
        <f t="shared" si="3"/>
        <v>0.0823037811323275</v>
      </c>
      <c r="V51" s="184"/>
      <c r="W51" s="184"/>
      <c r="X51" s="184"/>
      <c r="Y51" s="184"/>
    </row>
    <row r="52" spans="1:25" ht="15">
      <c r="A52" s="297">
        <f>A51</f>
        <v>10000</v>
      </c>
      <c r="B52" s="194"/>
      <c r="C52" s="297">
        <f>C51</f>
        <v>3650000</v>
      </c>
      <c r="D52" s="184"/>
      <c r="E52" s="237">
        <v>0.5</v>
      </c>
      <c r="F52" s="184"/>
      <c r="G52" s="284">
        <f t="shared" si="17"/>
        <v>295978.29</v>
      </c>
      <c r="H52" s="284"/>
      <c r="I52" s="284">
        <f t="shared" si="14"/>
        <v>319978.97</v>
      </c>
      <c r="J52" s="284"/>
      <c r="K52" s="284">
        <f t="shared" si="0"/>
        <v>24000.679999999993</v>
      </c>
      <c r="L52" s="184"/>
      <c r="M52" s="296">
        <f t="shared" si="1"/>
        <v>0.08108932584210815</v>
      </c>
      <c r="N52" s="184"/>
      <c r="O52" s="284">
        <f t="shared" si="22"/>
        <v>241405.02</v>
      </c>
      <c r="P52" s="284"/>
      <c r="Q52" s="284">
        <f t="shared" si="23"/>
        <v>261286.04</v>
      </c>
      <c r="R52" s="284"/>
      <c r="S52" s="284">
        <f t="shared" si="2"/>
        <v>19881.02000000002</v>
      </c>
      <c r="T52" s="184"/>
      <c r="U52" s="296">
        <f t="shared" si="3"/>
        <v>0.08235545391723842</v>
      </c>
      <c r="V52" s="184"/>
      <c r="W52" s="184"/>
      <c r="X52" s="184"/>
      <c r="Y52" s="184"/>
    </row>
    <row r="53" spans="1:25" ht="15">
      <c r="A53" s="297">
        <f>A52</f>
        <v>10000</v>
      </c>
      <c r="B53" s="194"/>
      <c r="C53" s="297">
        <f>C52</f>
        <v>3650000</v>
      </c>
      <c r="D53" s="184"/>
      <c r="E53" s="237">
        <v>0.4</v>
      </c>
      <c r="F53" s="184"/>
      <c r="G53" s="284">
        <f t="shared" si="17"/>
        <v>290823.34</v>
      </c>
      <c r="H53" s="284"/>
      <c r="I53" s="284">
        <f t="shared" si="14"/>
        <v>314437.78</v>
      </c>
      <c r="J53" s="284"/>
      <c r="K53" s="284">
        <f t="shared" si="0"/>
        <v>23614.440000000002</v>
      </c>
      <c r="L53" s="184"/>
      <c r="M53" s="296">
        <f t="shared" si="1"/>
        <v>0.08119857230165906</v>
      </c>
      <c r="N53" s="184"/>
      <c r="O53" s="284">
        <f t="shared" si="22"/>
        <v>239688.15</v>
      </c>
      <c r="P53" s="284"/>
      <c r="Q53" s="284">
        <f t="shared" si="23"/>
        <v>259440.35</v>
      </c>
      <c r="R53" s="284"/>
      <c r="S53" s="284">
        <f t="shared" si="2"/>
        <v>19752.20000000001</v>
      </c>
      <c r="T53" s="184"/>
      <c r="U53" s="296">
        <f t="shared" si="3"/>
        <v>0.08240791211413678</v>
      </c>
      <c r="V53" s="184"/>
      <c r="W53" s="184"/>
      <c r="X53" s="184"/>
      <c r="Y53" s="184"/>
    </row>
    <row r="54" spans="1:25" ht="15">
      <c r="A54" s="297">
        <f>A53</f>
        <v>10000</v>
      </c>
      <c r="B54" s="194"/>
      <c r="C54" s="194">
        <f>A51*0.7*730</f>
        <v>5110000</v>
      </c>
      <c r="D54" s="184"/>
      <c r="E54" s="237">
        <f aca="true" t="shared" si="24" ref="E54:E59">E51</f>
        <v>0.6</v>
      </c>
      <c r="F54" s="184"/>
      <c r="G54" s="284">
        <f t="shared" si="17"/>
        <v>356198.52</v>
      </c>
      <c r="H54" s="284"/>
      <c r="I54" s="284">
        <f t="shared" si="14"/>
        <v>384710.7</v>
      </c>
      <c r="J54" s="284"/>
      <c r="K54" s="284">
        <f t="shared" si="0"/>
        <v>28512.179999999993</v>
      </c>
      <c r="L54" s="184"/>
      <c r="M54" s="296">
        <f t="shared" si="1"/>
        <v>0.08004575650679291</v>
      </c>
      <c r="N54" s="184"/>
      <c r="O54" s="284">
        <f t="shared" si="22"/>
        <v>289935.78</v>
      </c>
      <c r="P54" s="284"/>
      <c r="Q54" s="284">
        <f t="shared" si="23"/>
        <v>313453.09</v>
      </c>
      <c r="R54" s="284"/>
      <c r="S54" s="284">
        <f t="shared" si="2"/>
        <v>23517.309999999998</v>
      </c>
      <c r="T54" s="184"/>
      <c r="U54" s="296">
        <f t="shared" si="3"/>
        <v>0.08111213455614208</v>
      </c>
      <c r="V54" s="184"/>
      <c r="W54" s="184"/>
      <c r="X54" s="184"/>
      <c r="Y54" s="184"/>
    </row>
    <row r="55" spans="1:25" ht="15">
      <c r="A55" s="297">
        <f>A54</f>
        <v>10000</v>
      </c>
      <c r="B55" s="194"/>
      <c r="C55" s="297">
        <f>C54</f>
        <v>5110000</v>
      </c>
      <c r="D55" s="184"/>
      <c r="E55" s="237">
        <f t="shared" si="24"/>
        <v>0.5</v>
      </c>
      <c r="F55" s="184"/>
      <c r="G55" s="284">
        <f t="shared" si="17"/>
        <v>348981.6</v>
      </c>
      <c r="H55" s="284"/>
      <c r="I55" s="284">
        <f t="shared" si="14"/>
        <v>376953.04</v>
      </c>
      <c r="J55" s="284"/>
      <c r="K55" s="284">
        <f t="shared" si="0"/>
        <v>27971.440000000002</v>
      </c>
      <c r="L55" s="184"/>
      <c r="M55" s="296">
        <f t="shared" si="1"/>
        <v>0.08015161830881623</v>
      </c>
      <c r="N55" s="184"/>
      <c r="O55" s="284">
        <f t="shared" si="22"/>
        <v>287532.17</v>
      </c>
      <c r="P55" s="284"/>
      <c r="Q55" s="284">
        <f t="shared" si="23"/>
        <v>310869.13</v>
      </c>
      <c r="R55" s="284"/>
      <c r="S55" s="284">
        <f t="shared" si="2"/>
        <v>23336.96000000002</v>
      </c>
      <c r="T55" s="184"/>
      <c r="U55" s="296">
        <f t="shared" si="3"/>
        <v>0.08116295300105025</v>
      </c>
      <c r="V55" s="184"/>
      <c r="W55" s="184"/>
      <c r="X55" s="184"/>
      <c r="Y55" s="184"/>
    </row>
    <row r="56" spans="1:25" ht="15">
      <c r="A56" s="297">
        <f>A55</f>
        <v>10000</v>
      </c>
      <c r="B56" s="194"/>
      <c r="C56" s="297">
        <f>C55</f>
        <v>5110000</v>
      </c>
      <c r="D56" s="184"/>
      <c r="E56" s="237">
        <f t="shared" si="24"/>
        <v>0.4</v>
      </c>
      <c r="F56" s="184"/>
      <c r="G56" s="284">
        <f t="shared" si="17"/>
        <v>341764.67</v>
      </c>
      <c r="H56" s="284"/>
      <c r="I56" s="284">
        <f t="shared" si="14"/>
        <v>369195.38</v>
      </c>
      <c r="J56" s="284"/>
      <c r="K56" s="284">
        <f t="shared" si="0"/>
        <v>27430.71000000002</v>
      </c>
      <c r="L56" s="184"/>
      <c r="M56" s="296">
        <f t="shared" si="1"/>
        <v>0.08026198260926165</v>
      </c>
      <c r="N56" s="184"/>
      <c r="O56" s="284">
        <f t="shared" si="22"/>
        <v>285128.56</v>
      </c>
      <c r="P56" s="284"/>
      <c r="Q56" s="284">
        <f t="shared" si="23"/>
        <v>308285.16</v>
      </c>
      <c r="R56" s="284"/>
      <c r="S56" s="284">
        <f t="shared" si="2"/>
        <v>23156.599999999977</v>
      </c>
      <c r="T56" s="184"/>
      <c r="U56" s="296">
        <f t="shared" si="3"/>
        <v>0.08121459316457091</v>
      </c>
      <c r="V56" s="184"/>
      <c r="W56" s="184"/>
      <c r="X56" s="184"/>
      <c r="Y56" s="184"/>
    </row>
    <row r="57" spans="1:25" ht="15">
      <c r="A57" s="297">
        <f>A54</f>
        <v>10000</v>
      </c>
      <c r="B57" s="194"/>
      <c r="C57" s="194">
        <f>A51*0.9*730</f>
        <v>6570000</v>
      </c>
      <c r="D57" s="184"/>
      <c r="E57" s="237">
        <f t="shared" si="24"/>
        <v>0.6</v>
      </c>
      <c r="F57" s="184"/>
      <c r="G57" s="284">
        <f t="shared" si="17"/>
        <v>411263.81</v>
      </c>
      <c r="H57" s="284"/>
      <c r="I57" s="284">
        <f t="shared" si="14"/>
        <v>443901.25</v>
      </c>
      <c r="J57" s="284"/>
      <c r="K57" s="284">
        <f t="shared" si="0"/>
        <v>32637.440000000002</v>
      </c>
      <c r="L57" s="184"/>
      <c r="M57" s="296">
        <f t="shared" si="1"/>
        <v>0.07935889131601437</v>
      </c>
      <c r="N57" s="184"/>
      <c r="O57" s="284">
        <f t="shared" si="22"/>
        <v>336749.68</v>
      </c>
      <c r="P57" s="284"/>
      <c r="Q57" s="284">
        <f t="shared" si="23"/>
        <v>363774.45</v>
      </c>
      <c r="R57" s="284"/>
      <c r="S57" s="284">
        <f t="shared" si="2"/>
        <v>27024.77000000002</v>
      </c>
      <c r="T57" s="184"/>
      <c r="U57" s="296">
        <f t="shared" si="3"/>
        <v>0.0802518060299271</v>
      </c>
      <c r="V57" s="184"/>
      <c r="W57" s="184"/>
      <c r="X57" s="184"/>
      <c r="Y57" s="184"/>
    </row>
    <row r="58" spans="1:25" ht="15">
      <c r="A58" s="297">
        <f>A55</f>
        <v>10000</v>
      </c>
      <c r="B58" s="194"/>
      <c r="C58" s="297">
        <f>C57</f>
        <v>6570000</v>
      </c>
      <c r="D58" s="184"/>
      <c r="E58" s="237">
        <f t="shared" si="24"/>
        <v>0.5</v>
      </c>
      <c r="F58" s="184"/>
      <c r="G58" s="284">
        <f t="shared" si="17"/>
        <v>401984.91</v>
      </c>
      <c r="H58" s="284"/>
      <c r="I58" s="284">
        <f t="shared" si="14"/>
        <v>433927.12</v>
      </c>
      <c r="J58" s="284"/>
      <c r="K58" s="284">
        <f t="shared" si="0"/>
        <v>31942.21000000002</v>
      </c>
      <c r="L58" s="184"/>
      <c r="M58" s="296">
        <f t="shared" si="1"/>
        <v>0.07946121659143879</v>
      </c>
      <c r="N58" s="184"/>
      <c r="O58" s="284">
        <f t="shared" si="22"/>
        <v>333659.32</v>
      </c>
      <c r="P58" s="284"/>
      <c r="Q58" s="284">
        <f t="shared" si="23"/>
        <v>360452.21</v>
      </c>
      <c r="R58" s="284"/>
      <c r="S58" s="284">
        <f t="shared" si="2"/>
        <v>26792.890000000014</v>
      </c>
      <c r="T58" s="184"/>
      <c r="U58" s="296">
        <f t="shared" si="3"/>
        <v>0.08030013967540306</v>
      </c>
      <c r="V58" s="184"/>
      <c r="W58" s="184"/>
      <c r="X58" s="184"/>
      <c r="Y58" s="184"/>
    </row>
    <row r="59" spans="1:25" ht="15">
      <c r="A59" s="297">
        <f>A56</f>
        <v>10000</v>
      </c>
      <c r="B59" s="194"/>
      <c r="C59" s="297">
        <f>C58</f>
        <v>6570000</v>
      </c>
      <c r="D59" s="184"/>
      <c r="E59" s="237">
        <f t="shared" si="24"/>
        <v>0.4</v>
      </c>
      <c r="F59" s="184"/>
      <c r="G59" s="284">
        <f t="shared" si="17"/>
        <v>392706.01</v>
      </c>
      <c r="H59" s="284"/>
      <c r="I59" s="284">
        <f t="shared" si="14"/>
        <v>423952.99</v>
      </c>
      <c r="J59" s="284"/>
      <c r="K59" s="284">
        <f t="shared" si="0"/>
        <v>31246.97999999998</v>
      </c>
      <c r="L59" s="184"/>
      <c r="M59" s="296">
        <f t="shared" si="1"/>
        <v>0.07956837737217204</v>
      </c>
      <c r="N59" s="184"/>
      <c r="O59" s="284">
        <f>ROUND(($X$19+(($X$21*(1+$X$32)+$X$20+$X$22)*$A59+($X$23*$E59+$X$24*(1-$E59))/100*$C59*(1+$X$32))*(1+$X$26))+$X$25,2)</f>
        <v>330568.96</v>
      </c>
      <c r="P59" s="284"/>
      <c r="Q59" s="284">
        <f>ROUND(($Y$19+(($Y$21*(1+$Y$32)+$Y$20+$Y$22)*$A59+($Y$23*$E59+$Y$24*(1-$E59))/100*$C59*(1+$Y$32))*(1+$Y$26))+$Y$25,2)</f>
        <v>357129.97</v>
      </c>
      <c r="R59" s="284"/>
      <c r="S59" s="284">
        <f t="shared" si="2"/>
        <v>26561.00999999995</v>
      </c>
      <c r="T59" s="184"/>
      <c r="U59" s="296">
        <f t="shared" si="3"/>
        <v>0.0803493770255983</v>
      </c>
      <c r="V59" s="184"/>
      <c r="W59" s="184"/>
      <c r="X59" s="184"/>
      <c r="Y59" s="184"/>
    </row>
    <row r="60" spans="1:25" ht="15">
      <c r="A60" s="194"/>
      <c r="B60" s="194"/>
      <c r="C60" s="194"/>
      <c r="D60" s="184"/>
      <c r="E60" s="194"/>
      <c r="F60" s="184"/>
      <c r="G60" s="195"/>
      <c r="H60" s="184"/>
      <c r="I60" s="195"/>
      <c r="J60" s="184"/>
      <c r="K60" s="196"/>
      <c r="L60" s="184"/>
      <c r="M60" s="184"/>
      <c r="N60" s="184"/>
      <c r="O60" s="195"/>
      <c r="P60" s="184"/>
      <c r="Q60" s="195"/>
      <c r="R60" s="184"/>
      <c r="S60" s="196"/>
      <c r="T60" s="184"/>
      <c r="U60" s="184"/>
      <c r="V60" s="184"/>
      <c r="W60" s="184"/>
      <c r="X60" s="184"/>
      <c r="Y60" s="184"/>
    </row>
    <row r="61" spans="1:25" ht="16.5">
      <c r="A61" s="239" t="s">
        <v>162</v>
      </c>
      <c r="B61" s="194"/>
      <c r="C61" s="194"/>
      <c r="D61" s="184"/>
      <c r="E61" s="194"/>
      <c r="F61" s="184"/>
      <c r="G61" s="195"/>
      <c r="H61" s="184"/>
      <c r="I61" s="195"/>
      <c r="J61" s="184"/>
      <c r="K61" s="196"/>
      <c r="L61" s="184"/>
      <c r="M61" s="184"/>
      <c r="N61" s="184"/>
      <c r="O61" s="195"/>
      <c r="P61" s="184"/>
      <c r="Q61" s="195"/>
      <c r="R61" s="184"/>
      <c r="S61" s="196"/>
      <c r="T61" s="184"/>
      <c r="U61" s="184"/>
      <c r="V61" s="184"/>
      <c r="W61" s="184"/>
      <c r="X61" s="184"/>
      <c r="Y61" s="184"/>
    </row>
    <row r="62" spans="1:25" ht="16.5">
      <c r="A62" s="239" t="s">
        <v>190</v>
      </c>
      <c r="B62" s="194"/>
      <c r="C62" s="194"/>
      <c r="D62" s="184"/>
      <c r="E62" s="194"/>
      <c r="F62" s="184"/>
      <c r="G62" s="195"/>
      <c r="H62" s="184"/>
      <c r="I62" s="195"/>
      <c r="J62" s="184"/>
      <c r="K62" s="196"/>
      <c r="L62" s="184"/>
      <c r="M62" s="184"/>
      <c r="N62" s="184"/>
      <c r="O62" s="195"/>
      <c r="P62" s="184"/>
      <c r="Q62" s="195"/>
      <c r="R62" s="184"/>
      <c r="S62" s="196"/>
      <c r="T62" s="184"/>
      <c r="U62" s="184"/>
      <c r="V62" s="184"/>
      <c r="W62" s="184"/>
      <c r="X62" s="184"/>
      <c r="Y62" s="184"/>
    </row>
  </sheetData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workbookViewId="0" topLeftCell="A1">
      <selection activeCell="W3" sqref="W3"/>
    </sheetView>
  </sheetViews>
  <sheetFormatPr defaultColWidth="9.140625" defaultRowHeight="15"/>
  <cols>
    <col min="2" max="2" width="0.85546875" style="0" customWidth="1"/>
    <col min="4" max="4" width="0.85546875" style="0" customWidth="1"/>
    <col min="6" max="6" width="0.9921875" style="0" customWidth="1"/>
    <col min="8" max="8" width="1.1484375" style="0" customWidth="1"/>
    <col min="10" max="10" width="0.9921875" style="0" customWidth="1"/>
    <col min="12" max="12" width="1.28515625" style="0" customWidth="1"/>
    <col min="14" max="14" width="0.85546875" style="0" customWidth="1"/>
    <col min="16" max="16" width="0.85546875" style="0" customWidth="1"/>
    <col min="18" max="18" width="0.9921875" style="0" customWidth="1"/>
    <col min="20" max="20" width="0.85546875" style="0" customWidth="1"/>
    <col min="22" max="22" width="5.7109375" style="0" customWidth="1"/>
    <col min="23" max="23" width="13.57421875" style="0" customWidth="1"/>
  </cols>
  <sheetData>
    <row r="1" spans="1:25" ht="16.5">
      <c r="A1" s="177" t="s">
        <v>135</v>
      </c>
      <c r="B1" s="177"/>
      <c r="C1" s="177"/>
      <c r="D1" s="178"/>
      <c r="E1" s="177"/>
      <c r="F1" s="178"/>
      <c r="G1" s="179"/>
      <c r="H1" s="178"/>
      <c r="I1" s="179"/>
      <c r="J1" s="178"/>
      <c r="K1" s="178"/>
      <c r="L1" s="178"/>
      <c r="M1" s="178"/>
      <c r="N1" s="178"/>
      <c r="O1" s="179"/>
      <c r="P1" s="178"/>
      <c r="Q1" s="179"/>
      <c r="R1" s="178"/>
      <c r="S1" s="178"/>
      <c r="T1" s="178"/>
      <c r="U1" s="178"/>
      <c r="V1" s="184"/>
      <c r="W1" s="313" t="s">
        <v>210</v>
      </c>
      <c r="X1" s="184"/>
      <c r="Y1" s="184"/>
    </row>
    <row r="2" spans="1:25" ht="16.5">
      <c r="A2" s="177" t="s">
        <v>136</v>
      </c>
      <c r="B2" s="177"/>
      <c r="C2" s="177"/>
      <c r="D2" s="178"/>
      <c r="E2" s="177"/>
      <c r="F2" s="178"/>
      <c r="G2" s="179"/>
      <c r="H2" s="178"/>
      <c r="I2" s="179"/>
      <c r="J2" s="178"/>
      <c r="K2" s="178"/>
      <c r="L2" s="178"/>
      <c r="M2" s="178"/>
      <c r="N2" s="178"/>
      <c r="O2" s="179"/>
      <c r="P2" s="178"/>
      <c r="Q2" s="179"/>
      <c r="R2" s="178"/>
      <c r="S2" s="178"/>
      <c r="T2" s="178"/>
      <c r="U2" s="178"/>
      <c r="V2" s="184"/>
      <c r="W2" s="313" t="s">
        <v>211</v>
      </c>
      <c r="X2" s="184"/>
      <c r="Y2" s="184"/>
    </row>
    <row r="3" spans="1:25" ht="16.5">
      <c r="A3" s="177" t="s">
        <v>191</v>
      </c>
      <c r="B3" s="177"/>
      <c r="C3" s="177"/>
      <c r="D3" s="178"/>
      <c r="E3" s="177"/>
      <c r="F3" s="178"/>
      <c r="G3" s="179"/>
      <c r="H3" s="178"/>
      <c r="I3" s="179"/>
      <c r="J3" s="178"/>
      <c r="K3" s="178"/>
      <c r="L3" s="178"/>
      <c r="M3" s="178"/>
      <c r="N3" s="178"/>
      <c r="O3" s="179"/>
      <c r="P3" s="178"/>
      <c r="Q3" s="179"/>
      <c r="R3" s="178"/>
      <c r="S3" s="178"/>
      <c r="T3" s="178"/>
      <c r="U3" s="178"/>
      <c r="V3" s="184"/>
      <c r="W3" s="313" t="s">
        <v>384</v>
      </c>
      <c r="X3" s="184"/>
      <c r="Y3" s="184"/>
    </row>
    <row r="4" spans="1:25" ht="16.5">
      <c r="A4" s="177" t="s">
        <v>192</v>
      </c>
      <c r="B4" s="177"/>
      <c r="C4" s="177"/>
      <c r="D4" s="178"/>
      <c r="E4" s="177"/>
      <c r="F4" s="178"/>
      <c r="G4" s="179"/>
      <c r="H4" s="178"/>
      <c r="I4" s="179"/>
      <c r="J4" s="178"/>
      <c r="K4" s="178"/>
      <c r="L4" s="178"/>
      <c r="M4" s="178"/>
      <c r="N4" s="178"/>
      <c r="O4" s="179"/>
      <c r="P4" s="178"/>
      <c r="Q4" s="179"/>
      <c r="R4" s="178"/>
      <c r="S4" s="178"/>
      <c r="T4" s="178"/>
      <c r="U4" s="178"/>
      <c r="V4" s="184"/>
      <c r="W4" s="314">
        <v>40696</v>
      </c>
      <c r="X4" s="184"/>
      <c r="Y4" s="184"/>
    </row>
    <row r="5" spans="1:25" ht="15">
      <c r="A5" s="187"/>
      <c r="B5" s="187"/>
      <c r="C5" s="187"/>
      <c r="D5" s="178"/>
      <c r="E5" s="187"/>
      <c r="F5" s="178"/>
      <c r="G5" s="179"/>
      <c r="H5" s="178"/>
      <c r="I5" s="179"/>
      <c r="J5" s="178"/>
      <c r="K5" s="184"/>
      <c r="L5" s="178"/>
      <c r="M5" s="184"/>
      <c r="N5" s="178"/>
      <c r="O5" s="179"/>
      <c r="P5" s="178"/>
      <c r="Q5" s="179"/>
      <c r="R5" s="178"/>
      <c r="S5" s="184"/>
      <c r="T5" s="178"/>
      <c r="U5" s="184"/>
      <c r="V5" s="184"/>
      <c r="W5" s="184"/>
      <c r="X5" s="184"/>
      <c r="Y5" s="184"/>
    </row>
    <row r="6" spans="1:25" ht="17.25">
      <c r="A6" s="188"/>
      <c r="B6" s="181"/>
      <c r="C6" s="181"/>
      <c r="D6" s="181"/>
      <c r="E6" s="191"/>
      <c r="F6" s="190"/>
      <c r="G6" s="191"/>
      <c r="H6" s="181"/>
      <c r="I6" s="252"/>
      <c r="J6" s="181"/>
      <c r="K6" s="181"/>
      <c r="L6" s="181"/>
      <c r="M6" s="181"/>
      <c r="N6" s="181"/>
      <c r="O6" s="191"/>
      <c r="P6" s="181"/>
      <c r="Q6" s="252"/>
      <c r="R6" s="181"/>
      <c r="S6" s="181"/>
      <c r="T6" s="181"/>
      <c r="U6" s="181"/>
      <c r="V6" s="184"/>
      <c r="W6" s="184"/>
      <c r="X6" s="184"/>
      <c r="Y6" s="184"/>
    </row>
    <row r="7" spans="1:25" ht="15">
      <c r="A7" s="194"/>
      <c r="B7" s="194"/>
      <c r="C7" s="194"/>
      <c r="D7" s="184"/>
      <c r="E7" s="194"/>
      <c r="F7" s="184"/>
      <c r="G7" s="252"/>
      <c r="H7" s="182"/>
      <c r="I7" s="252"/>
      <c r="J7" s="182"/>
      <c r="K7" s="264"/>
      <c r="L7" s="182"/>
      <c r="M7" s="264"/>
      <c r="N7" s="182"/>
      <c r="O7" s="252"/>
      <c r="P7" s="182"/>
      <c r="Q7" s="252"/>
      <c r="R7" s="182"/>
      <c r="S7" s="264"/>
      <c r="T7" s="182"/>
      <c r="U7" s="264"/>
      <c r="V7" s="184"/>
      <c r="W7" s="184"/>
      <c r="X7" s="184"/>
      <c r="Y7" s="184"/>
    </row>
    <row r="8" spans="1:25" ht="15">
      <c r="A8" s="194"/>
      <c r="B8" s="194"/>
      <c r="C8" s="194"/>
      <c r="D8" s="184"/>
      <c r="E8" s="194"/>
      <c r="F8" s="184"/>
      <c r="G8" s="197" t="s">
        <v>141</v>
      </c>
      <c r="H8" s="206"/>
      <c r="I8" s="199"/>
      <c r="J8" s="198"/>
      <c r="K8" s="207"/>
      <c r="L8" s="198"/>
      <c r="M8" s="198"/>
      <c r="N8" s="184"/>
      <c r="O8" s="197" t="s">
        <v>142</v>
      </c>
      <c r="P8" s="206"/>
      <c r="Q8" s="199"/>
      <c r="R8" s="198"/>
      <c r="S8" s="207"/>
      <c r="T8" s="198"/>
      <c r="U8" s="198"/>
      <c r="V8" s="184"/>
      <c r="W8" s="275" t="s">
        <v>100</v>
      </c>
      <c r="X8" s="276" t="s">
        <v>144</v>
      </c>
      <c r="Y8" s="277" t="s">
        <v>8</v>
      </c>
    </row>
    <row r="9" spans="1:25" ht="16.5">
      <c r="A9" s="278" t="s">
        <v>174</v>
      </c>
      <c r="B9" s="194"/>
      <c r="C9" s="194"/>
      <c r="D9" s="184"/>
      <c r="E9" s="278" t="s">
        <v>183</v>
      </c>
      <c r="F9" s="184"/>
      <c r="G9" s="199" t="s">
        <v>175</v>
      </c>
      <c r="H9" s="198"/>
      <c r="I9" s="199"/>
      <c r="J9" s="184"/>
      <c r="K9" s="199" t="s">
        <v>145</v>
      </c>
      <c r="L9" s="198"/>
      <c r="M9" s="199"/>
      <c r="N9" s="184"/>
      <c r="O9" s="199" t="s">
        <v>175</v>
      </c>
      <c r="P9" s="198"/>
      <c r="Q9" s="199"/>
      <c r="R9" s="184"/>
      <c r="S9" s="199" t="s">
        <v>145</v>
      </c>
      <c r="T9" s="198"/>
      <c r="U9" s="199"/>
      <c r="V9" s="184"/>
      <c r="W9" s="293" t="s">
        <v>141</v>
      </c>
      <c r="X9" s="294"/>
      <c r="Y9" s="295"/>
    </row>
    <row r="10" spans="1:25" ht="16.5">
      <c r="A10" s="280" t="s">
        <v>184</v>
      </c>
      <c r="B10" s="281"/>
      <c r="C10" s="282" t="s">
        <v>143</v>
      </c>
      <c r="D10" s="184"/>
      <c r="E10" s="282" t="s">
        <v>185</v>
      </c>
      <c r="F10" s="184"/>
      <c r="G10" s="203" t="s">
        <v>144</v>
      </c>
      <c r="H10" s="184"/>
      <c r="I10" s="283" t="s">
        <v>8</v>
      </c>
      <c r="J10" s="184"/>
      <c r="K10" s="211" t="s">
        <v>166</v>
      </c>
      <c r="L10" s="184"/>
      <c r="M10" s="280" t="s">
        <v>167</v>
      </c>
      <c r="N10" s="184"/>
      <c r="O10" s="203" t="s">
        <v>144</v>
      </c>
      <c r="P10" s="184"/>
      <c r="Q10" s="283" t="s">
        <v>8</v>
      </c>
      <c r="R10" s="184"/>
      <c r="S10" s="211" t="s">
        <v>166</v>
      </c>
      <c r="T10" s="184"/>
      <c r="U10" s="280" t="s">
        <v>167</v>
      </c>
      <c r="V10" s="184"/>
      <c r="W10" s="221" t="s">
        <v>35</v>
      </c>
      <c r="X10" s="222">
        <v>200</v>
      </c>
      <c r="Y10" s="223">
        <v>220</v>
      </c>
    </row>
    <row r="11" spans="1:25" ht="15">
      <c r="A11" s="194">
        <v>500</v>
      </c>
      <c r="B11" s="194"/>
      <c r="C11" s="194">
        <f>A11*0.5*730</f>
        <v>182500</v>
      </c>
      <c r="D11" s="184"/>
      <c r="E11" s="237">
        <v>0.6</v>
      </c>
      <c r="F11" s="184"/>
      <c r="G11" s="284">
        <f>ROUND(($X$10+(($X$12*(1+$X$30)+$X$11)*$A11+($X$13*$E11+$X$14*(1-$E11))/100*$C11*(1+$X$30))*(1+$X$16))+$X$15,2)</f>
        <v>13043.93</v>
      </c>
      <c r="H11" s="284"/>
      <c r="I11" s="284">
        <f>ROUND(($Y$10+(($Y$12*(1+$Y$30)+$Y$11)*$A11+($Y$13*$E11+$Y$14*(1-$E11))/100*$C11*(1+$Y$30))*(1+$Y$16))+$Y$15,2)</f>
        <v>14761.96</v>
      </c>
      <c r="J11" s="284"/>
      <c r="K11" s="284">
        <f aca="true" t="shared" si="0" ref="K11:K59">IF(I11="","",I11-G11)</f>
        <v>1718.0299999999988</v>
      </c>
      <c r="L11" s="184"/>
      <c r="M11" s="296">
        <f aca="true" t="shared" si="1" ref="M11:M59">IF(K11="","",I11/G11-1)</f>
        <v>0.13171107173988195</v>
      </c>
      <c r="N11" s="184"/>
      <c r="O11" s="284">
        <f>ROUND(($X$18+(($X$20*(1+$X$30)+$X$19)*$A11+($X$21*$E11+$X$22*(1-$E11))/100*$C11*(1+$X$30))*(1+$X$24))+$X$23,2)</f>
        <v>10103.61</v>
      </c>
      <c r="P11" s="284"/>
      <c r="Q11" s="284">
        <f>ROUND(($Y$18+(($Y$20*(1+$Y$30)+$Y$19)*$A11+($Y$21*$E11+$Y$22*(1-$E11))/100*$C11*(1+$Y$30))*(1+$Y$24))+$Y$23,2)</f>
        <v>11444.98</v>
      </c>
      <c r="R11" s="284"/>
      <c r="S11" s="284">
        <f aca="true" t="shared" si="2" ref="S11:S59">IF(Q11="","",Q11-O11)</f>
        <v>1341.369999999999</v>
      </c>
      <c r="T11" s="184"/>
      <c r="U11" s="296">
        <f aca="true" t="shared" si="3" ref="U11:U59">IF(S11="","",Q11/O11-1)</f>
        <v>0.13276145852818932</v>
      </c>
      <c r="V11" s="184"/>
      <c r="W11" s="221" t="s">
        <v>186</v>
      </c>
      <c r="X11" s="222">
        <v>1.71</v>
      </c>
      <c r="Y11" s="223">
        <v>2.05</v>
      </c>
    </row>
    <row r="12" spans="1:25" ht="15">
      <c r="A12" s="297">
        <f>A11</f>
        <v>500</v>
      </c>
      <c r="B12" s="194"/>
      <c r="C12" s="297">
        <f>C11</f>
        <v>182500</v>
      </c>
      <c r="D12" s="184"/>
      <c r="E12" s="237">
        <v>0.5</v>
      </c>
      <c r="F12" s="184"/>
      <c r="G12" s="284">
        <f aca="true" t="shared" si="4" ref="G12:G19">ROUND(($X$10+(($X$12*(1+$X$30)+$X$11)*$A12+($X$13*$E12+$X$14*(1-$E12))/100*$C12*(1+$X$30))*(1+$X$16))+$X$15,2)</f>
        <v>12779.2</v>
      </c>
      <c r="H12" s="284"/>
      <c r="I12" s="284">
        <f aca="true" t="shared" si="5" ref="I12:I19">ROUND(($Y$10+(($Y$12*(1+$Y$30)+$Y$11)*$A12+($Y$13*$E12+$Y$14*(1-$E12))/100*$C12*(1+$Y$30))*(1+$Y$16))+$Y$15,2)</f>
        <v>14463.23</v>
      </c>
      <c r="J12" s="284"/>
      <c r="K12" s="284">
        <f t="shared" si="0"/>
        <v>1684.0299999999988</v>
      </c>
      <c r="L12" s="184"/>
      <c r="M12" s="296">
        <f t="shared" si="1"/>
        <v>0.13177898459997484</v>
      </c>
      <c r="N12" s="184"/>
      <c r="O12" s="284">
        <f aca="true" t="shared" si="6" ref="O12:O59">ROUND(($X$18+(($X$20*(1+$X$30)+$X$19)*$A12+($X$21*$E12+$X$22*(1-$E12))/100*$C12*(1+$X$30))*(1+$X$24))+$X$23,2)</f>
        <v>10015.39</v>
      </c>
      <c r="P12" s="284"/>
      <c r="Q12" s="284">
        <f aca="true" t="shared" si="7" ref="Q12:Q59">ROUND(($Y$18+(($Y$20*(1+$Y$30)+$Y$19)*$A12+($Y$21*$E12+$Y$22*(1-$E12))/100*$C12*(1+$Y$30))*(1+$Y$24))+$Y$23,2)</f>
        <v>11345.36</v>
      </c>
      <c r="R12" s="284"/>
      <c r="S12" s="284">
        <f t="shared" si="2"/>
        <v>1329.9700000000012</v>
      </c>
      <c r="T12" s="184"/>
      <c r="U12" s="296">
        <f t="shared" si="3"/>
        <v>0.13279263213913794</v>
      </c>
      <c r="V12" s="184"/>
      <c r="W12" s="221" t="s">
        <v>187</v>
      </c>
      <c r="X12" s="222">
        <v>10.76</v>
      </c>
      <c r="Y12" s="223">
        <v>12.87</v>
      </c>
    </row>
    <row r="13" spans="1:25" ht="15">
      <c r="A13" s="297">
        <f>A12</f>
        <v>500</v>
      </c>
      <c r="B13" s="194"/>
      <c r="C13" s="297">
        <f>C12</f>
        <v>182500</v>
      </c>
      <c r="D13" s="184"/>
      <c r="E13" s="237">
        <v>0.4</v>
      </c>
      <c r="F13" s="184"/>
      <c r="G13" s="284">
        <f t="shared" si="4"/>
        <v>12514.47</v>
      </c>
      <c r="H13" s="284"/>
      <c r="I13" s="284">
        <f t="shared" si="5"/>
        <v>14164.5</v>
      </c>
      <c r="J13" s="284"/>
      <c r="K13" s="284">
        <f t="shared" si="0"/>
        <v>1650.0300000000007</v>
      </c>
      <c r="L13" s="184"/>
      <c r="M13" s="296">
        <f t="shared" si="1"/>
        <v>0.13184977070543136</v>
      </c>
      <c r="N13" s="184"/>
      <c r="O13" s="284">
        <f t="shared" si="6"/>
        <v>9927.18</v>
      </c>
      <c r="P13" s="284"/>
      <c r="Q13" s="284">
        <f t="shared" si="7"/>
        <v>11245.74</v>
      </c>
      <c r="R13" s="284"/>
      <c r="S13" s="284">
        <f t="shared" si="2"/>
        <v>1318.5599999999995</v>
      </c>
      <c r="T13" s="184"/>
      <c r="U13" s="296">
        <f t="shared" si="3"/>
        <v>0.13282321867841618</v>
      </c>
      <c r="V13" s="184"/>
      <c r="W13" s="221" t="s">
        <v>188</v>
      </c>
      <c r="X13" s="286">
        <v>3.5858</v>
      </c>
      <c r="Y13" s="287">
        <v>4.2895</v>
      </c>
    </row>
    <row r="14" spans="1:25" ht="15">
      <c r="A14" s="297">
        <f>A13</f>
        <v>500</v>
      </c>
      <c r="B14" s="194"/>
      <c r="C14" s="194">
        <f>A11*0.7*730</f>
        <v>255500</v>
      </c>
      <c r="D14" s="184"/>
      <c r="E14" s="237">
        <f aca="true" t="shared" si="8" ref="E14:E19">E11</f>
        <v>0.6</v>
      </c>
      <c r="F14" s="184"/>
      <c r="G14" s="284">
        <f t="shared" si="4"/>
        <v>15466.77</v>
      </c>
      <c r="H14" s="284"/>
      <c r="I14" s="284">
        <f t="shared" si="5"/>
        <v>17494.49</v>
      </c>
      <c r="J14" s="284"/>
      <c r="K14" s="284">
        <f t="shared" si="0"/>
        <v>2027.7200000000012</v>
      </c>
      <c r="L14" s="184"/>
      <c r="M14" s="296">
        <f t="shared" si="1"/>
        <v>0.13110171031184925</v>
      </c>
      <c r="N14" s="184"/>
      <c r="O14" s="284">
        <f t="shared" si="6"/>
        <v>12102.79</v>
      </c>
      <c r="P14" s="284"/>
      <c r="Q14" s="284">
        <f t="shared" si="7"/>
        <v>13699.65</v>
      </c>
      <c r="R14" s="284"/>
      <c r="S14" s="284">
        <f t="shared" si="2"/>
        <v>1596.8599999999988</v>
      </c>
      <c r="T14" s="184"/>
      <c r="U14" s="296">
        <f t="shared" si="3"/>
        <v>0.1319414779567354</v>
      </c>
      <c r="V14" s="184"/>
      <c r="W14" s="221" t="s">
        <v>189</v>
      </c>
      <c r="X14" s="286">
        <v>2.2518</v>
      </c>
      <c r="Y14" s="287">
        <v>2.693</v>
      </c>
    </row>
    <row r="15" spans="1:25" ht="15">
      <c r="A15" s="297">
        <f>A14</f>
        <v>500</v>
      </c>
      <c r="B15" s="194"/>
      <c r="C15" s="297">
        <f>C14</f>
        <v>255500</v>
      </c>
      <c r="D15" s="184"/>
      <c r="E15" s="237">
        <f t="shared" si="8"/>
        <v>0.5</v>
      </c>
      <c r="F15" s="184"/>
      <c r="G15" s="284">
        <f t="shared" si="4"/>
        <v>15096.15</v>
      </c>
      <c r="H15" s="284"/>
      <c r="I15" s="284">
        <f t="shared" si="5"/>
        <v>17076.28</v>
      </c>
      <c r="J15" s="284"/>
      <c r="K15" s="284">
        <f t="shared" si="0"/>
        <v>1980.1299999999992</v>
      </c>
      <c r="L15" s="184"/>
      <c r="M15" s="296">
        <f t="shared" si="1"/>
        <v>0.1311678805523262</v>
      </c>
      <c r="N15" s="184"/>
      <c r="O15" s="284">
        <f t="shared" si="6"/>
        <v>11979.3</v>
      </c>
      <c r="P15" s="284"/>
      <c r="Q15" s="284">
        <f t="shared" si="7"/>
        <v>13560.19</v>
      </c>
      <c r="R15" s="284"/>
      <c r="S15" s="284">
        <f t="shared" si="2"/>
        <v>1580.8900000000012</v>
      </c>
      <c r="T15" s="184"/>
      <c r="U15" s="296">
        <f t="shared" si="3"/>
        <v>0.13196847895953856</v>
      </c>
      <c r="V15" s="184"/>
      <c r="W15" s="221" t="s">
        <v>193</v>
      </c>
      <c r="X15" s="222">
        <v>50</v>
      </c>
      <c r="Y15" s="223">
        <f>X15</f>
        <v>50</v>
      </c>
    </row>
    <row r="16" spans="1:25" ht="15">
      <c r="A16" s="297">
        <f>A15</f>
        <v>500</v>
      </c>
      <c r="B16" s="194"/>
      <c r="C16" s="297">
        <f>C15</f>
        <v>255500</v>
      </c>
      <c r="D16" s="184"/>
      <c r="E16" s="237">
        <f t="shared" si="8"/>
        <v>0.4</v>
      </c>
      <c r="F16" s="184"/>
      <c r="G16" s="284">
        <f t="shared" si="4"/>
        <v>14725.52</v>
      </c>
      <c r="H16" s="284"/>
      <c r="I16" s="284">
        <f t="shared" si="5"/>
        <v>16658.06</v>
      </c>
      <c r="J16" s="284"/>
      <c r="K16" s="284">
        <f t="shared" si="0"/>
        <v>1932.5400000000009</v>
      </c>
      <c r="L16" s="184"/>
      <c r="M16" s="296">
        <f t="shared" si="1"/>
        <v>0.1312374707310846</v>
      </c>
      <c r="N16" s="184"/>
      <c r="O16" s="284">
        <f t="shared" si="6"/>
        <v>11855.8</v>
      </c>
      <c r="P16" s="284"/>
      <c r="Q16" s="284">
        <f t="shared" si="7"/>
        <v>13420.72</v>
      </c>
      <c r="R16" s="284"/>
      <c r="S16" s="284">
        <f t="shared" si="2"/>
        <v>1564.92</v>
      </c>
      <c r="T16" s="184"/>
      <c r="U16" s="296">
        <f t="shared" si="3"/>
        <v>0.13199615378127172</v>
      </c>
      <c r="V16" s="184"/>
      <c r="W16" s="221" t="s">
        <v>194</v>
      </c>
      <c r="X16" s="289">
        <v>0.037</v>
      </c>
      <c r="Y16" s="290">
        <f>X16</f>
        <v>0.037</v>
      </c>
    </row>
    <row r="17" spans="1:25" ht="15">
      <c r="A17" s="297">
        <f>A14</f>
        <v>500</v>
      </c>
      <c r="B17" s="194"/>
      <c r="C17" s="194">
        <f>A11*0.9*730</f>
        <v>328500</v>
      </c>
      <c r="D17" s="184"/>
      <c r="E17" s="237">
        <f t="shared" si="8"/>
        <v>0.6</v>
      </c>
      <c r="F17" s="184"/>
      <c r="G17" s="284">
        <f t="shared" si="4"/>
        <v>17889.61</v>
      </c>
      <c r="H17" s="284"/>
      <c r="I17" s="284">
        <f t="shared" si="5"/>
        <v>20227.03</v>
      </c>
      <c r="J17" s="284"/>
      <c r="K17" s="284">
        <f t="shared" si="0"/>
        <v>2337.4199999999983</v>
      </c>
      <c r="L17" s="184"/>
      <c r="M17" s="296">
        <f t="shared" si="1"/>
        <v>0.13065796291814058</v>
      </c>
      <c r="N17" s="184"/>
      <c r="O17" s="284">
        <f t="shared" si="6"/>
        <v>14101.98</v>
      </c>
      <c r="P17" s="284"/>
      <c r="Q17" s="284">
        <f t="shared" si="7"/>
        <v>15954.33</v>
      </c>
      <c r="R17" s="284"/>
      <c r="S17" s="284">
        <f t="shared" si="2"/>
        <v>1852.3500000000004</v>
      </c>
      <c r="T17" s="184"/>
      <c r="U17" s="296">
        <f t="shared" si="3"/>
        <v>0.13135389498495953</v>
      </c>
      <c r="V17" s="184"/>
      <c r="W17" s="279" t="s">
        <v>142</v>
      </c>
      <c r="X17" s="228"/>
      <c r="Y17" s="220"/>
    </row>
    <row r="18" spans="1:25" ht="15">
      <c r="A18" s="297">
        <f>A15</f>
        <v>500</v>
      </c>
      <c r="B18" s="194"/>
      <c r="C18" s="297">
        <f>C17</f>
        <v>328500</v>
      </c>
      <c r="D18" s="184"/>
      <c r="E18" s="237">
        <f t="shared" si="8"/>
        <v>0.5</v>
      </c>
      <c r="F18" s="184"/>
      <c r="G18" s="284">
        <f t="shared" si="4"/>
        <v>17413.09</v>
      </c>
      <c r="H18" s="284"/>
      <c r="I18" s="284">
        <f t="shared" si="5"/>
        <v>19689.32</v>
      </c>
      <c r="J18" s="284"/>
      <c r="K18" s="284">
        <f t="shared" si="0"/>
        <v>2276.2299999999996</v>
      </c>
      <c r="L18" s="184"/>
      <c r="M18" s="296">
        <f t="shared" si="1"/>
        <v>0.13071947598042621</v>
      </c>
      <c r="N18" s="184"/>
      <c r="O18" s="284">
        <f t="shared" si="6"/>
        <v>13943.2</v>
      </c>
      <c r="P18" s="284"/>
      <c r="Q18" s="284">
        <f t="shared" si="7"/>
        <v>15775.02</v>
      </c>
      <c r="R18" s="284"/>
      <c r="S18" s="284">
        <f t="shared" si="2"/>
        <v>1831.8199999999997</v>
      </c>
      <c r="T18" s="184"/>
      <c r="U18" s="296">
        <f t="shared" si="3"/>
        <v>0.1313773021974869</v>
      </c>
      <c r="V18" s="184"/>
      <c r="W18" s="221" t="s">
        <v>35</v>
      </c>
      <c r="X18" s="228">
        <f>X10</f>
        <v>200</v>
      </c>
      <c r="Y18" s="229">
        <f>Y10</f>
        <v>220</v>
      </c>
    </row>
    <row r="19" spans="1:25" ht="15">
      <c r="A19" s="297">
        <f>A16</f>
        <v>500</v>
      </c>
      <c r="B19" s="194"/>
      <c r="C19" s="297">
        <f>C18</f>
        <v>328500</v>
      </c>
      <c r="D19" s="184"/>
      <c r="E19" s="237">
        <f t="shared" si="8"/>
        <v>0.4</v>
      </c>
      <c r="F19" s="184"/>
      <c r="G19" s="284">
        <f t="shared" si="4"/>
        <v>16936.57</v>
      </c>
      <c r="H19" s="284"/>
      <c r="I19" s="284">
        <f t="shared" si="5"/>
        <v>19151.61</v>
      </c>
      <c r="J19" s="284"/>
      <c r="K19" s="284">
        <f t="shared" si="0"/>
        <v>2215.040000000001</v>
      </c>
      <c r="L19" s="184"/>
      <c r="M19" s="296">
        <f t="shared" si="1"/>
        <v>0.13078445045248244</v>
      </c>
      <c r="N19" s="184"/>
      <c r="O19" s="284">
        <f t="shared" si="6"/>
        <v>13784.42</v>
      </c>
      <c r="P19" s="284"/>
      <c r="Q19" s="284">
        <f t="shared" si="7"/>
        <v>15595.7</v>
      </c>
      <c r="R19" s="284"/>
      <c r="S19" s="284">
        <f t="shared" si="2"/>
        <v>1811.2800000000007</v>
      </c>
      <c r="T19" s="184"/>
      <c r="U19" s="296">
        <f t="shared" si="3"/>
        <v>0.13140052319938023</v>
      </c>
      <c r="V19" s="184"/>
      <c r="W19" s="221" t="s">
        <v>186</v>
      </c>
      <c r="X19" s="228">
        <f>X11</f>
        <v>1.71</v>
      </c>
      <c r="Y19" s="229">
        <f>Y11</f>
        <v>2.05</v>
      </c>
    </row>
    <row r="20" spans="1:25" ht="15">
      <c r="A20" s="194"/>
      <c r="B20" s="194"/>
      <c r="C20" s="194"/>
      <c r="D20" s="184"/>
      <c r="E20" s="194"/>
      <c r="F20" s="184"/>
      <c r="G20" s="284"/>
      <c r="H20" s="284"/>
      <c r="I20" s="284"/>
      <c r="J20" s="284"/>
      <c r="K20" s="284" t="str">
        <f t="shared" si="0"/>
        <v/>
      </c>
      <c r="L20" s="184"/>
      <c r="M20" s="296" t="str">
        <f t="shared" si="1"/>
        <v/>
      </c>
      <c r="N20" s="184"/>
      <c r="O20" s="284"/>
      <c r="P20" s="284"/>
      <c r="Q20" s="284"/>
      <c r="R20" s="284"/>
      <c r="S20" s="284" t="str">
        <f t="shared" si="2"/>
        <v/>
      </c>
      <c r="T20" s="184"/>
      <c r="U20" s="296" t="str">
        <f t="shared" si="3"/>
        <v/>
      </c>
      <c r="V20" s="184"/>
      <c r="W20" s="221" t="s">
        <v>187</v>
      </c>
      <c r="X20" s="222">
        <v>7.3</v>
      </c>
      <c r="Y20" s="223">
        <v>8.73</v>
      </c>
    </row>
    <row r="21" spans="1:25" ht="15">
      <c r="A21" s="194">
        <v>1000</v>
      </c>
      <c r="B21" s="194"/>
      <c r="C21" s="194">
        <f>A21*0.5*730</f>
        <v>365000</v>
      </c>
      <c r="D21" s="184"/>
      <c r="E21" s="237">
        <v>0.6</v>
      </c>
      <c r="F21" s="184"/>
      <c r="G21" s="284">
        <f aca="true" t="shared" si="9" ref="G21:G29">ROUND(($X$10+(($X$12*(1+$X$30)+$X$11)*$A21+($X$13*$E21+$X$14*(1-$E21))/100*$C21*(1+$X$30))*(1+$X$16))+$X$15,2)</f>
        <v>25837.87</v>
      </c>
      <c r="H21" s="284"/>
      <c r="I21" s="284">
        <f aca="true" t="shared" si="10" ref="I21:I29">ROUND(($Y$10+(($Y$12*(1+$Y$30)+$Y$11)*$A21+($Y$13*$E21+$Y$14*(1-$E21))/100*$C21*(1+$Y$30))*(1+$Y$16))+$Y$15,2)</f>
        <v>29253.91</v>
      </c>
      <c r="J21" s="284"/>
      <c r="K21" s="284">
        <f t="shared" si="0"/>
        <v>3416.040000000001</v>
      </c>
      <c r="L21" s="184"/>
      <c r="M21" s="296">
        <f t="shared" si="1"/>
        <v>0.13221058856631762</v>
      </c>
      <c r="N21" s="184"/>
      <c r="O21" s="284">
        <f t="shared" si="6"/>
        <v>19957.21</v>
      </c>
      <c r="P21" s="284"/>
      <c r="Q21" s="284">
        <f t="shared" si="7"/>
        <v>22619.95</v>
      </c>
      <c r="R21" s="284"/>
      <c r="S21" s="284">
        <f t="shared" si="2"/>
        <v>2662.7400000000016</v>
      </c>
      <c r="T21" s="184"/>
      <c r="U21" s="296">
        <f t="shared" si="3"/>
        <v>0.13342245734749514</v>
      </c>
      <c r="V21" s="184"/>
      <c r="W21" s="221" t="s">
        <v>188</v>
      </c>
      <c r="X21" s="286">
        <v>2.6963</v>
      </c>
      <c r="Y21" s="287">
        <v>3.2254</v>
      </c>
    </row>
    <row r="22" spans="1:25" ht="15">
      <c r="A22" s="297">
        <f>A21</f>
        <v>1000</v>
      </c>
      <c r="B22" s="194"/>
      <c r="C22" s="297">
        <f>C21</f>
        <v>365000</v>
      </c>
      <c r="D22" s="184"/>
      <c r="E22" s="237">
        <v>0.5</v>
      </c>
      <c r="F22" s="184"/>
      <c r="G22" s="284">
        <f t="shared" si="9"/>
        <v>25308.4</v>
      </c>
      <c r="H22" s="284"/>
      <c r="I22" s="284">
        <f t="shared" si="10"/>
        <v>28656.46</v>
      </c>
      <c r="J22" s="284"/>
      <c r="K22" s="284">
        <f t="shared" si="0"/>
        <v>3348.0599999999977</v>
      </c>
      <c r="L22" s="184"/>
      <c r="M22" s="296">
        <f t="shared" si="1"/>
        <v>0.13229046482590756</v>
      </c>
      <c r="N22" s="184"/>
      <c r="O22" s="284">
        <f t="shared" si="6"/>
        <v>19780.79</v>
      </c>
      <c r="P22" s="284"/>
      <c r="Q22" s="284">
        <f t="shared" si="7"/>
        <v>22420.71</v>
      </c>
      <c r="R22" s="284"/>
      <c r="S22" s="284">
        <f t="shared" si="2"/>
        <v>2639.9199999999983</v>
      </c>
      <c r="T22" s="184"/>
      <c r="U22" s="296">
        <f t="shared" si="3"/>
        <v>0.13345877490231683</v>
      </c>
      <c r="V22" s="184"/>
      <c r="W22" s="221" t="s">
        <v>189</v>
      </c>
      <c r="X22" s="286">
        <v>2.2518</v>
      </c>
      <c r="Y22" s="298">
        <f>Y14</f>
        <v>2.693</v>
      </c>
    </row>
    <row r="23" spans="1:25" ht="15">
      <c r="A23" s="297">
        <f>A22</f>
        <v>1000</v>
      </c>
      <c r="B23" s="194"/>
      <c r="C23" s="297">
        <f>C22</f>
        <v>365000</v>
      </c>
      <c r="D23" s="184"/>
      <c r="E23" s="237">
        <v>0.4</v>
      </c>
      <c r="F23" s="184"/>
      <c r="G23" s="284">
        <f t="shared" si="9"/>
        <v>24778.94</v>
      </c>
      <c r="H23" s="284"/>
      <c r="I23" s="284">
        <f t="shared" si="10"/>
        <v>28059</v>
      </c>
      <c r="J23" s="284"/>
      <c r="K23" s="284">
        <f t="shared" si="0"/>
        <v>3280.0600000000013</v>
      </c>
      <c r="L23" s="184"/>
      <c r="M23" s="296">
        <f t="shared" si="1"/>
        <v>0.13237289407860064</v>
      </c>
      <c r="N23" s="184"/>
      <c r="O23" s="284">
        <f t="shared" si="6"/>
        <v>19604.37</v>
      </c>
      <c r="P23" s="284"/>
      <c r="Q23" s="284">
        <f t="shared" si="7"/>
        <v>22221.47</v>
      </c>
      <c r="R23" s="284"/>
      <c r="S23" s="284">
        <f t="shared" si="2"/>
        <v>2617.100000000002</v>
      </c>
      <c r="T23" s="184"/>
      <c r="U23" s="296">
        <f t="shared" si="3"/>
        <v>0.13349574610150716</v>
      </c>
      <c r="V23" s="184"/>
      <c r="W23" s="221" t="s">
        <v>193</v>
      </c>
      <c r="X23" s="228">
        <f>X15</f>
        <v>50</v>
      </c>
      <c r="Y23" s="229">
        <f>Y15</f>
        <v>50</v>
      </c>
    </row>
    <row r="24" spans="1:25" ht="15">
      <c r="A24" s="297">
        <f>A23</f>
        <v>1000</v>
      </c>
      <c r="B24" s="194"/>
      <c r="C24" s="194">
        <f>A21*0.7*730</f>
        <v>511000</v>
      </c>
      <c r="D24" s="184"/>
      <c r="E24" s="237">
        <f aca="true" t="shared" si="11" ref="E24:E29">E21</f>
        <v>0.6</v>
      </c>
      <c r="F24" s="184"/>
      <c r="G24" s="284">
        <f t="shared" si="9"/>
        <v>30683.54</v>
      </c>
      <c r="H24" s="284"/>
      <c r="I24" s="284">
        <f t="shared" si="10"/>
        <v>34718.99</v>
      </c>
      <c r="J24" s="284"/>
      <c r="K24" s="284">
        <f t="shared" si="0"/>
        <v>4035.449999999997</v>
      </c>
      <c r="L24" s="184"/>
      <c r="M24" s="296">
        <f t="shared" si="1"/>
        <v>0.13151839716017122</v>
      </c>
      <c r="N24" s="184"/>
      <c r="O24" s="284">
        <f t="shared" si="6"/>
        <v>23955.59</v>
      </c>
      <c r="P24" s="284"/>
      <c r="Q24" s="284">
        <f t="shared" si="7"/>
        <v>27129.31</v>
      </c>
      <c r="R24" s="284"/>
      <c r="S24" s="284">
        <f t="shared" si="2"/>
        <v>3173.720000000001</v>
      </c>
      <c r="T24" s="184"/>
      <c r="U24" s="296">
        <f t="shared" si="3"/>
        <v>0.13248348297829438</v>
      </c>
      <c r="V24" s="184"/>
      <c r="W24" s="232" t="s">
        <v>194</v>
      </c>
      <c r="X24" s="291">
        <f>X16</f>
        <v>0.037</v>
      </c>
      <c r="Y24" s="292">
        <f>Y16</f>
        <v>0.037</v>
      </c>
    </row>
    <row r="25" spans="1:25" ht="15">
      <c r="A25" s="297">
        <f>A24</f>
        <v>1000</v>
      </c>
      <c r="B25" s="194"/>
      <c r="C25" s="297">
        <f>C24</f>
        <v>511000</v>
      </c>
      <c r="D25" s="184"/>
      <c r="E25" s="237">
        <f t="shared" si="11"/>
        <v>0.5</v>
      </c>
      <c r="F25" s="184"/>
      <c r="G25" s="284">
        <f t="shared" si="9"/>
        <v>29942.29</v>
      </c>
      <c r="H25" s="284"/>
      <c r="I25" s="284">
        <f t="shared" si="10"/>
        <v>33882.55</v>
      </c>
      <c r="J25" s="284"/>
      <c r="K25" s="284">
        <f t="shared" si="0"/>
        <v>3940.260000000002</v>
      </c>
      <c r="L25" s="184"/>
      <c r="M25" s="296">
        <f t="shared" si="1"/>
        <v>0.1315951451943056</v>
      </c>
      <c r="N25" s="184"/>
      <c r="O25" s="284">
        <f t="shared" si="6"/>
        <v>23708.59</v>
      </c>
      <c r="P25" s="284"/>
      <c r="Q25" s="284">
        <f t="shared" si="7"/>
        <v>26850.37</v>
      </c>
      <c r="R25" s="284"/>
      <c r="S25" s="284">
        <f t="shared" si="2"/>
        <v>3141.779999999999</v>
      </c>
      <c r="T25" s="184"/>
      <c r="U25" s="296">
        <f t="shared" si="3"/>
        <v>0.13251652671036096</v>
      </c>
      <c r="V25" s="184"/>
      <c r="W25" s="184"/>
      <c r="X25" s="184"/>
      <c r="Y25" s="184"/>
    </row>
    <row r="26" spans="1:25" ht="15">
      <c r="A26" s="297">
        <f>A25</f>
        <v>1000</v>
      </c>
      <c r="B26" s="194"/>
      <c r="C26" s="297">
        <f>C25</f>
        <v>511000</v>
      </c>
      <c r="D26" s="184"/>
      <c r="E26" s="237">
        <f t="shared" si="11"/>
        <v>0.4</v>
      </c>
      <c r="F26" s="184"/>
      <c r="G26" s="284">
        <f t="shared" si="9"/>
        <v>29201.04</v>
      </c>
      <c r="H26" s="284"/>
      <c r="I26" s="284">
        <f t="shared" si="10"/>
        <v>33046.12</v>
      </c>
      <c r="J26" s="284"/>
      <c r="K26" s="284">
        <f t="shared" si="0"/>
        <v>3845.0800000000017</v>
      </c>
      <c r="L26" s="184"/>
      <c r="M26" s="296">
        <f t="shared" si="1"/>
        <v>0.1316761320829669</v>
      </c>
      <c r="N26" s="184"/>
      <c r="O26" s="284">
        <f t="shared" si="6"/>
        <v>23461.6</v>
      </c>
      <c r="P26" s="284"/>
      <c r="Q26" s="284">
        <f t="shared" si="7"/>
        <v>26571.44</v>
      </c>
      <c r="R26" s="284"/>
      <c r="S26" s="284">
        <f t="shared" si="2"/>
        <v>3109.84</v>
      </c>
      <c r="T26" s="184"/>
      <c r="U26" s="296">
        <f t="shared" si="3"/>
        <v>0.13255020970436804</v>
      </c>
      <c r="V26" s="184"/>
      <c r="W26" s="184" t="s">
        <v>158</v>
      </c>
      <c r="X26" s="184"/>
      <c r="Y26" s="236"/>
    </row>
    <row r="27" spans="1:25" ht="15">
      <c r="A27" s="297">
        <f>A24</f>
        <v>1000</v>
      </c>
      <c r="B27" s="194"/>
      <c r="C27" s="194">
        <f>A21*0.9*730</f>
        <v>657000</v>
      </c>
      <c r="D27" s="184"/>
      <c r="E27" s="237">
        <f t="shared" si="11"/>
        <v>0.6</v>
      </c>
      <c r="F27" s="184"/>
      <c r="G27" s="284">
        <f t="shared" si="9"/>
        <v>35529.22</v>
      </c>
      <c r="H27" s="284"/>
      <c r="I27" s="284">
        <f t="shared" si="10"/>
        <v>40184.06</v>
      </c>
      <c r="J27" s="284"/>
      <c r="K27" s="284">
        <f t="shared" si="0"/>
        <v>4654.8399999999965</v>
      </c>
      <c r="L27" s="184"/>
      <c r="M27" s="296">
        <f t="shared" si="1"/>
        <v>0.13101441574005834</v>
      </c>
      <c r="N27" s="184"/>
      <c r="O27" s="284">
        <f t="shared" si="6"/>
        <v>27953.96</v>
      </c>
      <c r="P27" s="284"/>
      <c r="Q27" s="284">
        <f t="shared" si="7"/>
        <v>31638.66</v>
      </c>
      <c r="R27" s="284"/>
      <c r="S27" s="284">
        <f t="shared" si="2"/>
        <v>3684.7000000000007</v>
      </c>
      <c r="T27" s="184"/>
      <c r="U27" s="296">
        <f t="shared" si="3"/>
        <v>0.13181316707901147</v>
      </c>
      <c r="V27" s="184"/>
      <c r="W27" s="184" t="s">
        <v>134</v>
      </c>
      <c r="X27" s="235">
        <v>0.0599</v>
      </c>
      <c r="Y27" s="184">
        <v>0</v>
      </c>
    </row>
    <row r="28" spans="1:25" ht="15">
      <c r="A28" s="297">
        <f>A25</f>
        <v>1000</v>
      </c>
      <c r="B28" s="194"/>
      <c r="C28" s="297">
        <f>C27</f>
        <v>657000</v>
      </c>
      <c r="D28" s="184"/>
      <c r="E28" s="237">
        <f t="shared" si="11"/>
        <v>0.5</v>
      </c>
      <c r="F28" s="184"/>
      <c r="G28" s="284">
        <f t="shared" si="9"/>
        <v>34576.18</v>
      </c>
      <c r="H28" s="284"/>
      <c r="I28" s="284">
        <f t="shared" si="10"/>
        <v>39108.64</v>
      </c>
      <c r="J28" s="284"/>
      <c r="K28" s="284">
        <f t="shared" si="0"/>
        <v>4532.459999999999</v>
      </c>
      <c r="L28" s="184"/>
      <c r="M28" s="296">
        <f t="shared" si="1"/>
        <v>0.13108619864889648</v>
      </c>
      <c r="N28" s="184"/>
      <c r="O28" s="284">
        <f t="shared" si="6"/>
        <v>27636.4</v>
      </c>
      <c r="P28" s="284"/>
      <c r="Q28" s="284">
        <f t="shared" si="7"/>
        <v>31280.03</v>
      </c>
      <c r="R28" s="284"/>
      <c r="S28" s="284">
        <f t="shared" si="2"/>
        <v>3643.6299999999974</v>
      </c>
      <c r="T28" s="184"/>
      <c r="U28" s="296">
        <f t="shared" si="3"/>
        <v>0.13184170152407693</v>
      </c>
      <c r="V28" s="184"/>
      <c r="W28" s="184" t="s">
        <v>159</v>
      </c>
      <c r="X28" s="235">
        <v>0.0223</v>
      </c>
      <c r="Y28" s="236">
        <f>X28</f>
        <v>0.0223</v>
      </c>
    </row>
    <row r="29" spans="1:25" ht="15">
      <c r="A29" s="297">
        <f>A26</f>
        <v>1000</v>
      </c>
      <c r="B29" s="194"/>
      <c r="C29" s="297">
        <f>C28</f>
        <v>657000</v>
      </c>
      <c r="D29" s="184"/>
      <c r="E29" s="237">
        <f t="shared" si="11"/>
        <v>0.4</v>
      </c>
      <c r="F29" s="184"/>
      <c r="G29" s="284">
        <f t="shared" si="9"/>
        <v>33623.15</v>
      </c>
      <c r="H29" s="284"/>
      <c r="I29" s="284">
        <f t="shared" si="10"/>
        <v>38033.23</v>
      </c>
      <c r="J29" s="284"/>
      <c r="K29" s="284">
        <f t="shared" si="0"/>
        <v>4410.080000000002</v>
      </c>
      <c r="L29" s="184"/>
      <c r="M29" s="296">
        <f t="shared" si="1"/>
        <v>0.13116201188764287</v>
      </c>
      <c r="N29" s="184"/>
      <c r="O29" s="284">
        <f t="shared" si="6"/>
        <v>27318.84</v>
      </c>
      <c r="P29" s="284"/>
      <c r="Q29" s="284">
        <f t="shared" si="7"/>
        <v>30921.4</v>
      </c>
      <c r="R29" s="284"/>
      <c r="S29" s="284">
        <f t="shared" si="2"/>
        <v>3602.5600000000013</v>
      </c>
      <c r="T29" s="184"/>
      <c r="U29" s="296">
        <f t="shared" si="3"/>
        <v>0.1318708993500457</v>
      </c>
      <c r="V29" s="184"/>
      <c r="W29" s="184" t="s">
        <v>160</v>
      </c>
      <c r="X29" s="235">
        <v>-0.0336</v>
      </c>
      <c r="Y29" s="236">
        <f>X29</f>
        <v>-0.0336</v>
      </c>
    </row>
    <row r="30" spans="1:25" ht="15">
      <c r="A30" s="194"/>
      <c r="B30" s="194"/>
      <c r="C30" s="194"/>
      <c r="D30" s="184"/>
      <c r="E30" s="194"/>
      <c r="F30" s="184"/>
      <c r="G30" s="284"/>
      <c r="H30" s="284"/>
      <c r="I30" s="284"/>
      <c r="J30" s="284"/>
      <c r="K30" s="284" t="str">
        <f t="shared" si="0"/>
        <v/>
      </c>
      <c r="L30" s="184"/>
      <c r="M30" s="296" t="str">
        <f t="shared" si="1"/>
        <v/>
      </c>
      <c r="N30" s="184"/>
      <c r="O30" s="284"/>
      <c r="P30" s="284"/>
      <c r="Q30" s="284"/>
      <c r="R30" s="284"/>
      <c r="S30" s="284" t="str">
        <f t="shared" si="2"/>
        <v/>
      </c>
      <c r="T30" s="184"/>
      <c r="U30" s="296" t="str">
        <f t="shared" si="3"/>
        <v/>
      </c>
      <c r="V30" s="184"/>
      <c r="W30" s="182" t="s">
        <v>161</v>
      </c>
      <c r="X30" s="235">
        <f>SUM(X27:X29)</f>
        <v>0.0486</v>
      </c>
      <c r="Y30" s="236">
        <f>SUM(Y27:Y29)</f>
        <v>-0.011299999999999998</v>
      </c>
    </row>
    <row r="31" spans="1:25" ht="15">
      <c r="A31" s="194">
        <v>2000</v>
      </c>
      <c r="B31" s="194"/>
      <c r="C31" s="194">
        <f>A31*0.5*730</f>
        <v>730000</v>
      </c>
      <c r="D31" s="184"/>
      <c r="E31" s="237">
        <v>0.6</v>
      </c>
      <c r="F31" s="184"/>
      <c r="G31" s="284">
        <f aca="true" t="shared" si="12" ref="G31:G39">ROUND(($X$10+(($X$12*(1+$X$30)+$X$11)*$A31+($X$13*$E31+$X$14*(1-$E31))/100*$C31*(1+$X$30))*(1+$X$16))+$X$15,2)</f>
        <v>51425.73</v>
      </c>
      <c r="H31" s="284"/>
      <c r="I31" s="284">
        <f aca="true" t="shared" si="13" ref="I31:I39">ROUND(($Y$10+(($Y$12*(1+$Y$30)+$Y$11)*$A31+($Y$13*$E31+$Y$14*(1-$E31))/100*$C31*(1+$Y$30))*(1+$Y$16))+$Y$15,2)</f>
        <v>58237.83</v>
      </c>
      <c r="J31" s="284"/>
      <c r="K31" s="284">
        <f t="shared" si="0"/>
        <v>6812.0999999999985</v>
      </c>
      <c r="L31" s="184"/>
      <c r="M31" s="296">
        <f t="shared" si="1"/>
        <v>0.13246481868123205</v>
      </c>
      <c r="N31" s="184"/>
      <c r="O31" s="284">
        <f t="shared" si="6"/>
        <v>39664.42</v>
      </c>
      <c r="P31" s="284"/>
      <c r="Q31" s="284">
        <f t="shared" si="7"/>
        <v>44969.9</v>
      </c>
      <c r="R31" s="284"/>
      <c r="S31" s="284">
        <f t="shared" si="2"/>
        <v>5305.480000000003</v>
      </c>
      <c r="T31" s="184"/>
      <c r="U31" s="296">
        <f t="shared" si="3"/>
        <v>0.13375917257834602</v>
      </c>
      <c r="V31" s="184"/>
      <c r="W31" s="184"/>
      <c r="X31" s="184"/>
      <c r="Y31" s="184"/>
    </row>
    <row r="32" spans="1:25" ht="15">
      <c r="A32" s="297">
        <f>A31</f>
        <v>2000</v>
      </c>
      <c r="B32" s="194"/>
      <c r="C32" s="297">
        <f>C31</f>
        <v>730000</v>
      </c>
      <c r="D32" s="184"/>
      <c r="E32" s="237">
        <v>0.5</v>
      </c>
      <c r="F32" s="184"/>
      <c r="G32" s="284">
        <f t="shared" si="12"/>
        <v>50366.8</v>
      </c>
      <c r="H32" s="284"/>
      <c r="I32" s="284">
        <f t="shared" si="13"/>
        <v>57042.92</v>
      </c>
      <c r="J32" s="284"/>
      <c r="K32" s="284">
        <f t="shared" si="0"/>
        <v>6676.119999999995</v>
      </c>
      <c r="L32" s="184"/>
      <c r="M32" s="296">
        <f t="shared" si="1"/>
        <v>0.13255001310386993</v>
      </c>
      <c r="N32" s="184"/>
      <c r="O32" s="284">
        <f t="shared" si="6"/>
        <v>39311.58</v>
      </c>
      <c r="P32" s="284"/>
      <c r="Q32" s="284">
        <f t="shared" si="7"/>
        <v>44571.43</v>
      </c>
      <c r="R32" s="284"/>
      <c r="S32" s="284">
        <f t="shared" si="2"/>
        <v>5259.8499999999985</v>
      </c>
      <c r="T32" s="184"/>
      <c r="U32" s="296">
        <f t="shared" si="3"/>
        <v>0.1337989976490388</v>
      </c>
      <c r="V32" s="184"/>
      <c r="W32" s="184"/>
      <c r="X32" s="184"/>
      <c r="Y32" s="184"/>
    </row>
    <row r="33" spans="1:25" ht="15">
      <c r="A33" s="297">
        <f>A32</f>
        <v>2000</v>
      </c>
      <c r="B33" s="194"/>
      <c r="C33" s="297">
        <f>C32</f>
        <v>730000</v>
      </c>
      <c r="D33" s="184"/>
      <c r="E33" s="237">
        <v>0.4</v>
      </c>
      <c r="F33" s="184"/>
      <c r="G33" s="284">
        <f t="shared" si="12"/>
        <v>49307.87</v>
      </c>
      <c r="H33" s="284"/>
      <c r="I33" s="284">
        <f t="shared" si="13"/>
        <v>55848.01</v>
      </c>
      <c r="J33" s="284"/>
      <c r="K33" s="284">
        <f t="shared" si="0"/>
        <v>6540.139999999999</v>
      </c>
      <c r="L33" s="184"/>
      <c r="M33" s="296">
        <f t="shared" si="1"/>
        <v>0.13263886677725067</v>
      </c>
      <c r="N33" s="184"/>
      <c r="O33" s="284">
        <f t="shared" si="6"/>
        <v>38958.74</v>
      </c>
      <c r="P33" s="284"/>
      <c r="Q33" s="284">
        <f t="shared" si="7"/>
        <v>44172.95</v>
      </c>
      <c r="R33" s="284"/>
      <c r="S33" s="284">
        <f t="shared" si="2"/>
        <v>5214.209999999999</v>
      </c>
      <c r="T33" s="184"/>
      <c r="U33" s="296">
        <f t="shared" si="3"/>
        <v>0.133839287410219</v>
      </c>
      <c r="V33" s="184"/>
      <c r="W33" s="184"/>
      <c r="X33" s="184"/>
      <c r="Y33" s="184"/>
    </row>
    <row r="34" spans="1:25" ht="15">
      <c r="A34" s="297">
        <f>A33</f>
        <v>2000</v>
      </c>
      <c r="B34" s="194"/>
      <c r="C34" s="194">
        <f>A31*0.7*730</f>
        <v>1022000</v>
      </c>
      <c r="D34" s="184"/>
      <c r="E34" s="237">
        <f aca="true" t="shared" si="14" ref="E34:E39">E31</f>
        <v>0.6</v>
      </c>
      <c r="F34" s="184"/>
      <c r="G34" s="284">
        <f t="shared" si="12"/>
        <v>61117.09</v>
      </c>
      <c r="H34" s="284"/>
      <c r="I34" s="284">
        <f t="shared" si="13"/>
        <v>69167.98</v>
      </c>
      <c r="J34" s="284"/>
      <c r="K34" s="284">
        <f t="shared" si="0"/>
        <v>8050.889999999999</v>
      </c>
      <c r="L34" s="184"/>
      <c r="M34" s="296">
        <f t="shared" si="1"/>
        <v>0.1317289484823312</v>
      </c>
      <c r="N34" s="184"/>
      <c r="O34" s="284">
        <f t="shared" si="6"/>
        <v>47661.17</v>
      </c>
      <c r="P34" s="284"/>
      <c r="Q34" s="284">
        <f t="shared" si="7"/>
        <v>53988.62</v>
      </c>
      <c r="R34" s="284"/>
      <c r="S34" s="284">
        <f t="shared" si="2"/>
        <v>6327.450000000004</v>
      </c>
      <c r="T34" s="184"/>
      <c r="U34" s="296">
        <f t="shared" si="3"/>
        <v>0.13275901535778512</v>
      </c>
      <c r="V34" s="184"/>
      <c r="W34" s="184"/>
      <c r="X34" s="184"/>
      <c r="Y34" s="184"/>
    </row>
    <row r="35" spans="1:25" ht="15">
      <c r="A35" s="297">
        <f>A34</f>
        <v>2000</v>
      </c>
      <c r="B35" s="194"/>
      <c r="C35" s="297">
        <f>C34</f>
        <v>1022000</v>
      </c>
      <c r="D35" s="184"/>
      <c r="E35" s="237">
        <f t="shared" si="14"/>
        <v>0.5</v>
      </c>
      <c r="F35" s="184"/>
      <c r="G35" s="284">
        <f t="shared" si="12"/>
        <v>59634.59</v>
      </c>
      <c r="H35" s="284"/>
      <c r="I35" s="284">
        <f t="shared" si="13"/>
        <v>67495.1</v>
      </c>
      <c r="J35" s="284"/>
      <c r="K35" s="284">
        <f t="shared" si="0"/>
        <v>7860.510000000009</v>
      </c>
      <c r="L35" s="184"/>
      <c r="M35" s="296">
        <f t="shared" si="1"/>
        <v>0.13181125249624448</v>
      </c>
      <c r="N35" s="184"/>
      <c r="O35" s="284">
        <f t="shared" si="6"/>
        <v>47167.19</v>
      </c>
      <c r="P35" s="284"/>
      <c r="Q35" s="284">
        <f t="shared" si="7"/>
        <v>53430.75</v>
      </c>
      <c r="R35" s="284"/>
      <c r="S35" s="284">
        <f t="shared" si="2"/>
        <v>6263.559999999998</v>
      </c>
      <c r="T35" s="184"/>
      <c r="U35" s="296">
        <f t="shared" si="3"/>
        <v>0.13279485167549732</v>
      </c>
      <c r="V35" s="184"/>
      <c r="W35" s="184"/>
      <c r="X35" s="184"/>
      <c r="Y35" s="184"/>
    </row>
    <row r="36" spans="1:25" ht="15">
      <c r="A36" s="297">
        <f>A35</f>
        <v>2000</v>
      </c>
      <c r="B36" s="194"/>
      <c r="C36" s="297">
        <f>C35</f>
        <v>1022000</v>
      </c>
      <c r="D36" s="184"/>
      <c r="E36" s="237">
        <f t="shared" si="14"/>
        <v>0.4</v>
      </c>
      <c r="F36" s="184"/>
      <c r="G36" s="284">
        <f t="shared" si="12"/>
        <v>58152.08</v>
      </c>
      <c r="H36" s="284"/>
      <c r="I36" s="284">
        <f t="shared" si="13"/>
        <v>65822.23</v>
      </c>
      <c r="J36" s="284"/>
      <c r="K36" s="284">
        <f t="shared" si="0"/>
        <v>7670.149999999994</v>
      </c>
      <c r="L36" s="184"/>
      <c r="M36" s="296">
        <f t="shared" si="1"/>
        <v>0.13189811955135555</v>
      </c>
      <c r="N36" s="184"/>
      <c r="O36" s="284">
        <f t="shared" si="6"/>
        <v>46673.21</v>
      </c>
      <c r="P36" s="284"/>
      <c r="Q36" s="284">
        <f t="shared" si="7"/>
        <v>52872.88</v>
      </c>
      <c r="R36" s="284"/>
      <c r="S36" s="284">
        <f t="shared" si="2"/>
        <v>6199.669999999998</v>
      </c>
      <c r="T36" s="184"/>
      <c r="U36" s="296">
        <f t="shared" si="3"/>
        <v>0.13283144656217138</v>
      </c>
      <c r="V36" s="184"/>
      <c r="W36" s="184"/>
      <c r="X36" s="184"/>
      <c r="Y36" s="184"/>
    </row>
    <row r="37" spans="1:25" ht="15">
      <c r="A37" s="297">
        <f>A34</f>
        <v>2000</v>
      </c>
      <c r="B37" s="194"/>
      <c r="C37" s="194">
        <f>A31*0.9*730</f>
        <v>1314000</v>
      </c>
      <c r="D37" s="184"/>
      <c r="E37" s="237">
        <f t="shared" si="14"/>
        <v>0.6</v>
      </c>
      <c r="F37" s="184"/>
      <c r="G37" s="284">
        <f t="shared" si="12"/>
        <v>70808.44</v>
      </c>
      <c r="H37" s="284"/>
      <c r="I37" s="284">
        <f t="shared" si="13"/>
        <v>80098.13</v>
      </c>
      <c r="J37" s="284"/>
      <c r="K37" s="284">
        <f t="shared" si="0"/>
        <v>9289.690000000002</v>
      </c>
      <c r="L37" s="184"/>
      <c r="M37" s="296">
        <f t="shared" si="1"/>
        <v>0.1311946711437224</v>
      </c>
      <c r="N37" s="184"/>
      <c r="O37" s="284">
        <f t="shared" si="6"/>
        <v>55657.92</v>
      </c>
      <c r="P37" s="284"/>
      <c r="Q37" s="284">
        <f t="shared" si="7"/>
        <v>63007.33</v>
      </c>
      <c r="R37" s="284"/>
      <c r="S37" s="284">
        <f t="shared" si="2"/>
        <v>7349.4100000000035</v>
      </c>
      <c r="T37" s="184"/>
      <c r="U37" s="296">
        <f t="shared" si="3"/>
        <v>0.13204607718003114</v>
      </c>
      <c r="V37" s="184"/>
      <c r="W37" s="184"/>
      <c r="X37" s="184"/>
      <c r="Y37" s="184"/>
    </row>
    <row r="38" spans="1:25" ht="15">
      <c r="A38" s="297">
        <f>A35</f>
        <v>2000</v>
      </c>
      <c r="B38" s="194"/>
      <c r="C38" s="297">
        <f>C37</f>
        <v>1314000</v>
      </c>
      <c r="D38" s="184"/>
      <c r="E38" s="237">
        <f t="shared" si="14"/>
        <v>0.5</v>
      </c>
      <c r="F38" s="184"/>
      <c r="G38" s="284">
        <f t="shared" si="12"/>
        <v>68902.37</v>
      </c>
      <c r="H38" s="284"/>
      <c r="I38" s="284">
        <f t="shared" si="13"/>
        <v>77947.29</v>
      </c>
      <c r="J38" s="284"/>
      <c r="K38" s="284">
        <f t="shared" si="0"/>
        <v>9044.919999999998</v>
      </c>
      <c r="L38" s="184"/>
      <c r="M38" s="296">
        <f t="shared" si="1"/>
        <v>0.13127153681361037</v>
      </c>
      <c r="N38" s="184"/>
      <c r="O38" s="284">
        <f t="shared" si="6"/>
        <v>55022.8</v>
      </c>
      <c r="P38" s="284"/>
      <c r="Q38" s="284">
        <f t="shared" si="7"/>
        <v>62290.07</v>
      </c>
      <c r="R38" s="284"/>
      <c r="S38" s="284">
        <f t="shared" si="2"/>
        <v>7267.269999999997</v>
      </c>
      <c r="T38" s="184"/>
      <c r="U38" s="296">
        <f t="shared" si="3"/>
        <v>0.13207742972004333</v>
      </c>
      <c r="V38" s="184"/>
      <c r="W38" s="184"/>
      <c r="X38" s="184"/>
      <c r="Y38" s="184"/>
    </row>
    <row r="39" spans="1:25" ht="15">
      <c r="A39" s="297">
        <f>A36</f>
        <v>2000</v>
      </c>
      <c r="B39" s="194"/>
      <c r="C39" s="297">
        <f>C38</f>
        <v>1314000</v>
      </c>
      <c r="D39" s="184"/>
      <c r="E39" s="237">
        <f t="shared" si="14"/>
        <v>0.4</v>
      </c>
      <c r="F39" s="184"/>
      <c r="G39" s="284">
        <f t="shared" si="12"/>
        <v>66996.29</v>
      </c>
      <c r="H39" s="284"/>
      <c r="I39" s="284">
        <f t="shared" si="13"/>
        <v>75796.45</v>
      </c>
      <c r="J39" s="284"/>
      <c r="K39" s="284">
        <f t="shared" si="0"/>
        <v>8800.160000000003</v>
      </c>
      <c r="L39" s="184"/>
      <c r="M39" s="296">
        <f t="shared" si="1"/>
        <v>0.13135294506606265</v>
      </c>
      <c r="N39" s="184"/>
      <c r="O39" s="284">
        <f t="shared" si="6"/>
        <v>54387.68</v>
      </c>
      <c r="P39" s="284"/>
      <c r="Q39" s="284">
        <f t="shared" si="7"/>
        <v>61572.81</v>
      </c>
      <c r="R39" s="284"/>
      <c r="S39" s="284">
        <f t="shared" si="2"/>
        <v>7185.129999999997</v>
      </c>
      <c r="T39" s="184"/>
      <c r="U39" s="296">
        <f t="shared" si="3"/>
        <v>0.13210951450769737</v>
      </c>
      <c r="V39" s="184"/>
      <c r="W39" s="184"/>
      <c r="X39" s="184"/>
      <c r="Y39" s="184"/>
    </row>
    <row r="40" spans="1:25" ht="15">
      <c r="A40" s="194"/>
      <c r="B40" s="194"/>
      <c r="C40" s="194"/>
      <c r="D40" s="184"/>
      <c r="E40" s="194"/>
      <c r="F40" s="184"/>
      <c r="G40" s="284"/>
      <c r="H40" s="284"/>
      <c r="I40" s="284"/>
      <c r="J40" s="284"/>
      <c r="K40" s="284" t="str">
        <f t="shared" si="0"/>
        <v/>
      </c>
      <c r="L40" s="184"/>
      <c r="M40" s="296" t="str">
        <f t="shared" si="1"/>
        <v/>
      </c>
      <c r="N40" s="184"/>
      <c r="O40" s="284"/>
      <c r="P40" s="284"/>
      <c r="Q40" s="284"/>
      <c r="R40" s="284"/>
      <c r="S40" s="284" t="str">
        <f t="shared" si="2"/>
        <v/>
      </c>
      <c r="T40" s="184"/>
      <c r="U40" s="296" t="str">
        <f t="shared" si="3"/>
        <v/>
      </c>
      <c r="V40" s="184"/>
      <c r="W40" s="184"/>
      <c r="X40" s="184"/>
      <c r="Y40" s="184"/>
    </row>
    <row r="41" spans="1:25" ht="15">
      <c r="A41" s="194">
        <v>4000</v>
      </c>
      <c r="B41" s="194"/>
      <c r="C41" s="194">
        <f>A41*0.5*730</f>
        <v>1460000</v>
      </c>
      <c r="D41" s="184"/>
      <c r="E41" s="237">
        <v>0.6</v>
      </c>
      <c r="F41" s="184"/>
      <c r="G41" s="284">
        <f aca="true" t="shared" si="15" ref="G41:G49">ROUND(($X$10+(($X$12*(1+$X$30)+$X$11)*$A41+($X$13*$E41+$X$14*(1-$E41))/100*$C41*(1+$X$30))*(1+$X$16))+$X$15,2)</f>
        <v>102601.47</v>
      </c>
      <c r="H41" s="284"/>
      <c r="I41" s="284">
        <f aca="true" t="shared" si="16" ref="I41:I49">ROUND(($Y$10+(($Y$12*(1+$Y$30)+$Y$11)*$A41+($Y$13*$E41+$Y$14*(1-$E41))/100*$C41*(1+$Y$30))*(1+$Y$16))+$Y$15,2)</f>
        <v>116205.66</v>
      </c>
      <c r="J41" s="284"/>
      <c r="K41" s="284">
        <f t="shared" si="0"/>
        <v>13604.190000000002</v>
      </c>
      <c r="L41" s="184"/>
      <c r="M41" s="296">
        <f t="shared" si="1"/>
        <v>0.13259254472669846</v>
      </c>
      <c r="N41" s="184"/>
      <c r="O41" s="284">
        <f t="shared" si="6"/>
        <v>79078.85</v>
      </c>
      <c r="P41" s="284"/>
      <c r="Q41" s="284">
        <f t="shared" si="7"/>
        <v>89669.81</v>
      </c>
      <c r="R41" s="284"/>
      <c r="S41" s="284">
        <f t="shared" si="2"/>
        <v>10590.959999999992</v>
      </c>
      <c r="T41" s="299"/>
      <c r="U41" s="296">
        <f t="shared" si="3"/>
        <v>0.133929109995909</v>
      </c>
      <c r="V41" s="184"/>
      <c r="W41" s="184"/>
      <c r="X41" s="184"/>
      <c r="Y41" s="184"/>
    </row>
    <row r="42" spans="1:25" ht="15">
      <c r="A42" s="297">
        <f>A41</f>
        <v>4000</v>
      </c>
      <c r="B42" s="194"/>
      <c r="C42" s="297">
        <f>C41</f>
        <v>1460000</v>
      </c>
      <c r="D42" s="184"/>
      <c r="E42" s="237">
        <v>0.5</v>
      </c>
      <c r="F42" s="184"/>
      <c r="G42" s="284">
        <f t="shared" si="15"/>
        <v>100483.61</v>
      </c>
      <c r="H42" s="284"/>
      <c r="I42" s="284">
        <f t="shared" si="16"/>
        <v>113815.84</v>
      </c>
      <c r="J42" s="284"/>
      <c r="K42" s="284">
        <f t="shared" si="0"/>
        <v>13332.229999999996</v>
      </c>
      <c r="L42" s="184"/>
      <c r="M42" s="296">
        <f t="shared" si="1"/>
        <v>0.13268064314170247</v>
      </c>
      <c r="N42" s="184"/>
      <c r="O42" s="284">
        <f t="shared" si="6"/>
        <v>78373.16</v>
      </c>
      <c r="P42" s="284"/>
      <c r="Q42" s="284">
        <f t="shared" si="7"/>
        <v>88872.85</v>
      </c>
      <c r="R42" s="284"/>
      <c r="S42" s="284">
        <f t="shared" si="2"/>
        <v>10499.690000000002</v>
      </c>
      <c r="T42" s="299"/>
      <c r="U42" s="296">
        <f t="shared" si="3"/>
        <v>0.1339704817312457</v>
      </c>
      <c r="V42" s="184"/>
      <c r="W42" s="184"/>
      <c r="X42" s="184"/>
      <c r="Y42" s="184"/>
    </row>
    <row r="43" spans="1:25" ht="15">
      <c r="A43" s="297">
        <f>A42</f>
        <v>4000</v>
      </c>
      <c r="B43" s="194"/>
      <c r="C43" s="297">
        <f>C42</f>
        <v>1460000</v>
      </c>
      <c r="D43" s="184"/>
      <c r="E43" s="237">
        <v>0.4</v>
      </c>
      <c r="F43" s="184"/>
      <c r="G43" s="284">
        <f t="shared" si="15"/>
        <v>98365.75</v>
      </c>
      <c r="H43" s="284"/>
      <c r="I43" s="284">
        <f t="shared" si="16"/>
        <v>111426.02</v>
      </c>
      <c r="J43" s="284"/>
      <c r="K43" s="284">
        <f t="shared" si="0"/>
        <v>13060.270000000004</v>
      </c>
      <c r="L43" s="184"/>
      <c r="M43" s="296">
        <f t="shared" si="1"/>
        <v>0.13277253515578336</v>
      </c>
      <c r="N43" s="184"/>
      <c r="O43" s="284">
        <f t="shared" si="6"/>
        <v>77667.47</v>
      </c>
      <c r="P43" s="284"/>
      <c r="Q43" s="284">
        <f t="shared" si="7"/>
        <v>88075.9</v>
      </c>
      <c r="R43" s="284"/>
      <c r="S43" s="284">
        <f t="shared" si="2"/>
        <v>10408.429999999993</v>
      </c>
      <c r="T43" s="299"/>
      <c r="U43" s="296">
        <f t="shared" si="3"/>
        <v>0.13401273403137748</v>
      </c>
      <c r="V43" s="184"/>
      <c r="W43" s="184"/>
      <c r="X43" s="184"/>
      <c r="Y43" s="184"/>
    </row>
    <row r="44" spans="1:25" ht="15">
      <c r="A44" s="297">
        <f>A43</f>
        <v>4000</v>
      </c>
      <c r="B44" s="194"/>
      <c r="C44" s="194">
        <f>A41*0.7*730</f>
        <v>2044000</v>
      </c>
      <c r="D44" s="184"/>
      <c r="E44" s="237">
        <f aca="true" t="shared" si="17" ref="E44:E49">E41</f>
        <v>0.6</v>
      </c>
      <c r="F44" s="184"/>
      <c r="G44" s="284">
        <f t="shared" si="15"/>
        <v>121984.18</v>
      </c>
      <c r="H44" s="284"/>
      <c r="I44" s="284">
        <f t="shared" si="16"/>
        <v>138065.95</v>
      </c>
      <c r="J44" s="284"/>
      <c r="K44" s="284">
        <f t="shared" si="0"/>
        <v>16081.770000000019</v>
      </c>
      <c r="L44" s="184"/>
      <c r="M44" s="296">
        <f t="shared" si="1"/>
        <v>0.13183488219537987</v>
      </c>
      <c r="N44" s="184"/>
      <c r="O44" s="284">
        <f t="shared" si="6"/>
        <v>95072.34</v>
      </c>
      <c r="P44" s="284"/>
      <c r="Q44" s="284">
        <f t="shared" si="7"/>
        <v>107707.23</v>
      </c>
      <c r="R44" s="284"/>
      <c r="S44" s="284">
        <f t="shared" si="2"/>
        <v>12634.89</v>
      </c>
      <c r="T44" s="299"/>
      <c r="U44" s="296">
        <f t="shared" si="3"/>
        <v>0.13289764404662807</v>
      </c>
      <c r="V44" s="184"/>
      <c r="W44" s="184"/>
      <c r="X44" s="184"/>
      <c r="Y44" s="184"/>
    </row>
    <row r="45" spans="1:25" ht="15">
      <c r="A45" s="297">
        <f>A44</f>
        <v>4000</v>
      </c>
      <c r="B45" s="194"/>
      <c r="C45" s="297">
        <f>C44</f>
        <v>2044000</v>
      </c>
      <c r="D45" s="184"/>
      <c r="E45" s="237">
        <f t="shared" si="17"/>
        <v>0.5</v>
      </c>
      <c r="F45" s="184"/>
      <c r="G45" s="284">
        <f t="shared" si="15"/>
        <v>119019.17</v>
      </c>
      <c r="H45" s="284"/>
      <c r="I45" s="284">
        <f t="shared" si="16"/>
        <v>134720.21</v>
      </c>
      <c r="J45" s="284"/>
      <c r="K45" s="284">
        <f t="shared" si="0"/>
        <v>15701.039999999994</v>
      </c>
      <c r="L45" s="184"/>
      <c r="M45" s="296">
        <f t="shared" si="1"/>
        <v>0.13192026124867096</v>
      </c>
      <c r="N45" s="184"/>
      <c r="O45" s="284">
        <f t="shared" si="6"/>
        <v>94084.38</v>
      </c>
      <c r="P45" s="284"/>
      <c r="Q45" s="284">
        <f t="shared" si="7"/>
        <v>106591.49</v>
      </c>
      <c r="R45" s="284"/>
      <c r="S45" s="284">
        <f t="shared" si="2"/>
        <v>12507.11</v>
      </c>
      <c r="T45" s="299"/>
      <c r="U45" s="296">
        <f t="shared" si="3"/>
        <v>0.13293503129850026</v>
      </c>
      <c r="V45" s="184"/>
      <c r="W45" s="184"/>
      <c r="X45" s="184"/>
      <c r="Y45" s="184"/>
    </row>
    <row r="46" spans="1:25" ht="15">
      <c r="A46" s="297">
        <f>A45</f>
        <v>4000</v>
      </c>
      <c r="B46" s="194"/>
      <c r="C46" s="297">
        <f>C45</f>
        <v>2044000</v>
      </c>
      <c r="D46" s="184"/>
      <c r="E46" s="237">
        <f t="shared" si="17"/>
        <v>0.4</v>
      </c>
      <c r="F46" s="184"/>
      <c r="G46" s="284">
        <f t="shared" si="15"/>
        <v>116054.17</v>
      </c>
      <c r="H46" s="284"/>
      <c r="I46" s="284">
        <f t="shared" si="16"/>
        <v>131374.46</v>
      </c>
      <c r="J46" s="284"/>
      <c r="K46" s="284">
        <f t="shared" si="0"/>
        <v>15320.289999999994</v>
      </c>
      <c r="L46" s="184"/>
      <c r="M46" s="296">
        <f t="shared" si="1"/>
        <v>0.1320098192077026</v>
      </c>
      <c r="N46" s="184"/>
      <c r="O46" s="284">
        <f t="shared" si="6"/>
        <v>93096.42</v>
      </c>
      <c r="P46" s="284"/>
      <c r="Q46" s="284">
        <f t="shared" si="7"/>
        <v>105475.76</v>
      </c>
      <c r="R46" s="284"/>
      <c r="S46" s="284">
        <f t="shared" si="2"/>
        <v>12379.339999999997</v>
      </c>
      <c r="T46" s="299"/>
      <c r="U46" s="296">
        <f t="shared" si="3"/>
        <v>0.13297331948962166</v>
      </c>
      <c r="V46" s="184"/>
      <c r="W46" s="184"/>
      <c r="X46" s="184"/>
      <c r="Y46" s="184"/>
    </row>
    <row r="47" spans="1:25" ht="15">
      <c r="A47" s="297">
        <f>A44</f>
        <v>4000</v>
      </c>
      <c r="B47" s="194"/>
      <c r="C47" s="194">
        <f>A41*0.9*730</f>
        <v>2628000</v>
      </c>
      <c r="D47" s="184"/>
      <c r="E47" s="237">
        <f t="shared" si="17"/>
        <v>0.6</v>
      </c>
      <c r="F47" s="184"/>
      <c r="G47" s="284">
        <f t="shared" si="15"/>
        <v>141366.88</v>
      </c>
      <c r="H47" s="284"/>
      <c r="I47" s="284">
        <f t="shared" si="16"/>
        <v>159926.25</v>
      </c>
      <c r="J47" s="284"/>
      <c r="K47" s="284">
        <f t="shared" si="0"/>
        <v>18559.369999999995</v>
      </c>
      <c r="L47" s="184"/>
      <c r="M47" s="296">
        <f t="shared" si="1"/>
        <v>0.13128513552820853</v>
      </c>
      <c r="N47" s="184"/>
      <c r="O47" s="284">
        <f t="shared" si="6"/>
        <v>111065.84</v>
      </c>
      <c r="P47" s="284"/>
      <c r="Q47" s="284">
        <f t="shared" si="7"/>
        <v>125744.66</v>
      </c>
      <c r="R47" s="284"/>
      <c r="S47" s="284">
        <f t="shared" si="2"/>
        <v>14678.820000000007</v>
      </c>
      <c r="T47" s="299"/>
      <c r="U47" s="296">
        <f t="shared" si="3"/>
        <v>0.13216322858585516</v>
      </c>
      <c r="V47" s="184"/>
      <c r="W47" s="184"/>
      <c r="X47" s="184"/>
      <c r="Y47" s="184"/>
    </row>
    <row r="48" spans="1:25" ht="15">
      <c r="A48" s="297">
        <f>A45</f>
        <v>4000</v>
      </c>
      <c r="B48" s="194"/>
      <c r="C48" s="297">
        <f>C47</f>
        <v>2628000</v>
      </c>
      <c r="D48" s="184"/>
      <c r="E48" s="237">
        <f t="shared" si="17"/>
        <v>0.5</v>
      </c>
      <c r="F48" s="184"/>
      <c r="G48" s="284">
        <f t="shared" si="15"/>
        <v>137554.73</v>
      </c>
      <c r="H48" s="284"/>
      <c r="I48" s="284">
        <f t="shared" si="16"/>
        <v>155624.58</v>
      </c>
      <c r="J48" s="284"/>
      <c r="K48" s="284">
        <f t="shared" si="0"/>
        <v>18069.849999999977</v>
      </c>
      <c r="L48" s="184"/>
      <c r="M48" s="296">
        <f t="shared" si="1"/>
        <v>0.13136480294061847</v>
      </c>
      <c r="N48" s="184"/>
      <c r="O48" s="284">
        <f t="shared" si="6"/>
        <v>109795.6</v>
      </c>
      <c r="P48" s="284"/>
      <c r="Q48" s="284">
        <f t="shared" si="7"/>
        <v>124310.14</v>
      </c>
      <c r="R48" s="284"/>
      <c r="S48" s="284">
        <f t="shared" si="2"/>
        <v>14514.539999999994</v>
      </c>
      <c r="T48" s="299"/>
      <c r="U48" s="296">
        <f t="shared" si="3"/>
        <v>0.13219600785459518</v>
      </c>
      <c r="V48" s="184"/>
      <c r="W48" s="184"/>
      <c r="X48" s="184"/>
      <c r="Y48" s="184"/>
    </row>
    <row r="49" spans="1:25" ht="15">
      <c r="A49" s="297">
        <f>A46</f>
        <v>4000</v>
      </c>
      <c r="B49" s="194"/>
      <c r="C49" s="297">
        <f>C48</f>
        <v>2628000</v>
      </c>
      <c r="D49" s="184"/>
      <c r="E49" s="237">
        <f t="shared" si="17"/>
        <v>0.4</v>
      </c>
      <c r="F49" s="184"/>
      <c r="G49" s="284">
        <f t="shared" si="15"/>
        <v>133742.59</v>
      </c>
      <c r="H49" s="284"/>
      <c r="I49" s="284">
        <f t="shared" si="16"/>
        <v>151322.9</v>
      </c>
      <c r="J49" s="284"/>
      <c r="K49" s="284">
        <f t="shared" si="0"/>
        <v>17580.309999999998</v>
      </c>
      <c r="L49" s="184"/>
      <c r="M49" s="296">
        <f t="shared" si="1"/>
        <v>0.13144885260559103</v>
      </c>
      <c r="N49" s="184"/>
      <c r="O49" s="284">
        <f t="shared" si="6"/>
        <v>108525.36</v>
      </c>
      <c r="P49" s="284"/>
      <c r="Q49" s="284">
        <f t="shared" si="7"/>
        <v>122875.62</v>
      </c>
      <c r="R49" s="284"/>
      <c r="S49" s="284">
        <f t="shared" si="2"/>
        <v>14350.259999999995</v>
      </c>
      <c r="T49" s="299"/>
      <c r="U49" s="296">
        <f t="shared" si="3"/>
        <v>0.13222955445621176</v>
      </c>
      <c r="V49" s="184"/>
      <c r="W49" s="184"/>
      <c r="X49" s="184"/>
      <c r="Y49" s="184"/>
    </row>
    <row r="50" spans="1:25" ht="15">
      <c r="A50" s="194"/>
      <c r="B50" s="194"/>
      <c r="C50" s="194"/>
      <c r="D50" s="184"/>
      <c r="E50" s="194"/>
      <c r="F50" s="184"/>
      <c r="G50" s="284"/>
      <c r="H50" s="284"/>
      <c r="I50" s="284"/>
      <c r="J50" s="284"/>
      <c r="K50" s="284" t="str">
        <f t="shared" si="0"/>
        <v/>
      </c>
      <c r="L50" s="184"/>
      <c r="M50" s="296" t="str">
        <f t="shared" si="1"/>
        <v/>
      </c>
      <c r="N50" s="184"/>
      <c r="O50" s="284"/>
      <c r="P50" s="284"/>
      <c r="Q50" s="284"/>
      <c r="R50" s="284"/>
      <c r="S50" s="284" t="str">
        <f t="shared" si="2"/>
        <v/>
      </c>
      <c r="T50" s="184"/>
      <c r="U50" s="296" t="str">
        <f t="shared" si="3"/>
        <v/>
      </c>
      <c r="V50" s="184"/>
      <c r="W50" s="184"/>
      <c r="X50" s="184"/>
      <c r="Y50" s="184"/>
    </row>
    <row r="51" spans="1:25" ht="15">
      <c r="A51" s="194">
        <v>6000</v>
      </c>
      <c r="B51" s="194"/>
      <c r="C51" s="194">
        <f>A51*0.5*730</f>
        <v>2190000</v>
      </c>
      <c r="D51" s="184"/>
      <c r="E51" s="237">
        <v>0.6</v>
      </c>
      <c r="F51" s="184"/>
      <c r="G51" s="284">
        <f aca="true" t="shared" si="18" ref="G51:G59">ROUND(($X$10+(($X$12*(1+$X$30)+$X$11)*$A51+($X$13*$E51+$X$14*(1-$E51))/100*$C51*(1+$X$30))*(1+$X$16))+$X$15,2)</f>
        <v>153777.2</v>
      </c>
      <c r="H51" s="284"/>
      <c r="I51" s="284">
        <f aca="true" t="shared" si="19" ref="I51:I59">ROUND(($Y$10+(($Y$12*(1+$Y$30)+$Y$11)*$A51+($Y$13*$E51+$Y$14*(1-$E51))/100*$C51*(1+$Y$30))*(1+$Y$16))+$Y$15,2)</f>
        <v>174173.49</v>
      </c>
      <c r="J51" s="284"/>
      <c r="K51" s="284">
        <f t="shared" si="0"/>
        <v>20396.28999999998</v>
      </c>
      <c r="L51" s="184"/>
      <c r="M51" s="296">
        <f t="shared" si="1"/>
        <v>0.1326353321558722</v>
      </c>
      <c r="N51" s="184"/>
      <c r="O51" s="284">
        <f t="shared" si="6"/>
        <v>118493.27</v>
      </c>
      <c r="P51" s="284"/>
      <c r="Q51" s="284">
        <f t="shared" si="7"/>
        <v>134369.71</v>
      </c>
      <c r="R51" s="284"/>
      <c r="S51" s="284">
        <f t="shared" si="2"/>
        <v>15876.439999999988</v>
      </c>
      <c r="T51" s="184"/>
      <c r="U51" s="296">
        <f t="shared" si="3"/>
        <v>0.1339860061250735</v>
      </c>
      <c r="V51" s="184"/>
      <c r="W51" s="184"/>
      <c r="X51" s="184"/>
      <c r="Y51" s="184"/>
    </row>
    <row r="52" spans="1:25" ht="15">
      <c r="A52" s="297">
        <f>A51</f>
        <v>6000</v>
      </c>
      <c r="B52" s="194"/>
      <c r="C52" s="297">
        <f>C51</f>
        <v>2190000</v>
      </c>
      <c r="D52" s="184"/>
      <c r="E52" s="237">
        <v>0.5</v>
      </c>
      <c r="F52" s="184"/>
      <c r="G52" s="284">
        <f t="shared" si="18"/>
        <v>150600.41</v>
      </c>
      <c r="H52" s="284"/>
      <c r="I52" s="284">
        <f t="shared" si="19"/>
        <v>170588.76</v>
      </c>
      <c r="J52" s="284"/>
      <c r="K52" s="284">
        <f t="shared" si="0"/>
        <v>19988.350000000006</v>
      </c>
      <c r="L52" s="184"/>
      <c r="M52" s="296">
        <f t="shared" si="1"/>
        <v>0.13272440626157667</v>
      </c>
      <c r="N52" s="184"/>
      <c r="O52" s="284">
        <f t="shared" si="6"/>
        <v>117434.74</v>
      </c>
      <c r="P52" s="284"/>
      <c r="Q52" s="284">
        <f t="shared" si="7"/>
        <v>133174.28</v>
      </c>
      <c r="R52" s="284"/>
      <c r="S52" s="284">
        <f t="shared" si="2"/>
        <v>15739.539999999994</v>
      </c>
      <c r="T52" s="184"/>
      <c r="U52" s="296">
        <f t="shared" si="3"/>
        <v>0.13402797162066338</v>
      </c>
      <c r="V52" s="184"/>
      <c r="W52" s="184"/>
      <c r="X52" s="184"/>
      <c r="Y52" s="184"/>
    </row>
    <row r="53" spans="1:25" ht="15">
      <c r="A53" s="297">
        <f>A52</f>
        <v>6000</v>
      </c>
      <c r="B53" s="194"/>
      <c r="C53" s="297">
        <f>C52</f>
        <v>2190000</v>
      </c>
      <c r="D53" s="184"/>
      <c r="E53" s="237">
        <v>0.4</v>
      </c>
      <c r="F53" s="184"/>
      <c r="G53" s="284">
        <f t="shared" si="18"/>
        <v>147423.62</v>
      </c>
      <c r="H53" s="284"/>
      <c r="I53" s="284">
        <f t="shared" si="19"/>
        <v>167004.03</v>
      </c>
      <c r="J53" s="284"/>
      <c r="K53" s="284">
        <f t="shared" si="0"/>
        <v>19580.410000000003</v>
      </c>
      <c r="L53" s="184"/>
      <c r="M53" s="296">
        <f t="shared" si="1"/>
        <v>0.1328173192328339</v>
      </c>
      <c r="N53" s="184"/>
      <c r="O53" s="284">
        <f t="shared" si="6"/>
        <v>116376.21</v>
      </c>
      <c r="P53" s="284"/>
      <c r="Q53" s="284">
        <f t="shared" si="7"/>
        <v>131978.84</v>
      </c>
      <c r="R53" s="284"/>
      <c r="S53" s="284">
        <f t="shared" si="2"/>
        <v>15602.62999999999</v>
      </c>
      <c r="T53" s="184"/>
      <c r="U53" s="296">
        <f t="shared" si="3"/>
        <v>0.13407061460413594</v>
      </c>
      <c r="V53" s="184"/>
      <c r="W53" s="184"/>
      <c r="X53" s="184"/>
      <c r="Y53" s="184"/>
    </row>
    <row r="54" spans="1:25" ht="15">
      <c r="A54" s="297">
        <f>A53</f>
        <v>6000</v>
      </c>
      <c r="B54" s="194"/>
      <c r="C54" s="194">
        <f>A51*0.7*730</f>
        <v>3066000</v>
      </c>
      <c r="D54" s="184"/>
      <c r="E54" s="237">
        <f aca="true" t="shared" si="20" ref="E54:E59">E51</f>
        <v>0.6</v>
      </c>
      <c r="F54" s="184"/>
      <c r="G54" s="284">
        <f t="shared" si="18"/>
        <v>182851.26</v>
      </c>
      <c r="H54" s="284"/>
      <c r="I54" s="284">
        <f t="shared" si="19"/>
        <v>206963.93</v>
      </c>
      <c r="J54" s="284"/>
      <c r="K54" s="284">
        <f t="shared" si="0"/>
        <v>24112.669999999984</v>
      </c>
      <c r="L54" s="184"/>
      <c r="M54" s="296">
        <f t="shared" si="1"/>
        <v>0.13187040658073657</v>
      </c>
      <c r="N54" s="184"/>
      <c r="O54" s="284">
        <f t="shared" si="6"/>
        <v>142483.52</v>
      </c>
      <c r="P54" s="284"/>
      <c r="Q54" s="284">
        <f t="shared" si="7"/>
        <v>161425.85</v>
      </c>
      <c r="R54" s="284"/>
      <c r="S54" s="284">
        <f t="shared" si="2"/>
        <v>18942.330000000016</v>
      </c>
      <c r="T54" s="184"/>
      <c r="U54" s="296">
        <f t="shared" si="3"/>
        <v>0.13294400643667426</v>
      </c>
      <c r="V54" s="184"/>
      <c r="W54" s="184"/>
      <c r="X54" s="184"/>
      <c r="Y54" s="184"/>
    </row>
    <row r="55" spans="1:25" ht="15">
      <c r="A55" s="297">
        <f>A54</f>
        <v>6000</v>
      </c>
      <c r="B55" s="194"/>
      <c r="C55" s="297">
        <f>C54</f>
        <v>3066000</v>
      </c>
      <c r="D55" s="184"/>
      <c r="E55" s="237">
        <f t="shared" si="20"/>
        <v>0.5</v>
      </c>
      <c r="F55" s="184"/>
      <c r="G55" s="284">
        <f t="shared" si="18"/>
        <v>178403.76</v>
      </c>
      <c r="H55" s="284"/>
      <c r="I55" s="284">
        <f t="shared" si="19"/>
        <v>201945.31</v>
      </c>
      <c r="J55" s="284"/>
      <c r="K55" s="284">
        <f t="shared" si="0"/>
        <v>23541.54999999999</v>
      </c>
      <c r="L55" s="184"/>
      <c r="M55" s="296">
        <f t="shared" si="1"/>
        <v>0.1319565798389002</v>
      </c>
      <c r="N55" s="184"/>
      <c r="O55" s="284">
        <f t="shared" si="6"/>
        <v>141001.57</v>
      </c>
      <c r="P55" s="284"/>
      <c r="Q55" s="284">
        <f t="shared" si="7"/>
        <v>159752.24</v>
      </c>
      <c r="R55" s="284"/>
      <c r="S55" s="284">
        <f t="shared" si="2"/>
        <v>18750.669999999984</v>
      </c>
      <c r="T55" s="184"/>
      <c r="U55" s="296">
        <f t="shared" si="3"/>
        <v>0.13298199445580638</v>
      </c>
      <c r="V55" s="184"/>
      <c r="W55" s="184"/>
      <c r="X55" s="184"/>
      <c r="Y55" s="184"/>
    </row>
    <row r="56" spans="1:25" ht="15">
      <c r="A56" s="297">
        <f>A55</f>
        <v>6000</v>
      </c>
      <c r="B56" s="194"/>
      <c r="C56" s="297">
        <f>C55</f>
        <v>3066000</v>
      </c>
      <c r="D56" s="184"/>
      <c r="E56" s="237">
        <f t="shared" si="20"/>
        <v>0.4</v>
      </c>
      <c r="F56" s="184"/>
      <c r="G56" s="284">
        <f t="shared" si="18"/>
        <v>173956.25</v>
      </c>
      <c r="H56" s="284"/>
      <c r="I56" s="284">
        <f t="shared" si="19"/>
        <v>196926.69</v>
      </c>
      <c r="J56" s="284"/>
      <c r="K56" s="284">
        <f t="shared" si="0"/>
        <v>22970.440000000002</v>
      </c>
      <c r="L56" s="184"/>
      <c r="M56" s="296">
        <f t="shared" si="1"/>
        <v>0.13204722451765893</v>
      </c>
      <c r="N56" s="184"/>
      <c r="O56" s="284">
        <f t="shared" si="6"/>
        <v>139519.62</v>
      </c>
      <c r="P56" s="284"/>
      <c r="Q56" s="284">
        <f t="shared" si="7"/>
        <v>158078.63</v>
      </c>
      <c r="R56" s="284"/>
      <c r="S56" s="284">
        <f t="shared" si="2"/>
        <v>18559.01000000001</v>
      </c>
      <c r="T56" s="184"/>
      <c r="U56" s="296">
        <f t="shared" si="3"/>
        <v>0.1330207894774944</v>
      </c>
      <c r="V56" s="184"/>
      <c r="W56" s="184"/>
      <c r="X56" s="184"/>
      <c r="Y56" s="184"/>
    </row>
    <row r="57" spans="1:25" ht="15">
      <c r="A57" s="297">
        <f>A54</f>
        <v>6000</v>
      </c>
      <c r="B57" s="194"/>
      <c r="C57" s="194">
        <f>A51*0.9*730</f>
        <v>3942000</v>
      </c>
      <c r="D57" s="184"/>
      <c r="E57" s="237">
        <f t="shared" si="20"/>
        <v>0.6</v>
      </c>
      <c r="F57" s="184"/>
      <c r="G57" s="284">
        <f t="shared" si="18"/>
        <v>211925.32</v>
      </c>
      <c r="H57" s="284"/>
      <c r="I57" s="284">
        <f t="shared" si="19"/>
        <v>239754.38</v>
      </c>
      <c r="J57" s="284"/>
      <c r="K57" s="284">
        <f t="shared" si="0"/>
        <v>27829.059999999998</v>
      </c>
      <c r="L57" s="184"/>
      <c r="M57" s="296">
        <f t="shared" si="1"/>
        <v>0.13131540865433156</v>
      </c>
      <c r="N57" s="184"/>
      <c r="O57" s="284">
        <f t="shared" si="6"/>
        <v>166473.76</v>
      </c>
      <c r="P57" s="284"/>
      <c r="Q57" s="284">
        <f t="shared" si="7"/>
        <v>188481.99</v>
      </c>
      <c r="R57" s="284"/>
      <c r="S57" s="284">
        <f t="shared" si="2"/>
        <v>22008.22999999998</v>
      </c>
      <c r="T57" s="184"/>
      <c r="U57" s="296">
        <f t="shared" si="3"/>
        <v>0.13220239634162145</v>
      </c>
      <c r="V57" s="184"/>
      <c r="W57" s="184"/>
      <c r="X57" s="184"/>
      <c r="Y57" s="184"/>
    </row>
    <row r="58" spans="1:25" ht="15">
      <c r="A58" s="297">
        <f>A55</f>
        <v>6000</v>
      </c>
      <c r="B58" s="194"/>
      <c r="C58" s="297">
        <f>C57</f>
        <v>3942000</v>
      </c>
      <c r="D58" s="184"/>
      <c r="E58" s="237">
        <f t="shared" si="20"/>
        <v>0.5</v>
      </c>
      <c r="F58" s="184"/>
      <c r="G58" s="284">
        <f t="shared" si="18"/>
        <v>206207.1</v>
      </c>
      <c r="H58" s="284"/>
      <c r="I58" s="284">
        <f t="shared" si="19"/>
        <v>233301.87</v>
      </c>
      <c r="J58" s="284"/>
      <c r="K58" s="284">
        <f t="shared" si="0"/>
        <v>27094.76999999999</v>
      </c>
      <c r="L58" s="184"/>
      <c r="M58" s="296">
        <f t="shared" si="1"/>
        <v>0.1313959121679127</v>
      </c>
      <c r="N58" s="184"/>
      <c r="O58" s="284">
        <f t="shared" si="6"/>
        <v>164568.4</v>
      </c>
      <c r="P58" s="284"/>
      <c r="Q58" s="284">
        <f t="shared" si="7"/>
        <v>186330.21</v>
      </c>
      <c r="R58" s="284"/>
      <c r="S58" s="284">
        <f t="shared" si="2"/>
        <v>21761.809999999998</v>
      </c>
      <c r="T58" s="184"/>
      <c r="U58" s="296">
        <f t="shared" si="3"/>
        <v>0.1322356539894658</v>
      </c>
      <c r="V58" s="184"/>
      <c r="W58" s="184"/>
      <c r="X58" s="184"/>
      <c r="Y58" s="184"/>
    </row>
    <row r="59" spans="1:25" ht="15">
      <c r="A59" s="297">
        <f>A56</f>
        <v>6000</v>
      </c>
      <c r="B59" s="194"/>
      <c r="C59" s="297">
        <f>C58</f>
        <v>3942000</v>
      </c>
      <c r="D59" s="184"/>
      <c r="E59" s="237">
        <f t="shared" si="20"/>
        <v>0.4</v>
      </c>
      <c r="F59" s="184"/>
      <c r="G59" s="284">
        <f t="shared" si="18"/>
        <v>200488.88</v>
      </c>
      <c r="H59" s="284"/>
      <c r="I59" s="284">
        <f t="shared" si="19"/>
        <v>226849.35</v>
      </c>
      <c r="J59" s="284"/>
      <c r="K59" s="284">
        <f t="shared" si="0"/>
        <v>26360.47</v>
      </c>
      <c r="L59" s="184"/>
      <c r="M59" s="296">
        <f t="shared" si="1"/>
        <v>0.1314809579463958</v>
      </c>
      <c r="N59" s="184"/>
      <c r="O59" s="284">
        <f t="shared" si="6"/>
        <v>162663.04</v>
      </c>
      <c r="P59" s="284"/>
      <c r="Q59" s="284">
        <f t="shared" si="7"/>
        <v>184178.43</v>
      </c>
      <c r="R59" s="284"/>
      <c r="S59" s="284">
        <f t="shared" si="2"/>
        <v>21515.389999999985</v>
      </c>
      <c r="T59" s="184"/>
      <c r="U59" s="296">
        <f t="shared" si="3"/>
        <v>0.1322696907668761</v>
      </c>
      <c r="V59" s="184"/>
      <c r="W59" s="184"/>
      <c r="X59" s="184"/>
      <c r="Y59" s="184"/>
    </row>
    <row r="60" spans="1:25" ht="15">
      <c r="A60" s="194"/>
      <c r="B60" s="194"/>
      <c r="C60" s="194"/>
      <c r="D60" s="184"/>
      <c r="E60" s="194"/>
      <c r="F60" s="184"/>
      <c r="G60" s="195"/>
      <c r="H60" s="184"/>
      <c r="I60" s="195"/>
      <c r="J60" s="184"/>
      <c r="K60" s="196"/>
      <c r="L60" s="184"/>
      <c r="M60" s="184"/>
      <c r="N60" s="184"/>
      <c r="O60" s="195"/>
      <c r="P60" s="184"/>
      <c r="Q60" s="195"/>
      <c r="R60" s="184"/>
      <c r="S60" s="196"/>
      <c r="T60" s="184"/>
      <c r="U60" s="184"/>
      <c r="V60" s="184"/>
      <c r="W60" s="184"/>
      <c r="X60" s="184"/>
      <c r="Y60" s="184"/>
    </row>
    <row r="61" spans="1:25" ht="16.5">
      <c r="A61" s="239" t="s">
        <v>162</v>
      </c>
      <c r="B61" s="194"/>
      <c r="C61" s="194"/>
      <c r="D61" s="184"/>
      <c r="E61" s="194"/>
      <c r="F61" s="184"/>
      <c r="G61" s="195"/>
      <c r="H61" s="184"/>
      <c r="I61" s="195"/>
      <c r="J61" s="184"/>
      <c r="K61" s="196"/>
      <c r="L61" s="184"/>
      <c r="M61" s="184"/>
      <c r="N61" s="184"/>
      <c r="O61" s="195"/>
      <c r="P61" s="184"/>
      <c r="Q61" s="195"/>
      <c r="R61" s="184"/>
      <c r="S61" s="196"/>
      <c r="T61" s="184"/>
      <c r="U61" s="184"/>
      <c r="V61" s="184"/>
      <c r="W61" s="184"/>
      <c r="X61" s="184"/>
      <c r="Y61" s="184"/>
    </row>
    <row r="62" spans="1:25" ht="16.5">
      <c r="A62" s="239" t="s">
        <v>190</v>
      </c>
      <c r="B62" s="194"/>
      <c r="C62" s="194"/>
      <c r="D62" s="184"/>
      <c r="E62" s="194"/>
      <c r="F62" s="184"/>
      <c r="G62" s="195"/>
      <c r="H62" s="184"/>
      <c r="I62" s="195"/>
      <c r="J62" s="184"/>
      <c r="K62" s="196"/>
      <c r="L62" s="184"/>
      <c r="M62" s="184"/>
      <c r="N62" s="184"/>
      <c r="O62" s="195"/>
      <c r="P62" s="184"/>
      <c r="Q62" s="195"/>
      <c r="R62" s="184"/>
      <c r="S62" s="196"/>
      <c r="T62" s="184"/>
      <c r="U62" s="184"/>
      <c r="V62" s="184"/>
      <c r="W62" s="184"/>
      <c r="X62" s="184"/>
      <c r="Y62" s="184"/>
    </row>
  </sheetData>
  <printOptions/>
  <pageMargins left="0.7" right="0.7" top="0.75" bottom="0.75" header="0.3" footer="0.3"/>
  <pageSetup fitToHeight="1" fitToWidth="1" horizontalDpi="600" verticalDpi="6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1">
      <selection activeCell="J27" sqref="J27"/>
    </sheetView>
  </sheetViews>
  <sheetFormatPr defaultColWidth="9.140625" defaultRowHeight="15"/>
  <cols>
    <col min="2" max="2" width="1.28515625" style="0" customWidth="1"/>
    <col min="5" max="5" width="0.85546875" style="0" customWidth="1"/>
    <col min="7" max="7" width="0.9921875" style="0" customWidth="1"/>
    <col min="9" max="9" width="1.1484375" style="0" customWidth="1"/>
    <col min="11" max="11" width="1.1484375" style="0" customWidth="1"/>
    <col min="13" max="13" width="0.85546875" style="0" customWidth="1"/>
    <col min="15" max="15" width="0.9921875" style="0" customWidth="1"/>
    <col min="17" max="17" width="1.1484375" style="0" customWidth="1"/>
    <col min="19" max="19" width="1.28515625" style="0" customWidth="1"/>
    <col min="21" max="21" width="4.8515625" style="0" customWidth="1"/>
    <col min="22" max="22" width="13.421875" style="0" customWidth="1"/>
  </cols>
  <sheetData>
    <row r="1" spans="1:24" ht="16.5">
      <c r="A1" s="177" t="s">
        <v>135</v>
      </c>
      <c r="B1" s="177"/>
      <c r="C1" s="177"/>
      <c r="D1" s="177"/>
      <c r="E1" s="178"/>
      <c r="F1" s="179"/>
      <c r="G1" s="178"/>
      <c r="H1" s="179"/>
      <c r="I1" s="178"/>
      <c r="J1" s="178"/>
      <c r="K1" s="178"/>
      <c r="L1" s="178"/>
      <c r="M1" s="178"/>
      <c r="N1" s="179"/>
      <c r="O1" s="178"/>
      <c r="P1" s="179"/>
      <c r="Q1" s="178"/>
      <c r="R1" s="178"/>
      <c r="S1" s="178"/>
      <c r="T1" s="178"/>
      <c r="U1" s="184"/>
      <c r="V1" s="313" t="s">
        <v>210</v>
      </c>
      <c r="W1" s="184"/>
      <c r="X1" s="184"/>
    </row>
    <row r="2" spans="1:24" ht="16.5">
      <c r="A2" s="177" t="s">
        <v>136</v>
      </c>
      <c r="B2" s="177"/>
      <c r="C2" s="177"/>
      <c r="D2" s="177"/>
      <c r="E2" s="178"/>
      <c r="F2" s="179"/>
      <c r="G2" s="178"/>
      <c r="H2" s="179"/>
      <c r="I2" s="178"/>
      <c r="J2" s="178"/>
      <c r="K2" s="178"/>
      <c r="L2" s="178"/>
      <c r="M2" s="178"/>
      <c r="N2" s="179"/>
      <c r="O2" s="178"/>
      <c r="P2" s="179"/>
      <c r="Q2" s="178"/>
      <c r="R2" s="178"/>
      <c r="S2" s="178"/>
      <c r="T2" s="178"/>
      <c r="U2" s="184"/>
      <c r="V2" s="313" t="s">
        <v>211</v>
      </c>
      <c r="W2" s="184"/>
      <c r="X2" s="184"/>
    </row>
    <row r="3" spans="1:24" ht="16.5">
      <c r="A3" s="177" t="s">
        <v>195</v>
      </c>
      <c r="B3" s="177"/>
      <c r="C3" s="177"/>
      <c r="D3" s="177"/>
      <c r="E3" s="178"/>
      <c r="F3" s="179"/>
      <c r="G3" s="178"/>
      <c r="H3" s="179"/>
      <c r="I3" s="178"/>
      <c r="J3" s="178"/>
      <c r="K3" s="178"/>
      <c r="L3" s="178"/>
      <c r="M3" s="178"/>
      <c r="N3" s="179"/>
      <c r="O3" s="178"/>
      <c r="P3" s="179"/>
      <c r="Q3" s="178"/>
      <c r="R3" s="178"/>
      <c r="S3" s="178"/>
      <c r="T3" s="178"/>
      <c r="U3" s="184"/>
      <c r="V3" s="313" t="s">
        <v>385</v>
      </c>
      <c r="W3" s="184"/>
      <c r="X3" s="184"/>
    </row>
    <row r="4" spans="1:24" ht="16.5">
      <c r="A4" s="177" t="s">
        <v>196</v>
      </c>
      <c r="B4" s="177"/>
      <c r="C4" s="177"/>
      <c r="D4" s="177"/>
      <c r="E4" s="178"/>
      <c r="F4" s="179"/>
      <c r="G4" s="178"/>
      <c r="H4" s="179"/>
      <c r="I4" s="178"/>
      <c r="J4" s="178"/>
      <c r="K4" s="178"/>
      <c r="L4" s="178"/>
      <c r="M4" s="178"/>
      <c r="N4" s="179"/>
      <c r="O4" s="178"/>
      <c r="P4" s="179"/>
      <c r="Q4" s="178"/>
      <c r="R4" s="178"/>
      <c r="S4" s="178"/>
      <c r="T4" s="178"/>
      <c r="U4" s="184"/>
      <c r="V4" s="314">
        <v>40696</v>
      </c>
      <c r="W4" s="184"/>
      <c r="X4" s="184"/>
    </row>
    <row r="5" spans="1:24" ht="16.5">
      <c r="A5" s="271"/>
      <c r="B5" s="272"/>
      <c r="C5" s="272"/>
      <c r="D5" s="272"/>
      <c r="E5" s="273"/>
      <c r="F5" s="274"/>
      <c r="G5" s="273"/>
      <c r="H5" s="274"/>
      <c r="I5" s="273"/>
      <c r="J5" s="273"/>
      <c r="K5" s="273"/>
      <c r="L5" s="273"/>
      <c r="M5" s="273"/>
      <c r="N5" s="274"/>
      <c r="O5" s="273"/>
      <c r="P5" s="274"/>
      <c r="Q5" s="273"/>
      <c r="R5" s="273"/>
      <c r="S5" s="273"/>
      <c r="T5" s="273"/>
      <c r="U5" s="184"/>
      <c r="V5" s="184"/>
      <c r="W5" s="184"/>
      <c r="X5" s="184"/>
    </row>
    <row r="6" spans="1:24" ht="17.25">
      <c r="A6" s="188"/>
      <c r="B6" s="181"/>
      <c r="C6" s="181"/>
      <c r="D6" s="181"/>
      <c r="E6" s="181"/>
      <c r="F6" s="191"/>
      <c r="G6" s="190"/>
      <c r="H6" s="191"/>
      <c r="I6" s="190"/>
      <c r="J6" s="190"/>
      <c r="K6" s="190"/>
      <c r="L6" s="190"/>
      <c r="M6" s="181"/>
      <c r="N6" s="191"/>
      <c r="O6" s="190"/>
      <c r="P6" s="191"/>
      <c r="Q6" s="190"/>
      <c r="R6" s="190"/>
      <c r="S6" s="190"/>
      <c r="T6" s="190"/>
      <c r="U6" s="184"/>
      <c r="V6" s="184"/>
      <c r="W6" s="184"/>
      <c r="X6" s="184"/>
    </row>
    <row r="7" spans="1:24" ht="15">
      <c r="A7" s="194"/>
      <c r="B7" s="194"/>
      <c r="C7" s="194"/>
      <c r="D7" s="194"/>
      <c r="E7" s="184"/>
      <c r="F7" s="252"/>
      <c r="G7" s="182"/>
      <c r="H7" s="252"/>
      <c r="I7" s="182"/>
      <c r="J7" s="264"/>
      <c r="K7" s="182"/>
      <c r="L7" s="264"/>
      <c r="M7" s="182"/>
      <c r="N7" s="252"/>
      <c r="O7" s="182"/>
      <c r="P7" s="252"/>
      <c r="Q7" s="182"/>
      <c r="R7" s="264"/>
      <c r="S7" s="182"/>
      <c r="T7" s="264"/>
      <c r="U7" s="184"/>
      <c r="V7" s="184"/>
      <c r="W7" s="184"/>
      <c r="X7" s="184"/>
    </row>
    <row r="8" spans="1:24" ht="15">
      <c r="A8" s="194"/>
      <c r="B8" s="194"/>
      <c r="C8" s="194"/>
      <c r="D8" s="194"/>
      <c r="E8" s="184"/>
      <c r="F8" s="197" t="s">
        <v>197</v>
      </c>
      <c r="G8" s="300"/>
      <c r="H8" s="199"/>
      <c r="I8" s="198"/>
      <c r="J8" s="207"/>
      <c r="K8" s="198"/>
      <c r="L8" s="198"/>
      <c r="M8" s="184"/>
      <c r="N8" s="197" t="s">
        <v>198</v>
      </c>
      <c r="O8" s="300"/>
      <c r="P8" s="199"/>
      <c r="Q8" s="198"/>
      <c r="R8" s="207"/>
      <c r="S8" s="198"/>
      <c r="T8" s="198"/>
      <c r="U8" s="184"/>
      <c r="V8" s="275" t="s">
        <v>199</v>
      </c>
      <c r="W8" s="276" t="s">
        <v>144</v>
      </c>
      <c r="X8" s="277" t="s">
        <v>8</v>
      </c>
    </row>
    <row r="9" spans="1:24" ht="16.5">
      <c r="A9" s="278" t="s">
        <v>174</v>
      </c>
      <c r="B9" s="194"/>
      <c r="C9" s="194"/>
      <c r="D9" s="194"/>
      <c r="E9" s="184"/>
      <c r="F9" s="199" t="s">
        <v>175</v>
      </c>
      <c r="G9" s="198"/>
      <c r="H9" s="199"/>
      <c r="I9" s="184"/>
      <c r="J9" s="199" t="s">
        <v>145</v>
      </c>
      <c r="K9" s="198"/>
      <c r="L9" s="199"/>
      <c r="M9" s="184"/>
      <c r="N9" s="199" t="s">
        <v>175</v>
      </c>
      <c r="O9" s="198"/>
      <c r="P9" s="199"/>
      <c r="Q9" s="184"/>
      <c r="R9" s="199" t="s">
        <v>145</v>
      </c>
      <c r="S9" s="198"/>
      <c r="T9" s="199"/>
      <c r="U9" s="184"/>
      <c r="V9" s="293" t="s">
        <v>200</v>
      </c>
      <c r="W9" s="294"/>
      <c r="X9" s="295"/>
    </row>
    <row r="10" spans="1:24" ht="15">
      <c r="A10" s="301" t="s">
        <v>176</v>
      </c>
      <c r="B10" s="281"/>
      <c r="C10" s="281"/>
      <c r="D10" s="282" t="s">
        <v>143</v>
      </c>
      <c r="E10" s="184"/>
      <c r="F10" s="203" t="s">
        <v>144</v>
      </c>
      <c r="G10" s="184"/>
      <c r="H10" s="283" t="s">
        <v>8</v>
      </c>
      <c r="I10" s="184"/>
      <c r="J10" s="211" t="s">
        <v>166</v>
      </c>
      <c r="K10" s="184"/>
      <c r="L10" s="280" t="s">
        <v>167</v>
      </c>
      <c r="M10" s="184"/>
      <c r="N10" s="203" t="s">
        <v>144</v>
      </c>
      <c r="O10" s="184"/>
      <c r="P10" s="283" t="s">
        <v>8</v>
      </c>
      <c r="Q10" s="184"/>
      <c r="R10" s="211" t="s">
        <v>166</v>
      </c>
      <c r="S10" s="184"/>
      <c r="T10" s="280" t="s">
        <v>167</v>
      </c>
      <c r="U10" s="184"/>
      <c r="V10" s="221" t="s">
        <v>35</v>
      </c>
      <c r="W10" s="222">
        <v>12</v>
      </c>
      <c r="X10" s="223">
        <v>13</v>
      </c>
    </row>
    <row r="11" spans="1:24" ht="15">
      <c r="A11" s="302">
        <v>10</v>
      </c>
      <c r="B11" s="302"/>
      <c r="C11" s="303">
        <v>300</v>
      </c>
      <c r="D11" s="303">
        <f>ROUND((A11*C11),0)</f>
        <v>3000</v>
      </c>
      <c r="E11" s="184"/>
      <c r="F11" s="284">
        <f>ROUND($W$10+($W$11*$A11+$W$13/100*MIN($D11,30000)+$W$14/100*MAX($D11-30000,0))*(1+$W$30)*(1+$W$16)+$W$15,2)</f>
        <v>256.47</v>
      </c>
      <c r="G11" s="284"/>
      <c r="H11" s="284">
        <f>ROUND($X$10+($X$11*$A11+$X$13/100*MIN($D11,30000)+$X$14/100*MAX($D11-30000,0))*(1+$X$30)*(1+$X$16)+$X$15,2)</f>
        <v>285.2</v>
      </c>
      <c r="I11" s="284"/>
      <c r="J11" s="284">
        <f>IF(H11="","",H11-F11)</f>
        <v>28.72999999999996</v>
      </c>
      <c r="K11" s="184"/>
      <c r="L11" s="214">
        <f>IF(J11="","",H11/F11-1)</f>
        <v>0.1120208991305025</v>
      </c>
      <c r="M11" s="184"/>
      <c r="N11" s="284">
        <f>ROUND($W$18+($W$19*$A11+$W$21/100*MIN($D11,30000)+$W$22/100*MAX($D11-30000,0))*(1+$W$30)*(1+$W$24)+$W$23,2)</f>
        <v>138.01</v>
      </c>
      <c r="O11" s="284"/>
      <c r="P11" s="284">
        <f>ROUND($X$18+($X$19*$A11+$X$21/100*MIN($D11,30000)+$X$22/100*MAX($D11-30000,0))*(1+$X$30)*(1+$X$24)+$X$23,2)</f>
        <v>153.26</v>
      </c>
      <c r="Q11" s="284"/>
      <c r="R11" s="284">
        <f aca="true" t="shared" si="0" ref="R11:R33">IF(P11="","",P11-N11)</f>
        <v>15.25</v>
      </c>
      <c r="S11" s="184"/>
      <c r="T11" s="214">
        <f aca="true" t="shared" si="1" ref="T11:T33">IF(R11="","",P11/N11-1)</f>
        <v>0.11049923918556637</v>
      </c>
      <c r="U11" s="184"/>
      <c r="V11" s="221" t="s">
        <v>177</v>
      </c>
      <c r="W11" s="222">
        <v>5.75</v>
      </c>
      <c r="X11" s="223">
        <v>6.71</v>
      </c>
    </row>
    <row r="12" spans="1:24" ht="15">
      <c r="A12" s="304">
        <f>A11</f>
        <v>10</v>
      </c>
      <c r="B12" s="302"/>
      <c r="C12" s="303">
        <v>500</v>
      </c>
      <c r="D12" s="303">
        <f>ROUND((A12*C12),0)</f>
        <v>5000</v>
      </c>
      <c r="E12" s="184"/>
      <c r="F12" s="284">
        <f aca="true" t="shared" si="2" ref="F12:F33">ROUND($W$10+($W$11*$A12+$W$13/100*MIN($D12,30000)+$W$14/100*MAX($D12-30000,0))*(1+$W$30)*(1+$W$16)+$W$15,2)</f>
        <v>378</v>
      </c>
      <c r="G12" s="284"/>
      <c r="H12" s="284">
        <f aca="true" t="shared" si="3" ref="H12:H33">ROUND($X$10+($X$11*$A12+$X$13/100*MIN($D12,30000)+$X$14/100*MAX($D12-30000,0))*(1+$X$30)*(1+$X$16)+$X$15,2)</f>
        <v>420.59</v>
      </c>
      <c r="I12" s="284"/>
      <c r="J12" s="284">
        <f>IF(H12="","",H12-F12)</f>
        <v>42.589999999999975</v>
      </c>
      <c r="K12" s="184"/>
      <c r="L12" s="214">
        <f>IF(J12="","",H12/F12-1)</f>
        <v>0.1126719576719577</v>
      </c>
      <c r="M12" s="184"/>
      <c r="N12" s="284">
        <f>ROUND($W$18+($W$19*$A12+$W$21/100*MIN($D12,30000)+$W$22/100*MAX($D12-30000,0))*(1+$W$30)*(1+$W$24)+$W$23,2)</f>
        <v>221.26</v>
      </c>
      <c r="O12" s="284"/>
      <c r="P12" s="284">
        <f>ROUND($X$18+($X$19*$A12+$X$21/100*MIN($D12,30000)+$X$22/100*MAX($D12-30000,0))*(1+$X$30)*(1+$X$24)+$X$23,2)</f>
        <v>246.01</v>
      </c>
      <c r="Q12" s="284"/>
      <c r="R12" s="284">
        <f t="shared" si="0"/>
        <v>24.75</v>
      </c>
      <c r="S12" s="184"/>
      <c r="T12" s="214">
        <f t="shared" si="1"/>
        <v>0.11185935098978583</v>
      </c>
      <c r="U12" s="184"/>
      <c r="V12" s="221" t="s">
        <v>178</v>
      </c>
      <c r="W12" s="222">
        <v>-1.61</v>
      </c>
      <c r="X12" s="223">
        <v>-1.88</v>
      </c>
    </row>
    <row r="13" spans="1:24" ht="15">
      <c r="A13" s="304">
        <f>A11</f>
        <v>10</v>
      </c>
      <c r="B13" s="302"/>
      <c r="C13" s="303">
        <v>700</v>
      </c>
      <c r="D13" s="303">
        <f>ROUND((A13*C13),0)</f>
        <v>7000</v>
      </c>
      <c r="E13" s="184"/>
      <c r="F13" s="284">
        <f t="shared" si="2"/>
        <v>499.52</v>
      </c>
      <c r="G13" s="284"/>
      <c r="H13" s="284">
        <f t="shared" si="3"/>
        <v>555.99</v>
      </c>
      <c r="I13" s="284"/>
      <c r="J13" s="284">
        <f>IF(H13="","",H13-F13)</f>
        <v>56.47000000000003</v>
      </c>
      <c r="K13" s="184"/>
      <c r="L13" s="214">
        <f>IF(J13="","",H13/F13-1)</f>
        <v>0.11304852658552211</v>
      </c>
      <c r="M13" s="184"/>
      <c r="N13" s="284">
        <f>ROUND($W$18+($W$19*$A13+$W$21/100*MIN($D13,30000)+$W$22/100*MAX($D13-30000,0))*(1+$W$30)*(1+$W$24)+$W$23,2)</f>
        <v>304.5</v>
      </c>
      <c r="O13" s="284"/>
      <c r="P13" s="284">
        <f>ROUND($X$18+($X$19*$A13+$X$21/100*MIN($D13,30000)+$X$22/100*MAX($D13-30000,0))*(1+$X$30)*(1+$X$24)+$X$23,2)</f>
        <v>338.75</v>
      </c>
      <c r="Q13" s="284"/>
      <c r="R13" s="284">
        <f t="shared" si="0"/>
        <v>34.25</v>
      </c>
      <c r="S13" s="184"/>
      <c r="T13" s="214">
        <f t="shared" si="1"/>
        <v>0.1124794745484401</v>
      </c>
      <c r="U13" s="184"/>
      <c r="V13" s="221" t="s">
        <v>201</v>
      </c>
      <c r="W13" s="286">
        <v>5.7252</v>
      </c>
      <c r="X13" s="287">
        <v>6.6848</v>
      </c>
    </row>
    <row r="14" spans="1:24" ht="15">
      <c r="A14" s="194"/>
      <c r="B14" s="194"/>
      <c r="C14" s="194"/>
      <c r="D14" s="194"/>
      <c r="E14" s="184"/>
      <c r="F14" s="284"/>
      <c r="G14" s="284"/>
      <c r="H14" s="284"/>
      <c r="I14" s="284"/>
      <c r="J14" s="284"/>
      <c r="K14" s="184"/>
      <c r="L14" s="214"/>
      <c r="M14" s="184"/>
      <c r="N14" s="284"/>
      <c r="O14" s="284"/>
      <c r="P14" s="284"/>
      <c r="Q14" s="284"/>
      <c r="R14" s="284" t="str">
        <f t="shared" si="0"/>
        <v/>
      </c>
      <c r="S14" s="184"/>
      <c r="T14" s="214" t="str">
        <f t="shared" si="1"/>
        <v/>
      </c>
      <c r="U14" s="184"/>
      <c r="V14" s="221" t="s">
        <v>202</v>
      </c>
      <c r="W14" s="286">
        <v>4.2318</v>
      </c>
      <c r="X14" s="287">
        <v>4.9411</v>
      </c>
    </row>
    <row r="15" spans="1:24" ht="15">
      <c r="A15" s="302">
        <v>20</v>
      </c>
      <c r="B15" s="302"/>
      <c r="C15" s="303">
        <v>300</v>
      </c>
      <c r="D15" s="303">
        <f>ROUND((A15*C15),0)</f>
        <v>6000</v>
      </c>
      <c r="E15" s="184"/>
      <c r="F15" s="284">
        <f t="shared" si="2"/>
        <v>499.79</v>
      </c>
      <c r="G15" s="284"/>
      <c r="H15" s="284">
        <f t="shared" si="3"/>
        <v>556.24</v>
      </c>
      <c r="I15" s="284"/>
      <c r="J15" s="284">
        <f>IF(H15="","",H15-F15)</f>
        <v>56.44999999999999</v>
      </c>
      <c r="K15" s="184"/>
      <c r="L15" s="214">
        <f>IF(J15="","",H15/F15-1)</f>
        <v>0.11294743792392792</v>
      </c>
      <c r="M15" s="184"/>
      <c r="N15" s="284">
        <f>ROUND($W$18+($W$19*$A15+$W$21/100*MIN($D15,30000)+$W$22/100*MAX($D15-30000,0))*(1+$W$30)*(1+$W$24)+$W$23,2)</f>
        <v>262.88</v>
      </c>
      <c r="O15" s="284"/>
      <c r="P15" s="284">
        <f>ROUND($X$18+($X$19*$A15+$X$21/100*MIN($D15,30000)+$X$22/100*MAX($D15-30000,0))*(1+$X$30)*(1+$X$24)+$X$23,2)</f>
        <v>292.38</v>
      </c>
      <c r="Q15" s="284"/>
      <c r="R15" s="284">
        <f t="shared" si="0"/>
        <v>29.5</v>
      </c>
      <c r="S15" s="184"/>
      <c r="T15" s="214">
        <f t="shared" si="1"/>
        <v>0.11221850273889222</v>
      </c>
      <c r="U15" s="184"/>
      <c r="V15" s="221" t="s">
        <v>193</v>
      </c>
      <c r="W15" s="222">
        <v>1.15</v>
      </c>
      <c r="X15" s="288">
        <f>W15</f>
        <v>1.15</v>
      </c>
    </row>
    <row r="16" spans="1:24" ht="15">
      <c r="A16" s="304">
        <f>A15</f>
        <v>20</v>
      </c>
      <c r="B16" s="302"/>
      <c r="C16" s="303">
        <v>500</v>
      </c>
      <c r="D16" s="303">
        <f>ROUND((A16*C16),0)</f>
        <v>10000</v>
      </c>
      <c r="E16" s="184"/>
      <c r="F16" s="284">
        <f t="shared" si="2"/>
        <v>742.84</v>
      </c>
      <c r="G16" s="284"/>
      <c r="H16" s="284">
        <f t="shared" si="3"/>
        <v>827.03</v>
      </c>
      <c r="I16" s="284"/>
      <c r="J16" s="284">
        <f>IF(H16="","",H16-F16)</f>
        <v>84.18999999999994</v>
      </c>
      <c r="K16" s="184"/>
      <c r="L16" s="214">
        <f>IF(J16="","",H16/F16-1)</f>
        <v>0.1133353077378707</v>
      </c>
      <c r="M16" s="184"/>
      <c r="N16" s="284">
        <f>ROUND($W$18+($W$19*$A16+$W$21/100*MIN($D16,30000)+$W$22/100*MAX($D16-30000,0))*(1+$W$30)*(1+$W$24)+$W$23,2)</f>
        <v>429.37</v>
      </c>
      <c r="O16" s="284"/>
      <c r="P16" s="284">
        <f>ROUND($X$18+($X$19*$A16+$X$21/100*MIN($D16,30000)+$X$22/100*MAX($D16-30000,0))*(1+$X$30)*(1+$X$24)+$X$23,2)</f>
        <v>477.86</v>
      </c>
      <c r="Q16" s="284"/>
      <c r="R16" s="284">
        <f t="shared" si="0"/>
        <v>48.49000000000001</v>
      </c>
      <c r="S16" s="184"/>
      <c r="T16" s="214">
        <f t="shared" si="1"/>
        <v>0.11293290169317838</v>
      </c>
      <c r="U16" s="184"/>
      <c r="V16" s="221" t="s">
        <v>194</v>
      </c>
      <c r="W16" s="289">
        <v>0.0216</v>
      </c>
      <c r="X16" s="290">
        <f>W16</f>
        <v>0.0216</v>
      </c>
    </row>
    <row r="17" spans="1:24" ht="15">
      <c r="A17" s="304">
        <f>A15</f>
        <v>20</v>
      </c>
      <c r="B17" s="302"/>
      <c r="C17" s="303">
        <v>700</v>
      </c>
      <c r="D17" s="303">
        <f>ROUND((A17*C17),0)</f>
        <v>14000</v>
      </c>
      <c r="E17" s="184"/>
      <c r="F17" s="284">
        <f t="shared" si="2"/>
        <v>985.9</v>
      </c>
      <c r="G17" s="284"/>
      <c r="H17" s="284">
        <f t="shared" si="3"/>
        <v>1097.82</v>
      </c>
      <c r="I17" s="284"/>
      <c r="J17" s="284">
        <f>IF(H17="","",H17-F17)</f>
        <v>111.91999999999996</v>
      </c>
      <c r="K17" s="184"/>
      <c r="L17" s="214">
        <f>IF(J17="","",H17/F17-1)</f>
        <v>0.1135206410386449</v>
      </c>
      <c r="M17" s="184"/>
      <c r="N17" s="284">
        <f>ROUND($W$18+($W$19*$A17+$W$21/100*MIN($D17,30000)+$W$22/100*MAX($D17-30000,0))*(1+$W$30)*(1+$W$24)+$W$23,2)</f>
        <v>595.85</v>
      </c>
      <c r="O17" s="284"/>
      <c r="P17" s="284">
        <f>ROUND($X$18+($X$19*$A17+$X$21/100*MIN($D17,30000)+$X$22/100*MAX($D17-30000,0))*(1+$X$30)*(1+$X$24)+$X$23,2)</f>
        <v>663.35</v>
      </c>
      <c r="Q17" s="284"/>
      <c r="R17" s="284">
        <f t="shared" si="0"/>
        <v>67.5</v>
      </c>
      <c r="S17" s="184"/>
      <c r="T17" s="214">
        <f t="shared" si="1"/>
        <v>0.11328354451623723</v>
      </c>
      <c r="U17" s="184"/>
      <c r="V17" s="279" t="s">
        <v>203</v>
      </c>
      <c r="W17" s="182"/>
      <c r="X17" s="220"/>
    </row>
    <row r="18" spans="1:24" ht="15">
      <c r="A18" s="194"/>
      <c r="B18" s="194"/>
      <c r="C18" s="194"/>
      <c r="D18" s="194"/>
      <c r="E18" s="184"/>
      <c r="F18" s="284"/>
      <c r="G18" s="284"/>
      <c r="H18" s="284"/>
      <c r="I18" s="284"/>
      <c r="J18" s="284"/>
      <c r="K18" s="184"/>
      <c r="L18" s="214"/>
      <c r="M18" s="184"/>
      <c r="N18" s="284"/>
      <c r="O18" s="284"/>
      <c r="P18" s="284"/>
      <c r="Q18" s="284"/>
      <c r="R18" s="284" t="str">
        <f t="shared" si="0"/>
        <v/>
      </c>
      <c r="S18" s="184"/>
      <c r="T18" s="214" t="str">
        <f t="shared" si="1"/>
        <v/>
      </c>
      <c r="U18" s="184"/>
      <c r="V18" s="221" t="s">
        <v>35</v>
      </c>
      <c r="W18" s="228">
        <f>W10</f>
        <v>12</v>
      </c>
      <c r="X18" s="229">
        <f>X10</f>
        <v>13</v>
      </c>
    </row>
    <row r="19" spans="1:24" ht="15">
      <c r="A19" s="302">
        <v>50</v>
      </c>
      <c r="B19" s="302"/>
      <c r="C19" s="303">
        <v>300</v>
      </c>
      <c r="D19" s="303">
        <f>ROUND((A19*C19),0)</f>
        <v>15000</v>
      </c>
      <c r="E19" s="184"/>
      <c r="F19" s="284">
        <f t="shared" si="2"/>
        <v>1229.74</v>
      </c>
      <c r="G19" s="284"/>
      <c r="H19" s="284">
        <f t="shared" si="3"/>
        <v>1369.38</v>
      </c>
      <c r="I19" s="284"/>
      <c r="J19" s="284">
        <f>IF(H19="","",H19-F19)</f>
        <v>139.6400000000001</v>
      </c>
      <c r="K19" s="184"/>
      <c r="L19" s="214">
        <f>IF(J19="","",H19/F19-1)</f>
        <v>0.11355245824320592</v>
      </c>
      <c r="M19" s="184"/>
      <c r="N19" s="284">
        <f>ROUND($W$18+($W$19*$A19+$W$21/100*MIN($D19,30000)+$W$22/100*MAX($D19-30000,0))*(1+$W$30)*(1+$W$24)+$W$23,2)</f>
        <v>637.47</v>
      </c>
      <c r="O19" s="284"/>
      <c r="P19" s="284">
        <f>ROUND($X$18+($X$19*$A19+$X$21/100*MIN($D19,30000)+$X$22/100*MAX($D19-30000,0))*(1+$X$30)*(1+$X$24)+$X$23,2)</f>
        <v>709.72</v>
      </c>
      <c r="Q19" s="284"/>
      <c r="R19" s="284">
        <f t="shared" si="0"/>
        <v>72.25</v>
      </c>
      <c r="S19" s="184"/>
      <c r="T19" s="214">
        <f t="shared" si="1"/>
        <v>0.11333866691765881</v>
      </c>
      <c r="U19" s="184"/>
      <c r="V19" s="221" t="s">
        <v>177</v>
      </c>
      <c r="W19" s="222">
        <v>0</v>
      </c>
      <c r="X19" s="223">
        <v>0</v>
      </c>
    </row>
    <row r="20" spans="1:24" ht="15">
      <c r="A20" s="304">
        <f>A19</f>
        <v>50</v>
      </c>
      <c r="B20" s="302"/>
      <c r="C20" s="303">
        <v>500</v>
      </c>
      <c r="D20" s="303">
        <f>ROUND((A20*C20),0)</f>
        <v>25000</v>
      </c>
      <c r="E20" s="184"/>
      <c r="F20" s="284">
        <f t="shared" si="2"/>
        <v>1837.38</v>
      </c>
      <c r="G20" s="284"/>
      <c r="H20" s="284">
        <f t="shared" si="3"/>
        <v>2046.36</v>
      </c>
      <c r="I20" s="284"/>
      <c r="J20" s="284">
        <f>IF(H20="","",H20-F20)</f>
        <v>208.9799999999998</v>
      </c>
      <c r="K20" s="184"/>
      <c r="L20" s="214">
        <f>IF(J20="","",H20/F20-1)</f>
        <v>0.11373804003526744</v>
      </c>
      <c r="M20" s="184"/>
      <c r="N20" s="284">
        <f>ROUND($W$18+($W$19*$A20+$W$21/100*MIN($D20,30000)+$W$22/100*MAX($D20-30000,0))*(1+$W$30)*(1+$W$24)+$W$23,2)</f>
        <v>1053.69</v>
      </c>
      <c r="O20" s="284"/>
      <c r="P20" s="284">
        <f>ROUND($X$18+($X$19*$A20+$X$21/100*MIN($D20,30000)+$X$22/100*MAX($D20-30000,0))*(1+$X$30)*(1+$X$24)+$X$23,2)</f>
        <v>1173.43</v>
      </c>
      <c r="Q20" s="284"/>
      <c r="R20" s="284">
        <f t="shared" si="0"/>
        <v>119.74000000000001</v>
      </c>
      <c r="S20" s="184"/>
      <c r="T20" s="214">
        <f t="shared" si="1"/>
        <v>0.11363873625069987</v>
      </c>
      <c r="U20" s="184"/>
      <c r="V20" s="221" t="s">
        <v>178</v>
      </c>
      <c r="W20" s="222">
        <v>0</v>
      </c>
      <c r="X20" s="223">
        <v>0</v>
      </c>
    </row>
    <row r="21" spans="1:24" ht="15">
      <c r="A21" s="304">
        <f>A19</f>
        <v>50</v>
      </c>
      <c r="B21" s="302"/>
      <c r="C21" s="303">
        <v>700</v>
      </c>
      <c r="D21" s="303">
        <f>ROUND((A21*C21),0)</f>
        <v>35000</v>
      </c>
      <c r="E21" s="184"/>
      <c r="F21" s="284">
        <f t="shared" si="2"/>
        <v>2365.77</v>
      </c>
      <c r="G21" s="284"/>
      <c r="H21" s="284">
        <f t="shared" si="3"/>
        <v>2635.04</v>
      </c>
      <c r="I21" s="284"/>
      <c r="J21" s="284">
        <f>IF(H21="","",H21-F21)</f>
        <v>269.27</v>
      </c>
      <c r="K21" s="184"/>
      <c r="L21" s="214">
        <f>IF(J21="","",H21/F21-1)</f>
        <v>0.11381917937922958</v>
      </c>
      <c r="M21" s="184"/>
      <c r="N21" s="284">
        <f>ROUND($W$18+($W$19*$A21+$W$21/100*MIN($D21,30000)+$W$22/100*MAX($D21-30000,0))*(1+$W$30)*(1+$W$24)+$W$23,2)</f>
        <v>1469.9</v>
      </c>
      <c r="O21" s="284"/>
      <c r="P21" s="284">
        <f>ROUND($X$18+($X$19*$A21+$X$21/100*MIN($D21,30000)+$X$22/100*MAX($D21-30000,0))*(1+$X$30)*(1+$X$24)+$X$23,2)</f>
        <v>1637.14</v>
      </c>
      <c r="Q21" s="284"/>
      <c r="R21" s="284">
        <f t="shared" si="0"/>
        <v>167.24</v>
      </c>
      <c r="S21" s="184"/>
      <c r="T21" s="214">
        <f t="shared" si="1"/>
        <v>0.11377644737737258</v>
      </c>
      <c r="U21" s="184"/>
      <c r="V21" s="221" t="s">
        <v>201</v>
      </c>
      <c r="W21" s="286">
        <v>3.9216</v>
      </c>
      <c r="X21" s="287">
        <v>4.5789</v>
      </c>
    </row>
    <row r="22" spans="1:24" ht="15">
      <c r="A22" s="194"/>
      <c r="B22" s="194"/>
      <c r="C22" s="194"/>
      <c r="D22" s="194"/>
      <c r="E22" s="184"/>
      <c r="F22" s="284"/>
      <c r="G22" s="284"/>
      <c r="H22" s="284"/>
      <c r="I22" s="284"/>
      <c r="J22" s="284"/>
      <c r="K22" s="184"/>
      <c r="L22" s="214"/>
      <c r="M22" s="184"/>
      <c r="N22" s="284"/>
      <c r="O22" s="284"/>
      <c r="P22" s="284"/>
      <c r="Q22" s="284"/>
      <c r="R22" s="284" t="str">
        <f t="shared" si="0"/>
        <v/>
      </c>
      <c r="S22" s="184"/>
      <c r="T22" s="214" t="str">
        <f t="shared" si="1"/>
        <v/>
      </c>
      <c r="U22" s="184"/>
      <c r="V22" s="221" t="s">
        <v>202</v>
      </c>
      <c r="W22" s="305">
        <f>W21</f>
        <v>3.9216</v>
      </c>
      <c r="X22" s="298">
        <f>X21</f>
        <v>4.5789</v>
      </c>
    </row>
    <row r="23" spans="1:24" ht="15">
      <c r="A23" s="302">
        <v>100</v>
      </c>
      <c r="B23" s="302"/>
      <c r="C23" s="303">
        <v>300</v>
      </c>
      <c r="D23" s="303">
        <f>ROUND((A23*C23),0)</f>
        <v>30000</v>
      </c>
      <c r="E23" s="184"/>
      <c r="F23" s="284">
        <f t="shared" si="2"/>
        <v>2446.34</v>
      </c>
      <c r="G23" s="284"/>
      <c r="H23" s="284">
        <f t="shared" si="3"/>
        <v>2724.61</v>
      </c>
      <c r="I23" s="284"/>
      <c r="J23" s="284">
        <f>IF(H23="","",H23-F23)</f>
        <v>278.27</v>
      </c>
      <c r="K23" s="184"/>
      <c r="L23" s="214">
        <f>IF(J23="","",H23/F23-1)</f>
        <v>0.11374951969063996</v>
      </c>
      <c r="M23" s="184"/>
      <c r="N23" s="284">
        <f>ROUND($W$18+($W$19*$A23+$W$21/100*MIN($D23,30000)+$W$22/100*MAX($D23-30000,0))*(1+$W$30)*(1+$W$24)+$W$23,2)</f>
        <v>1261.8</v>
      </c>
      <c r="O23" s="284"/>
      <c r="P23" s="284">
        <f>ROUND($X$18+($X$19*$A23+$X$21/100*MIN($D23,30000)+$X$22/100*MAX($D23-30000,0))*(1+$X$30)*(1+$X$24)+$X$23,2)</f>
        <v>1405.28</v>
      </c>
      <c r="Q23" s="284"/>
      <c r="R23" s="284">
        <f t="shared" si="0"/>
        <v>143.48000000000002</v>
      </c>
      <c r="S23" s="184"/>
      <c r="T23" s="214">
        <f t="shared" si="1"/>
        <v>0.1137105721984466</v>
      </c>
      <c r="U23" s="184"/>
      <c r="V23" s="221" t="s">
        <v>193</v>
      </c>
      <c r="W23" s="228">
        <f>W15</f>
        <v>1.15</v>
      </c>
      <c r="X23" s="229">
        <f>X15</f>
        <v>1.15</v>
      </c>
    </row>
    <row r="24" spans="1:24" ht="15">
      <c r="A24" s="304">
        <f>A23</f>
        <v>100</v>
      </c>
      <c r="B24" s="302"/>
      <c r="C24" s="303">
        <v>500</v>
      </c>
      <c r="D24" s="303">
        <f>ROUND((A24*C24),0)</f>
        <v>50000</v>
      </c>
      <c r="E24" s="184"/>
      <c r="F24" s="284">
        <f t="shared" si="2"/>
        <v>3344.61</v>
      </c>
      <c r="G24" s="284"/>
      <c r="H24" s="284">
        <f t="shared" si="3"/>
        <v>3725.4</v>
      </c>
      <c r="I24" s="284"/>
      <c r="J24" s="284">
        <f>IF(H24="","",H24-F24)</f>
        <v>380.78999999999996</v>
      </c>
      <c r="K24" s="184"/>
      <c r="L24" s="214">
        <f>IF(J24="","",H24/F24-1)</f>
        <v>0.113851839227892</v>
      </c>
      <c r="M24" s="184"/>
      <c r="N24" s="284">
        <f>ROUND($W$18+($W$19*$A24+$W$21/100*MIN($D24,30000)+$W$22/100*MAX($D24-30000,0))*(1+$W$30)*(1+$W$24)+$W$23,2)</f>
        <v>2094.23</v>
      </c>
      <c r="O24" s="284"/>
      <c r="P24" s="284">
        <f>ROUND($X$18+($X$19*$A24+$X$21/100*MIN($D24,30000)+$X$22/100*MAX($D24-30000,0))*(1+$X$30)*(1+$X$24)+$X$23,2)</f>
        <v>2332.7</v>
      </c>
      <c r="Q24" s="284"/>
      <c r="R24" s="284">
        <f t="shared" si="0"/>
        <v>238.4699999999998</v>
      </c>
      <c r="S24" s="184"/>
      <c r="T24" s="214">
        <f t="shared" si="1"/>
        <v>0.11387001427732368</v>
      </c>
      <c r="U24" s="184"/>
      <c r="V24" s="232" t="s">
        <v>194</v>
      </c>
      <c r="W24" s="291">
        <f>W16</f>
        <v>0.0216</v>
      </c>
      <c r="X24" s="292">
        <f>X16</f>
        <v>0.0216</v>
      </c>
    </row>
    <row r="25" spans="1:24" ht="15">
      <c r="A25" s="304">
        <f>A23</f>
        <v>100</v>
      </c>
      <c r="B25" s="302"/>
      <c r="C25" s="303">
        <v>700</v>
      </c>
      <c r="D25" s="303">
        <f>ROUND((A25*C25),0)</f>
        <v>70000</v>
      </c>
      <c r="E25" s="184"/>
      <c r="F25" s="284">
        <f t="shared" si="2"/>
        <v>4242.89</v>
      </c>
      <c r="G25" s="284"/>
      <c r="H25" s="284">
        <f t="shared" si="3"/>
        <v>4726.18</v>
      </c>
      <c r="I25" s="284"/>
      <c r="J25" s="284">
        <f>IF(H25="","",H25-F25)</f>
        <v>483.28999999999996</v>
      </c>
      <c r="K25" s="184"/>
      <c r="L25" s="214">
        <f>IF(J25="","",H25/F25-1)</f>
        <v>0.11390585190754421</v>
      </c>
      <c r="M25" s="184"/>
      <c r="N25" s="284">
        <f>ROUND($W$18+($W$19*$A25+$W$21/100*MIN($D25,30000)+$W$22/100*MAX($D25-30000,0))*(1+$W$30)*(1+$W$24)+$W$23,2)</f>
        <v>2926.66</v>
      </c>
      <c r="O25" s="284"/>
      <c r="P25" s="284">
        <f>ROUND($X$18+($X$19*$A25+$X$21/100*MIN($D25,30000)+$X$22/100*MAX($D25-30000,0))*(1+$X$30)*(1+$X$24)+$X$23,2)</f>
        <v>3260.13</v>
      </c>
      <c r="Q25" s="284"/>
      <c r="R25" s="284">
        <f t="shared" si="0"/>
        <v>333.47000000000025</v>
      </c>
      <c r="S25" s="184"/>
      <c r="T25" s="214">
        <f t="shared" si="1"/>
        <v>0.11394217298900466</v>
      </c>
      <c r="U25" s="184"/>
      <c r="V25" s="184"/>
      <c r="W25" s="184"/>
      <c r="X25" s="184"/>
    </row>
    <row r="26" spans="1:24" ht="15">
      <c r="A26" s="194"/>
      <c r="B26" s="194"/>
      <c r="C26" s="194"/>
      <c r="D26" s="194"/>
      <c r="E26" s="184"/>
      <c r="F26" s="284"/>
      <c r="G26" s="284"/>
      <c r="H26" s="284"/>
      <c r="I26" s="284"/>
      <c r="J26" s="284"/>
      <c r="K26" s="184"/>
      <c r="L26" s="214"/>
      <c r="M26" s="184"/>
      <c r="N26" s="284"/>
      <c r="O26" s="284"/>
      <c r="P26" s="284"/>
      <c r="Q26" s="284"/>
      <c r="R26" s="284" t="str">
        <f t="shared" si="0"/>
        <v/>
      </c>
      <c r="S26" s="184"/>
      <c r="T26" s="214" t="str">
        <f t="shared" si="1"/>
        <v/>
      </c>
      <c r="U26" s="184"/>
      <c r="V26" s="184" t="s">
        <v>158</v>
      </c>
      <c r="W26" s="184"/>
      <c r="X26" s="236"/>
    </row>
    <row r="27" spans="1:24" ht="15">
      <c r="A27" s="302">
        <v>200</v>
      </c>
      <c r="B27" s="302"/>
      <c r="C27" s="303">
        <v>300</v>
      </c>
      <c r="D27" s="303">
        <f>ROUND((A27*C27),0)</f>
        <v>60000</v>
      </c>
      <c r="E27" s="184"/>
      <c r="F27" s="284">
        <f t="shared" si="2"/>
        <v>4404.02</v>
      </c>
      <c r="G27" s="284"/>
      <c r="H27" s="284">
        <f t="shared" si="3"/>
        <v>4905.32</v>
      </c>
      <c r="I27" s="284"/>
      <c r="J27" s="284">
        <f>IF(H27="","",H27-F27)</f>
        <v>501.2999999999993</v>
      </c>
      <c r="K27" s="184"/>
      <c r="L27" s="214">
        <f>IF(J27="","",H27/F27-1)</f>
        <v>0.11382782094540889</v>
      </c>
      <c r="M27" s="184"/>
      <c r="N27" s="284">
        <f>ROUND($W$18+($W$19*$A27+$W$21/100*MIN($D27,30000)+$W$22/100*MAX($D27-30000,0))*(1+$W$30)*(1+$W$24)+$W$23,2)</f>
        <v>2510.44</v>
      </c>
      <c r="O27" s="284"/>
      <c r="P27" s="284">
        <f>ROUND($X$18+($X$19*$A27+$X$21/100*MIN($D27,30000)+$X$22/100*MAX($D27-30000,0))*(1+$X$30)*(1+$X$24)+$X$23,2)</f>
        <v>2796.41</v>
      </c>
      <c r="Q27" s="284"/>
      <c r="R27" s="284">
        <f t="shared" si="0"/>
        <v>285.9699999999998</v>
      </c>
      <c r="S27" s="184"/>
      <c r="T27" s="214">
        <f t="shared" si="1"/>
        <v>0.11391230222590454</v>
      </c>
      <c r="U27" s="184"/>
      <c r="V27" s="184" t="s">
        <v>134</v>
      </c>
      <c r="W27" s="235">
        <v>0.0476</v>
      </c>
      <c r="X27" s="184">
        <v>0</v>
      </c>
    </row>
    <row r="28" spans="1:24" ht="15">
      <c r="A28" s="304">
        <f>A27</f>
        <v>200</v>
      </c>
      <c r="B28" s="302"/>
      <c r="C28" s="303">
        <v>500</v>
      </c>
      <c r="D28" s="303">
        <f>ROUND((A28*C28),0)</f>
        <v>100000</v>
      </c>
      <c r="E28" s="184"/>
      <c r="F28" s="284">
        <f t="shared" si="2"/>
        <v>6200.57</v>
      </c>
      <c r="G28" s="284"/>
      <c r="H28" s="284">
        <f t="shared" si="3"/>
        <v>6906.88</v>
      </c>
      <c r="I28" s="284"/>
      <c r="J28" s="284">
        <f>IF(H28="","",H28-F28)</f>
        <v>706.3100000000004</v>
      </c>
      <c r="K28" s="184"/>
      <c r="L28" s="214">
        <f>IF(J28="","",H28/F28-1)</f>
        <v>0.11391049532542974</v>
      </c>
      <c r="M28" s="184"/>
      <c r="N28" s="284">
        <f>ROUND($W$18+($W$19*$A28+$W$21/100*MIN($D28,30000)+$W$22/100*MAX($D28-30000,0))*(1+$W$30)*(1+$W$24)+$W$23,2)</f>
        <v>4175.3</v>
      </c>
      <c r="O28" s="284"/>
      <c r="P28" s="284">
        <f>ROUND($X$18+($X$19*$A28+$X$21/100*MIN($D28,30000)+$X$22/100*MAX($D28-30000,0))*(1+$X$30)*(1+$X$24)+$X$23,2)</f>
        <v>4651.26</v>
      </c>
      <c r="Q28" s="284"/>
      <c r="R28" s="284">
        <f t="shared" si="0"/>
        <v>475.96000000000004</v>
      </c>
      <c r="S28" s="184"/>
      <c r="T28" s="214">
        <f t="shared" si="1"/>
        <v>0.11399420400929272</v>
      </c>
      <c r="U28" s="184"/>
      <c r="V28" s="184" t="s">
        <v>159</v>
      </c>
      <c r="W28" s="235">
        <v>0.0181</v>
      </c>
      <c r="X28" s="236">
        <f>W28</f>
        <v>0.0181</v>
      </c>
    </row>
    <row r="29" spans="1:24" ht="15">
      <c r="A29" s="304">
        <f>A27</f>
        <v>200</v>
      </c>
      <c r="B29" s="302"/>
      <c r="C29" s="303">
        <v>700</v>
      </c>
      <c r="D29" s="303">
        <f>ROUND((A29*C29),0)</f>
        <v>140000</v>
      </c>
      <c r="E29" s="184"/>
      <c r="F29" s="284">
        <f t="shared" si="2"/>
        <v>7997.12</v>
      </c>
      <c r="G29" s="284"/>
      <c r="H29" s="284">
        <f t="shared" si="3"/>
        <v>8908.45</v>
      </c>
      <c r="I29" s="284"/>
      <c r="J29" s="284">
        <f>IF(H29="","",H29-F29)</f>
        <v>911.3300000000008</v>
      </c>
      <c r="K29" s="184"/>
      <c r="L29" s="214">
        <f>IF(J29="","",H29/F29-1)</f>
        <v>0.11395727461886285</v>
      </c>
      <c r="M29" s="184"/>
      <c r="N29" s="284">
        <f>ROUND($W$18+($W$19*$A29+$W$21/100*MIN($D29,30000)+$W$22/100*MAX($D29-30000,0))*(1+$W$30)*(1+$W$24)+$W$23,2)</f>
        <v>5840.16</v>
      </c>
      <c r="O29" s="284"/>
      <c r="P29" s="284">
        <f>ROUND($X$18+($X$19*$A29+$X$21/100*MIN($D29,30000)+$X$22/100*MAX($D29-30000,0))*(1+$X$30)*(1+$X$24)+$X$23,2)</f>
        <v>6506.1</v>
      </c>
      <c r="Q29" s="284"/>
      <c r="R29" s="284">
        <f t="shared" si="0"/>
        <v>665.9400000000005</v>
      </c>
      <c r="S29" s="184"/>
      <c r="T29" s="214">
        <f t="shared" si="1"/>
        <v>0.1140276978712913</v>
      </c>
      <c r="U29" s="184"/>
      <c r="V29" s="184" t="s">
        <v>160</v>
      </c>
      <c r="W29" s="235">
        <v>-0.0268</v>
      </c>
      <c r="X29" s="236">
        <f>W29</f>
        <v>-0.0268</v>
      </c>
    </row>
    <row r="30" spans="1:24" ht="15">
      <c r="A30" s="194"/>
      <c r="B30" s="194"/>
      <c r="C30" s="194"/>
      <c r="D30" s="194"/>
      <c r="E30" s="184"/>
      <c r="F30" s="284"/>
      <c r="G30" s="284"/>
      <c r="H30" s="284"/>
      <c r="I30" s="284"/>
      <c r="J30" s="284"/>
      <c r="K30" s="184"/>
      <c r="L30" s="214"/>
      <c r="M30" s="184"/>
      <c r="N30" s="284"/>
      <c r="O30" s="284"/>
      <c r="P30" s="284"/>
      <c r="Q30" s="284"/>
      <c r="R30" s="284" t="str">
        <f t="shared" si="0"/>
        <v/>
      </c>
      <c r="S30" s="184"/>
      <c r="T30" s="214" t="str">
        <f t="shared" si="1"/>
        <v/>
      </c>
      <c r="U30" s="184"/>
      <c r="V30" s="182" t="s">
        <v>161</v>
      </c>
      <c r="W30" s="235">
        <f>SUM(W27:W29)</f>
        <v>0.038900000000000004</v>
      </c>
      <c r="X30" s="236">
        <f>SUM(X27:X29)</f>
        <v>-0.0087</v>
      </c>
    </row>
    <row r="31" spans="1:24" ht="15">
      <c r="A31" s="302">
        <v>300</v>
      </c>
      <c r="B31" s="302"/>
      <c r="C31" s="303">
        <v>300</v>
      </c>
      <c r="D31" s="303">
        <f>ROUND((A31*C31),0)</f>
        <v>90000</v>
      </c>
      <c r="E31" s="184"/>
      <c r="F31" s="284">
        <f t="shared" si="2"/>
        <v>6361.71</v>
      </c>
      <c r="G31" s="284"/>
      <c r="H31" s="284">
        <f t="shared" si="3"/>
        <v>7086.02</v>
      </c>
      <c r="I31" s="284"/>
      <c r="J31" s="284">
        <f>IF(H31="","",H31-F31)</f>
        <v>724.3100000000004</v>
      </c>
      <c r="K31" s="184"/>
      <c r="L31" s="214">
        <f>IF(J31="","",H31/F31-1)</f>
        <v>0.11385460827356164</v>
      </c>
      <c r="M31" s="184"/>
      <c r="N31" s="284">
        <f>ROUND($W$18+($W$19*$A31+$W$21/100*MIN($D31,30000)+$W$22/100*MAX($D31-30000,0))*(1+$W$30)*(1+$W$24)+$W$23,2)</f>
        <v>3759.09</v>
      </c>
      <c r="O31" s="284"/>
      <c r="P31" s="284">
        <f>ROUND($X$18+($X$19*$A31+$X$21/100*MIN($D31,30000)+$X$22/100*MAX($D31-30000,0))*(1+$X$30)*(1+$X$24)+$X$23,2)</f>
        <v>4187.55</v>
      </c>
      <c r="Q31" s="284"/>
      <c r="R31" s="284">
        <f t="shared" si="0"/>
        <v>428.46000000000004</v>
      </c>
      <c r="S31" s="184"/>
      <c r="T31" s="214">
        <f t="shared" si="1"/>
        <v>0.11397971317526312</v>
      </c>
      <c r="U31" s="184"/>
      <c r="V31" s="184"/>
      <c r="W31" s="184"/>
      <c r="X31" s="184"/>
    </row>
    <row r="32" spans="1:24" ht="15">
      <c r="A32" s="304">
        <f>A31</f>
        <v>300</v>
      </c>
      <c r="B32" s="302"/>
      <c r="C32" s="303">
        <v>500</v>
      </c>
      <c r="D32" s="303">
        <f>ROUND((A32*C32),0)</f>
        <v>150000</v>
      </c>
      <c r="E32" s="184"/>
      <c r="F32" s="284">
        <f t="shared" si="2"/>
        <v>9056.53</v>
      </c>
      <c r="G32" s="284"/>
      <c r="H32" s="284">
        <f t="shared" si="3"/>
        <v>10088.37</v>
      </c>
      <c r="I32" s="284"/>
      <c r="J32" s="284">
        <f>IF(H32="","",H32-F32)</f>
        <v>1031.8400000000001</v>
      </c>
      <c r="K32" s="184"/>
      <c r="L32" s="214">
        <f>IF(J32="","",H32/F32-1)</f>
        <v>0.11393326141469196</v>
      </c>
      <c r="M32" s="184"/>
      <c r="N32" s="284">
        <f>ROUND($W$18+($W$19*$A32+$W$21/100*MIN($D32,30000)+$W$22/100*MAX($D32-30000,0))*(1+$W$30)*(1+$W$24)+$W$23,2)</f>
        <v>6256.38</v>
      </c>
      <c r="O32" s="284"/>
      <c r="P32" s="284">
        <f>ROUND($X$18+($X$19*$A32+$X$21/100*MIN($D32,30000)+$X$22/100*MAX($D32-30000,0))*(1+$X$30)*(1+$X$24)+$X$23,2)</f>
        <v>6969.81</v>
      </c>
      <c r="Q32" s="284"/>
      <c r="R32" s="284">
        <f t="shared" si="0"/>
        <v>713.4300000000003</v>
      </c>
      <c r="S32" s="184"/>
      <c r="T32" s="214">
        <f t="shared" si="1"/>
        <v>0.11403239573043833</v>
      </c>
      <c r="U32" s="184"/>
      <c r="V32" s="184"/>
      <c r="W32" s="184"/>
      <c r="X32" s="184"/>
    </row>
    <row r="33" spans="1:24" ht="15">
      <c r="A33" s="304">
        <f>A31</f>
        <v>300</v>
      </c>
      <c r="B33" s="302"/>
      <c r="C33" s="303">
        <v>700</v>
      </c>
      <c r="D33" s="303">
        <f>ROUND((A33*C33),0)</f>
        <v>210000</v>
      </c>
      <c r="E33" s="184"/>
      <c r="F33" s="284">
        <f t="shared" si="2"/>
        <v>11751.36</v>
      </c>
      <c r="G33" s="284"/>
      <c r="H33" s="284">
        <f t="shared" si="3"/>
        <v>13090.71</v>
      </c>
      <c r="I33" s="284"/>
      <c r="J33" s="284">
        <f>IF(H33="","",H33-F33)</f>
        <v>1339.3499999999985</v>
      </c>
      <c r="K33" s="184"/>
      <c r="L33" s="214">
        <f>IF(J33="","",H33/F33-1)</f>
        <v>0.11397404215341878</v>
      </c>
      <c r="M33" s="184"/>
      <c r="N33" s="284">
        <f>ROUND($W$18+($W$19*$A33+$W$21/100*MIN($D33,30000)+$W$22/100*MAX($D33-30000,0))*(1+$W$30)*(1+$W$24)+$W$23,2)</f>
        <v>8753.67</v>
      </c>
      <c r="O33" s="284"/>
      <c r="P33" s="284">
        <f>ROUND($X$18+($X$19*$A33+$X$21/100*MIN($D33,30000)+$X$22/100*MAX($D33-30000,0))*(1+$X$30)*(1+$X$24)+$X$23,2)</f>
        <v>9752.08</v>
      </c>
      <c r="Q33" s="284"/>
      <c r="R33" s="284">
        <f t="shared" si="0"/>
        <v>998.4099999999999</v>
      </c>
      <c r="S33" s="184"/>
      <c r="T33" s="214">
        <f t="shared" si="1"/>
        <v>0.11405616158708298</v>
      </c>
      <c r="U33" s="184"/>
      <c r="V33" s="184"/>
      <c r="W33" s="184"/>
      <c r="X33" s="184"/>
    </row>
    <row r="34" spans="1:24" ht="15">
      <c r="A34" s="194"/>
      <c r="B34" s="194"/>
      <c r="C34" s="194"/>
      <c r="D34" s="194"/>
      <c r="E34" s="184"/>
      <c r="F34" s="195"/>
      <c r="G34" s="184"/>
      <c r="H34" s="195"/>
      <c r="I34" s="184"/>
      <c r="J34" s="184"/>
      <c r="K34" s="184"/>
      <c r="L34" s="184"/>
      <c r="M34" s="184"/>
      <c r="N34" s="195"/>
      <c r="O34" s="184"/>
      <c r="P34" s="195"/>
      <c r="Q34" s="184"/>
      <c r="R34" s="184"/>
      <c r="S34" s="184"/>
      <c r="T34" s="184"/>
      <c r="U34" s="184"/>
      <c r="V34" s="184"/>
      <c r="W34" s="306"/>
      <c r="X34" s="306"/>
    </row>
    <row r="35" spans="1:24" ht="16.5">
      <c r="A35" s="239" t="s">
        <v>204</v>
      </c>
      <c r="B35" s="194"/>
      <c r="C35" s="194"/>
      <c r="D35" s="194"/>
      <c r="E35" s="184"/>
      <c r="F35" s="195"/>
      <c r="G35" s="184"/>
      <c r="H35" s="195"/>
      <c r="I35" s="184"/>
      <c r="J35" s="184"/>
      <c r="K35" s="184"/>
      <c r="L35" s="184"/>
      <c r="M35" s="184"/>
      <c r="N35" s="195"/>
      <c r="O35" s="184"/>
      <c r="P35" s="195"/>
      <c r="Q35" s="184"/>
      <c r="R35" s="184"/>
      <c r="S35" s="184"/>
      <c r="T35" s="184"/>
      <c r="U35" s="184"/>
      <c r="V35" s="184"/>
      <c r="W35" s="306"/>
      <c r="X35" s="306"/>
    </row>
  </sheetData>
  <printOptions/>
  <pageMargins left="0.7" right="0.7" top="0.75" bottom="0.75" header="0.3" footer="0.3"/>
  <pageSetup fitToHeight="1" fitToWidth="1"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workbookViewId="0" topLeftCell="A1">
      <selection activeCell="U3" sqref="U3"/>
    </sheetView>
  </sheetViews>
  <sheetFormatPr defaultColWidth="9.140625" defaultRowHeight="15"/>
  <cols>
    <col min="2" max="2" width="1.28515625" style="0" customWidth="1"/>
    <col min="4" max="4" width="1.1484375" style="0" customWidth="1"/>
    <col min="6" max="6" width="1.421875" style="0" customWidth="1"/>
    <col min="8" max="8" width="1.1484375" style="0" customWidth="1"/>
    <col min="10" max="10" width="1.1484375" style="0" customWidth="1"/>
    <col min="12" max="12" width="0.85546875" style="0" customWidth="1"/>
    <col min="14" max="14" width="0.85546875" style="0" customWidth="1"/>
    <col min="16" max="16" width="0.9921875" style="0" customWidth="1"/>
    <col min="18" max="18" width="0.9921875" style="0" customWidth="1"/>
    <col min="20" max="20" width="5.140625" style="0" customWidth="1"/>
    <col min="21" max="21" width="14.00390625" style="0" customWidth="1"/>
  </cols>
  <sheetData>
    <row r="1" spans="1:23" ht="16.5">
      <c r="A1" s="177" t="s">
        <v>135</v>
      </c>
      <c r="B1" s="177"/>
      <c r="C1" s="177"/>
      <c r="D1" s="178"/>
      <c r="E1" s="179"/>
      <c r="F1" s="178"/>
      <c r="G1" s="179"/>
      <c r="H1" s="178"/>
      <c r="I1" s="178"/>
      <c r="J1" s="178"/>
      <c r="K1" s="178"/>
      <c r="L1" s="178"/>
      <c r="M1" s="179"/>
      <c r="N1" s="178"/>
      <c r="O1" s="179"/>
      <c r="P1" s="178"/>
      <c r="Q1" s="178"/>
      <c r="R1" s="178"/>
      <c r="S1" s="178"/>
      <c r="T1" s="184"/>
      <c r="U1" s="313" t="s">
        <v>210</v>
      </c>
      <c r="V1" s="184"/>
      <c r="W1" s="184"/>
    </row>
    <row r="2" spans="1:23" ht="16.5">
      <c r="A2" s="177" t="s">
        <v>136</v>
      </c>
      <c r="B2" s="177"/>
      <c r="C2" s="177"/>
      <c r="D2" s="178"/>
      <c r="E2" s="179"/>
      <c r="F2" s="178"/>
      <c r="G2" s="179"/>
      <c r="H2" s="178"/>
      <c r="I2" s="178"/>
      <c r="J2" s="178"/>
      <c r="K2" s="178"/>
      <c r="L2" s="178"/>
      <c r="M2" s="179"/>
      <c r="N2" s="178"/>
      <c r="O2" s="179"/>
      <c r="P2" s="178"/>
      <c r="Q2" s="178"/>
      <c r="R2" s="178"/>
      <c r="S2" s="178"/>
      <c r="T2" s="184"/>
      <c r="U2" s="313" t="s">
        <v>211</v>
      </c>
      <c r="V2" s="184"/>
      <c r="W2" s="184"/>
    </row>
    <row r="3" spans="1:23" ht="16.5">
      <c r="A3" s="177" t="s">
        <v>205</v>
      </c>
      <c r="B3" s="177"/>
      <c r="C3" s="177"/>
      <c r="D3" s="178"/>
      <c r="E3" s="179"/>
      <c r="F3" s="178"/>
      <c r="G3" s="179"/>
      <c r="H3" s="178"/>
      <c r="I3" s="178"/>
      <c r="J3" s="178"/>
      <c r="K3" s="178"/>
      <c r="L3" s="178"/>
      <c r="M3" s="179"/>
      <c r="N3" s="178"/>
      <c r="O3" s="179"/>
      <c r="P3" s="178"/>
      <c r="Q3" s="178"/>
      <c r="R3" s="178"/>
      <c r="S3" s="178"/>
      <c r="T3" s="184"/>
      <c r="U3" s="313" t="s">
        <v>386</v>
      </c>
      <c r="V3" s="184"/>
      <c r="W3" s="184"/>
    </row>
    <row r="4" spans="1:23" ht="16.5">
      <c r="A4" s="177" t="s">
        <v>172</v>
      </c>
      <c r="B4" s="177"/>
      <c r="C4" s="177"/>
      <c r="D4" s="178"/>
      <c r="E4" s="179"/>
      <c r="F4" s="178"/>
      <c r="G4" s="179"/>
      <c r="H4" s="178"/>
      <c r="I4" s="178"/>
      <c r="J4" s="178"/>
      <c r="K4" s="178"/>
      <c r="L4" s="178"/>
      <c r="M4" s="179"/>
      <c r="N4" s="178"/>
      <c r="O4" s="179"/>
      <c r="P4" s="178"/>
      <c r="Q4" s="178"/>
      <c r="R4" s="178"/>
      <c r="S4" s="178"/>
      <c r="T4" s="184"/>
      <c r="U4" s="314">
        <v>40696</v>
      </c>
      <c r="V4" s="184"/>
      <c r="W4" s="184"/>
    </row>
    <row r="5" spans="1:23" ht="15">
      <c r="A5" s="187"/>
      <c r="B5" s="187"/>
      <c r="C5" s="187"/>
      <c r="D5" s="178"/>
      <c r="E5" s="179"/>
      <c r="F5" s="178"/>
      <c r="G5" s="179"/>
      <c r="H5" s="178"/>
      <c r="I5" s="184"/>
      <c r="J5" s="178"/>
      <c r="K5" s="184"/>
      <c r="L5" s="178"/>
      <c r="M5" s="179"/>
      <c r="N5" s="178"/>
      <c r="O5" s="179"/>
      <c r="P5" s="178"/>
      <c r="Q5" s="184"/>
      <c r="R5" s="178"/>
      <c r="S5" s="184"/>
      <c r="T5" s="184"/>
      <c r="U5" s="184"/>
      <c r="V5" s="184"/>
      <c r="W5" s="184"/>
    </row>
    <row r="6" spans="1:23" ht="17.25">
      <c r="A6" s="188"/>
      <c r="B6" s="181"/>
      <c r="C6" s="182"/>
      <c r="D6" s="182"/>
      <c r="E6" s="191"/>
      <c r="F6" s="190"/>
      <c r="G6" s="191"/>
      <c r="H6" s="190"/>
      <c r="I6" s="190"/>
      <c r="J6" s="190"/>
      <c r="K6" s="190"/>
      <c r="L6" s="182"/>
      <c r="M6" s="191"/>
      <c r="N6" s="190"/>
      <c r="O6" s="191"/>
      <c r="P6" s="190"/>
      <c r="Q6" s="190"/>
      <c r="R6" s="190"/>
      <c r="S6" s="190"/>
      <c r="T6" s="184"/>
      <c r="U6" s="184"/>
      <c r="V6" s="184"/>
      <c r="W6" s="184"/>
    </row>
    <row r="7" spans="1:23" ht="15">
      <c r="A7" s="194"/>
      <c r="B7" s="194"/>
      <c r="C7" s="194"/>
      <c r="D7" s="184"/>
      <c r="E7" s="252"/>
      <c r="F7" s="181"/>
      <c r="G7" s="252"/>
      <c r="H7" s="182"/>
      <c r="I7" s="405"/>
      <c r="J7" s="405"/>
      <c r="K7" s="405"/>
      <c r="L7" s="182"/>
      <c r="M7" s="252"/>
      <c r="N7" s="181"/>
      <c r="O7" s="252"/>
      <c r="P7" s="182"/>
      <c r="Q7" s="405"/>
      <c r="R7" s="405"/>
      <c r="S7" s="405"/>
      <c r="T7" s="184"/>
      <c r="U7" s="184"/>
      <c r="V7" s="184"/>
      <c r="W7" s="184"/>
    </row>
    <row r="8" spans="1:23" ht="15">
      <c r="A8" s="194"/>
      <c r="B8" s="194"/>
      <c r="C8" s="194"/>
      <c r="D8" s="184"/>
      <c r="E8" s="197" t="s">
        <v>141</v>
      </c>
      <c r="F8" s="206"/>
      <c r="G8" s="199"/>
      <c r="H8" s="198"/>
      <c r="I8" s="207"/>
      <c r="J8" s="198"/>
      <c r="K8" s="198"/>
      <c r="L8" s="184"/>
      <c r="M8" s="197" t="s">
        <v>142</v>
      </c>
      <c r="N8" s="206"/>
      <c r="O8" s="199"/>
      <c r="P8" s="198"/>
      <c r="Q8" s="207"/>
      <c r="R8" s="198"/>
      <c r="S8" s="198"/>
      <c r="T8" s="184"/>
      <c r="U8" s="184"/>
      <c r="V8" s="184"/>
      <c r="W8" s="184"/>
    </row>
    <row r="9" spans="1:23" ht="16.5">
      <c r="A9" s="278" t="s">
        <v>174</v>
      </c>
      <c r="B9" s="194"/>
      <c r="C9" s="194"/>
      <c r="D9" s="184"/>
      <c r="E9" s="199" t="s">
        <v>175</v>
      </c>
      <c r="F9" s="198"/>
      <c r="G9" s="199"/>
      <c r="H9" s="184"/>
      <c r="I9" s="199" t="s">
        <v>145</v>
      </c>
      <c r="J9" s="198"/>
      <c r="K9" s="199"/>
      <c r="L9" s="184"/>
      <c r="M9" s="199" t="s">
        <v>175</v>
      </c>
      <c r="N9" s="198"/>
      <c r="O9" s="199"/>
      <c r="P9" s="184"/>
      <c r="Q9" s="199" t="s">
        <v>145</v>
      </c>
      <c r="R9" s="198"/>
      <c r="S9" s="199"/>
      <c r="T9" s="184"/>
      <c r="U9" s="184"/>
      <c r="V9" s="184"/>
      <c r="W9" s="184"/>
    </row>
    <row r="10" spans="1:23" ht="15">
      <c r="A10" s="280" t="s">
        <v>176</v>
      </c>
      <c r="B10" s="281"/>
      <c r="C10" s="282" t="s">
        <v>143</v>
      </c>
      <c r="D10" s="184"/>
      <c r="E10" s="203" t="s">
        <v>144</v>
      </c>
      <c r="F10" s="184"/>
      <c r="G10" s="283" t="s">
        <v>8</v>
      </c>
      <c r="H10" s="184"/>
      <c r="I10" s="211" t="s">
        <v>166</v>
      </c>
      <c r="J10" s="184"/>
      <c r="K10" s="280" t="s">
        <v>167</v>
      </c>
      <c r="L10" s="184"/>
      <c r="M10" s="203" t="s">
        <v>144</v>
      </c>
      <c r="N10" s="184"/>
      <c r="O10" s="283" t="s">
        <v>8</v>
      </c>
      <c r="P10" s="184"/>
      <c r="Q10" s="211" t="s">
        <v>166</v>
      </c>
      <c r="R10" s="184"/>
      <c r="S10" s="280" t="s">
        <v>167</v>
      </c>
      <c r="T10" s="184"/>
      <c r="U10" s="184"/>
      <c r="V10" s="184"/>
      <c r="W10" s="184"/>
    </row>
    <row r="11" spans="1:23" ht="15">
      <c r="A11" s="307" t="s">
        <v>206</v>
      </c>
      <c r="B11" s="194"/>
      <c r="C11" s="194">
        <v>200</v>
      </c>
      <c r="D11" s="184"/>
      <c r="E11" s="195">
        <f>ROUND($V$13+(MIN(1500,$C11)*$V$16/100+MAX(0,$C11-1500)*$V$17/100)*(1+$V$33)*(1+$V$19)+$V$18,2)</f>
        <v>29.58</v>
      </c>
      <c r="F11" s="184"/>
      <c r="G11" s="195">
        <f>ROUND($W$13+(MIN(1500,$C11)*$W$16/100+MAX(0,$C11-1500)*$W$17/100)*(1+$W$33)*(1+$W$19)+$W$18,2)</f>
        <v>31.32</v>
      </c>
      <c r="H11" s="184"/>
      <c r="I11" s="196">
        <f>IF(G11="","",G11-E11)</f>
        <v>1.740000000000002</v>
      </c>
      <c r="J11" s="184"/>
      <c r="K11" s="214">
        <f>IF(E11="","",G11/E11-1)</f>
        <v>0.05882352941176472</v>
      </c>
      <c r="L11" s="184"/>
      <c r="M11" s="195">
        <f>ROUND($V$21+(MIN(1500,$C11)*$V$24/100+MAX(0,$C11-1500)*$V$25/100)*(1+$V$33)*(1+$V$27)+$V$26,2)</f>
        <v>27.89</v>
      </c>
      <c r="N11" s="184"/>
      <c r="O11" s="195">
        <f>ROUND($W$21+(MIN(1500,$C11)*$W$24/100+MAX(0,$C11-1500)*$W$25/100)*(1+$W$33)*(1+$W$27)+$W$26,2)</f>
        <v>29.58</v>
      </c>
      <c r="P11" s="184"/>
      <c r="Q11" s="196">
        <f aca="true" t="shared" si="0" ref="Q11:Q18">IF(O11="","",O11-M11)</f>
        <v>1.6899999999999977</v>
      </c>
      <c r="R11" s="184"/>
      <c r="S11" s="214">
        <f>IF(M11="","",O11/M11-1)</f>
        <v>0.06059519541054126</v>
      </c>
      <c r="T11" s="184"/>
      <c r="U11" s="275" t="s">
        <v>207</v>
      </c>
      <c r="V11" s="276" t="s">
        <v>144</v>
      </c>
      <c r="W11" s="277" t="s">
        <v>8</v>
      </c>
    </row>
    <row r="12" spans="1:23" ht="15">
      <c r="A12" s="194"/>
      <c r="B12" s="194"/>
      <c r="C12" s="194">
        <v>500</v>
      </c>
      <c r="D12" s="184"/>
      <c r="E12" s="195">
        <f>ROUND($V$13+(MIN(1500,$C12)*$V$16/100+MAX(0,$C12-1500)*$V$17/100)*(1+$V$33)*(1+$V$19)+$V$18,2)</f>
        <v>61.31</v>
      </c>
      <c r="F12" s="184"/>
      <c r="G12" s="195">
        <f>ROUND($W$13+(MIN(1500,$C12)*$W$16/100+MAX(0,$C12-1500)*$W$17/100)*(1+$W$33)*(1+$W$19)+$W$18,2)</f>
        <v>64.18</v>
      </c>
      <c r="H12" s="184"/>
      <c r="I12" s="196">
        <f>IF(G12="","",G12-E12)</f>
        <v>2.8700000000000045</v>
      </c>
      <c r="J12" s="184"/>
      <c r="K12" s="214">
        <f>IF(E12="","",G12/E12-1)</f>
        <v>0.04681128690262604</v>
      </c>
      <c r="L12" s="184"/>
      <c r="M12" s="195">
        <f>ROUND($V$21+(MIN(1500,$C12)*$V$24/100+MAX(0,$C12-1500)*$V$25/100)*(1+$V$33)*(1+$V$27)+$V$26,2)</f>
        <v>57.1</v>
      </c>
      <c r="N12" s="184"/>
      <c r="O12" s="195">
        <f>ROUND($W$21+(MIN(1500,$C12)*$W$24/100+MAX(0,$C12-1500)*$W$25/100)*(1+$W$33)*(1+$W$27)+$W$26,2)</f>
        <v>59.82</v>
      </c>
      <c r="P12" s="184"/>
      <c r="Q12" s="196">
        <f t="shared" si="0"/>
        <v>2.719999999999999</v>
      </c>
      <c r="R12" s="184"/>
      <c r="S12" s="214">
        <f>IF(M12="","",O12/M12-1)</f>
        <v>0.0476357267950962</v>
      </c>
      <c r="T12" s="184"/>
      <c r="U12" s="279" t="s">
        <v>141</v>
      </c>
      <c r="V12" s="182"/>
      <c r="W12" s="220"/>
    </row>
    <row r="13" spans="1:23" ht="15">
      <c r="A13" s="194"/>
      <c r="B13" s="194"/>
      <c r="C13" s="194">
        <v>1000</v>
      </c>
      <c r="D13" s="184"/>
      <c r="E13" s="195">
        <f>ROUND($V$13+(MIN(1500,$C13)*$V$16/100+MAX(0,$C13-1500)*$V$17/100)*(1+$V$33)*(1+$V$19)+$V$18,2)</f>
        <v>114.2</v>
      </c>
      <c r="F13" s="184"/>
      <c r="G13" s="195">
        <f>ROUND($W$13+(MIN(1500,$C13)*$W$16/100+MAX(0,$C13-1500)*$W$17/100)*(1+$W$33)*(1+$W$19)+$W$18,2)</f>
        <v>118.94</v>
      </c>
      <c r="H13" s="184"/>
      <c r="I13" s="196">
        <f>IF(G13="","",G13-E13)</f>
        <v>4.739999999999995</v>
      </c>
      <c r="J13" s="184"/>
      <c r="K13" s="214">
        <f>IF(E13="","",G13/E13-1)</f>
        <v>0.041506129597197905</v>
      </c>
      <c r="L13" s="184"/>
      <c r="M13" s="195">
        <f>ROUND($V$21+(MIN(1500,$C13)*$V$24/100+MAX(0,$C13-1500)*$V$25/100)*(1+$V$33)*(1+$V$27)+$V$26,2)</f>
        <v>105.78</v>
      </c>
      <c r="N13" s="184"/>
      <c r="O13" s="195">
        <f>ROUND($W$21+(MIN(1500,$C13)*$W$24/100+MAX(0,$C13-1500)*$W$25/100)*(1+$W$33)*(1+$W$27)+$W$26,2)</f>
        <v>110.22</v>
      </c>
      <c r="P13" s="184"/>
      <c r="Q13" s="196">
        <f t="shared" si="0"/>
        <v>4.439999999999998</v>
      </c>
      <c r="R13" s="184"/>
      <c r="S13" s="214">
        <f>IF(M13="","",O13/M13-1)</f>
        <v>0.041973908111174074</v>
      </c>
      <c r="T13" s="184"/>
      <c r="U13" s="221" t="s">
        <v>35</v>
      </c>
      <c r="V13" s="222">
        <v>8</v>
      </c>
      <c r="W13" s="223">
        <v>9</v>
      </c>
    </row>
    <row r="14" spans="1:23" ht="15">
      <c r="A14" s="194"/>
      <c r="B14" s="194"/>
      <c r="C14" s="194">
        <v>2000</v>
      </c>
      <c r="D14" s="184"/>
      <c r="E14" s="195">
        <f>ROUND($V$13+(MIN(1500,$C14)*$V$16/100+MAX(0,$C14-1500)*$V$17/100)*(1+$V$33)*(1+$V$19)+$V$18,2)</f>
        <v>196.74</v>
      </c>
      <c r="F14" s="184"/>
      <c r="G14" s="195">
        <f>ROUND($W$13+(MIN(1500,$C14)*$W$16/100+MAX(0,$C14-1500)*$W$17/100)*(1+$W$33)*(1+$W$19)+$W$18,2)</f>
        <v>204.39</v>
      </c>
      <c r="H14" s="184"/>
      <c r="I14" s="196">
        <f>IF(G14="","",G14-E14)</f>
        <v>7.649999999999977</v>
      </c>
      <c r="J14" s="184"/>
      <c r="K14" s="214">
        <f>IF(E14="","",G14/E14-1)</f>
        <v>0.03888380603842623</v>
      </c>
      <c r="L14" s="184"/>
      <c r="M14" s="195">
        <f>ROUND($V$21+(MIN(1500,$C14)*$V$24/100+MAX(0,$C14-1500)*$V$25/100)*(1+$V$33)*(1+$V$27)+$V$26,2)</f>
        <v>181.76</v>
      </c>
      <c r="N14" s="184"/>
      <c r="O14" s="195">
        <f>ROUND($W$21+(MIN(1500,$C14)*$W$24/100+MAX(0,$C14-1500)*$W$25/100)*(1+$W$33)*(1+$W$27)+$W$26,2)</f>
        <v>188.87</v>
      </c>
      <c r="P14" s="184"/>
      <c r="Q14" s="196">
        <f t="shared" si="0"/>
        <v>7.110000000000014</v>
      </c>
      <c r="R14" s="184"/>
      <c r="S14" s="214">
        <f>IF(M14="","",O14/M14-1)</f>
        <v>0.03911751760563398</v>
      </c>
      <c r="T14" s="184"/>
      <c r="U14" s="221" t="s">
        <v>177</v>
      </c>
      <c r="V14" s="222">
        <v>7.25</v>
      </c>
      <c r="W14" s="223">
        <v>7.85</v>
      </c>
    </row>
    <row r="15" spans="1:23" ht="15">
      <c r="A15" s="194"/>
      <c r="B15" s="194"/>
      <c r="C15" s="194"/>
      <c r="D15" s="184"/>
      <c r="E15" s="195"/>
      <c r="F15" s="184"/>
      <c r="G15" s="195"/>
      <c r="H15" s="184"/>
      <c r="I15" s="196"/>
      <c r="J15" s="184"/>
      <c r="K15" s="308"/>
      <c r="L15" s="184"/>
      <c r="M15" s="195"/>
      <c r="N15" s="184"/>
      <c r="O15" s="195"/>
      <c r="P15" s="184"/>
      <c r="Q15" s="196" t="str">
        <f t="shared" si="0"/>
        <v/>
      </c>
      <c r="R15" s="184"/>
      <c r="S15" s="308"/>
      <c r="T15" s="184"/>
      <c r="U15" s="221" t="s">
        <v>178</v>
      </c>
      <c r="V15" s="222">
        <v>-0.41</v>
      </c>
      <c r="W15" s="223">
        <v>-0.44</v>
      </c>
    </row>
    <row r="16" spans="1:23" ht="15">
      <c r="A16" s="194">
        <v>20</v>
      </c>
      <c r="B16" s="194"/>
      <c r="C16" s="194">
        <v>5000</v>
      </c>
      <c r="D16" s="184"/>
      <c r="E16" s="195">
        <f>ROUND($V$13+(($A$16-15)*$V$14+MIN(1500,$C16)*$V$16/100+MAX(0,$C16-1500)*$V$17/100)*(1+$V$33)*(1+$V$19)+$V$18,2)</f>
        <v>413.7</v>
      </c>
      <c r="F16" s="184"/>
      <c r="G16" s="195">
        <f>ROUND($W$13+(($A$16-15)*$W$14+MIN(1500,$C16)*$W$16/100+MAX(0,$C16-1500)*$W$17/100)*(1+$W$33)*(1+$W$19)+$W$18,2)</f>
        <v>429.03</v>
      </c>
      <c r="H16" s="184"/>
      <c r="I16" s="196">
        <f>IF(G16="","",G16-E16)</f>
        <v>15.329999999999984</v>
      </c>
      <c r="J16" s="184"/>
      <c r="K16" s="214">
        <f>IF(E16="","",G16/E16-1)</f>
        <v>0.037055837563451766</v>
      </c>
      <c r="L16" s="184"/>
      <c r="M16" s="195">
        <f>ROUND($V$21+(($A$16-15)*$V$22+MIN(1500,$C16)*$V$24/100+MAX(0,$C16-1500)*$V$25/100)*(1+$V$33)*(1+$V$27)+$V$26,2)</f>
        <v>384.85</v>
      </c>
      <c r="N16" s="184"/>
      <c r="O16" s="195">
        <f>ROUND($W$21+(($A$16-15)*$W$22+MIN(1500,$C16)*$W$24/100+MAX(0,$C16-1500)*$W$25/100)*(1+$W$33)*(1+$W$27)+$W$26,2)</f>
        <v>399.07</v>
      </c>
      <c r="P16" s="184"/>
      <c r="Q16" s="196">
        <f t="shared" si="0"/>
        <v>14.21999999999997</v>
      </c>
      <c r="R16" s="184"/>
      <c r="S16" s="214">
        <f>IF(M16="","",O16/M16-1)</f>
        <v>0.036949460828894276</v>
      </c>
      <c r="T16" s="184"/>
      <c r="U16" s="221" t="s">
        <v>208</v>
      </c>
      <c r="V16" s="286">
        <v>9.8214</v>
      </c>
      <c r="W16" s="287">
        <v>10.629</v>
      </c>
    </row>
    <row r="17" spans="1:23" ht="15">
      <c r="A17" s="309"/>
      <c r="B17" s="306"/>
      <c r="C17" s="194">
        <v>7500</v>
      </c>
      <c r="D17" s="184"/>
      <c r="E17" s="195">
        <f>ROUND($V$13+(($A$16-15)*$V$14+MIN(1500,$C17)*$V$16/100+MAX(0,$C17-1500)*$V$17/100)*(1+$V$33)*(1+$V$19)+$V$18,2)</f>
        <v>561.96</v>
      </c>
      <c r="F17" s="184"/>
      <c r="G17" s="195">
        <f>ROUND($W$13+(($A$16-15)*$W$14+MIN(1500,$C17)*$W$16/100+MAX(0,$C17-1500)*$W$17/100)*(1+$W$33)*(1+$W$19)+$W$18,2)</f>
        <v>582.53</v>
      </c>
      <c r="H17" s="184"/>
      <c r="I17" s="196">
        <f>IF(G17="","",G17-E17)</f>
        <v>20.569999999999936</v>
      </c>
      <c r="J17" s="184"/>
      <c r="K17" s="214">
        <f>IF(E17="","",G17/E17-1)</f>
        <v>0.036604028756495044</v>
      </c>
      <c r="L17" s="184"/>
      <c r="M17" s="195">
        <f>ROUND($V$21+(($A$16-15)*$V$22+MIN(1500,$C17)*$V$24/100+MAX(0,$C17-1500)*$V$25/100)*(1+$V$33)*(1+$V$27)+$V$26,2)</f>
        <v>521.33</v>
      </c>
      <c r="N17" s="184"/>
      <c r="O17" s="195">
        <f>ROUND($W$21+(($A$16-15)*$W$22+MIN(1500,$C17)*$W$24/100+MAX(0,$C17-1500)*$W$25/100)*(1+$W$33)*(1+$W$27)+$W$26,2)</f>
        <v>540.32</v>
      </c>
      <c r="P17" s="184"/>
      <c r="Q17" s="196">
        <f t="shared" si="0"/>
        <v>18.99000000000001</v>
      </c>
      <c r="R17" s="184"/>
      <c r="S17" s="214">
        <f>IF(M17="","",O17/M17-1)</f>
        <v>0.03642606410526916</v>
      </c>
      <c r="T17" s="184"/>
      <c r="U17" s="221" t="s">
        <v>209</v>
      </c>
      <c r="V17" s="286">
        <v>5.5063</v>
      </c>
      <c r="W17" s="287">
        <v>5.9591</v>
      </c>
    </row>
    <row r="18" spans="1:23" ht="15">
      <c r="A18" s="309"/>
      <c r="B18" s="306"/>
      <c r="C18" s="194">
        <v>10000</v>
      </c>
      <c r="D18" s="184"/>
      <c r="E18" s="195">
        <f>ROUND($V$13+(($A$16-15)*$V$14+MIN(1500,$C18)*$V$16/100+MAX(0,$C18-1500)*$V$17/100)*(1+$V$33)*(1+$V$19)+$V$18,2)</f>
        <v>710.22</v>
      </c>
      <c r="F18" s="184"/>
      <c r="G18" s="195">
        <f>ROUND($W$13+(($A$16-15)*$W$14+MIN(1500,$C18)*$W$16/100+MAX(0,$C18-1500)*$W$17/100)*(1+$W$33)*(1+$W$19)+$W$18,2)</f>
        <v>736.03</v>
      </c>
      <c r="H18" s="184"/>
      <c r="I18" s="196">
        <f>IF(G18="","",G18-E18)</f>
        <v>25.809999999999945</v>
      </c>
      <c r="J18" s="184"/>
      <c r="K18" s="214">
        <f>IF(E18="","",G18/E18-1)</f>
        <v>0.036340852130325674</v>
      </c>
      <c r="L18" s="184"/>
      <c r="M18" s="195">
        <f>ROUND($V$21+(($A$16-15)*$V$22+MIN(1500,$C18)*$V$24/100+MAX(0,$C18-1500)*$V$25/100)*(1+$V$33)*(1+$V$27)+$V$26,2)</f>
        <v>657.81</v>
      </c>
      <c r="N18" s="184"/>
      <c r="O18" s="195">
        <f>ROUND($W$21+(($A$16-15)*$W$22+MIN(1500,$C18)*$W$24/100+MAX(0,$C18-1500)*$W$25/100)*(1+$W$33)*(1+$W$27)+$W$26,2)</f>
        <v>681.57</v>
      </c>
      <c r="P18" s="184"/>
      <c r="Q18" s="196">
        <f t="shared" si="0"/>
        <v>23.760000000000105</v>
      </c>
      <c r="R18" s="184"/>
      <c r="S18" s="214">
        <f>IF(M18="","",O18/M18-1)</f>
        <v>0.03611985223696834</v>
      </c>
      <c r="T18" s="184"/>
      <c r="U18" s="221" t="s">
        <v>193</v>
      </c>
      <c r="V18" s="222">
        <v>0.42</v>
      </c>
      <c r="W18" s="288">
        <f>V18</f>
        <v>0.42</v>
      </c>
    </row>
    <row r="19" spans="1:23" ht="15">
      <c r="A19" s="306"/>
      <c r="B19" s="306"/>
      <c r="C19" s="306"/>
      <c r="D19" s="184"/>
      <c r="E19" s="195"/>
      <c r="F19" s="184"/>
      <c r="G19" s="195"/>
      <c r="H19" s="184"/>
      <c r="I19" s="196"/>
      <c r="J19" s="184"/>
      <c r="K19" s="214"/>
      <c r="L19" s="184"/>
      <c r="M19" s="195"/>
      <c r="N19" s="184"/>
      <c r="O19" s="195"/>
      <c r="P19" s="184"/>
      <c r="Q19" s="196"/>
      <c r="R19" s="184"/>
      <c r="S19" s="218"/>
      <c r="T19" s="184"/>
      <c r="U19" s="221" t="s">
        <v>194</v>
      </c>
      <c r="V19" s="289">
        <v>0.0395</v>
      </c>
      <c r="W19" s="310">
        <v>0.0395</v>
      </c>
    </row>
    <row r="20" spans="1:23" ht="15">
      <c r="A20" s="194">
        <v>25</v>
      </c>
      <c r="B20" s="194"/>
      <c r="C20" s="194">
        <v>7500</v>
      </c>
      <c r="D20" s="311"/>
      <c r="E20" s="195">
        <f>ROUND($V$13+(($A$20-15)*$V$14+MIN(1500,$C20)*$V$16/100+MAX(0,$C20-1500)*$V$17/100)*(1+$V$33)*(1+$V$19)+$V$18,2)</f>
        <v>601</v>
      </c>
      <c r="F20" s="184"/>
      <c r="G20" s="195">
        <f>ROUND($W$13+(($A$20-15)*$W$14+MIN(1500,$C20)*$W$16/100+MAX(0,$C20-1500)*$W$17/100)*(1+$W$33)*(1+$W$19)+$W$18,2)</f>
        <v>622.98</v>
      </c>
      <c r="H20" s="184"/>
      <c r="I20" s="196">
        <f>IF(G20="","",G20-E20)</f>
        <v>21.980000000000018</v>
      </c>
      <c r="J20" s="184"/>
      <c r="K20" s="214">
        <f>IF(E20="","",G20/E20-1)</f>
        <v>0.0365723793677204</v>
      </c>
      <c r="L20" s="311">
        <f>C20/A20/730</f>
        <v>0.410958904109589</v>
      </c>
      <c r="M20" s="195">
        <f>ROUND($V$21+(($A$20-15)*$V$22+MIN(1500,$C20)*$V$24/100+MAX(0,$C20-1500)*$V$25/100)*(1+$V$33)*(1+$V$27)+$V$26,2)</f>
        <v>560.64</v>
      </c>
      <c r="N20" s="184"/>
      <c r="O20" s="195">
        <f>ROUND($W$21+(($A$20-15)*$W$22+MIN(1500,$C20)*$W$24/100+MAX(0,$C20-1500)*$W$25/100)*(1+$W$33)*(1+$W$27)+$W$26,2)</f>
        <v>581.02</v>
      </c>
      <c r="P20" s="184"/>
      <c r="Q20" s="196">
        <f>IF(O20="","",O20-M20)</f>
        <v>20.379999999999995</v>
      </c>
      <c r="R20" s="184"/>
      <c r="S20" s="214">
        <f>IF(M20="","",O20/M20-1)</f>
        <v>0.03635131278538806</v>
      </c>
      <c r="T20" s="184"/>
      <c r="U20" s="279" t="s">
        <v>142</v>
      </c>
      <c r="V20" s="182"/>
      <c r="W20" s="220"/>
    </row>
    <row r="21" spans="1:23" ht="15">
      <c r="A21" s="309"/>
      <c r="B21" s="194"/>
      <c r="C21" s="194">
        <v>10000</v>
      </c>
      <c r="D21" s="311"/>
      <c r="E21" s="195">
        <f>ROUND($V$13+(($A$20-15)*$V$14+MIN(1500,$C21)*$V$16/100+MAX(0,$C21-1500)*$V$17/100)*(1+$V$33)*(1+$V$19)+$V$18,2)</f>
        <v>749.26</v>
      </c>
      <c r="F21" s="184"/>
      <c r="G21" s="195">
        <f>ROUND($W$13+(($A$20-15)*$W$14+MIN(1500,$C21)*$W$16/100+MAX(0,$C21-1500)*$W$17/100)*(1+$W$33)*(1+$W$19)+$W$18,2)</f>
        <v>776.47</v>
      </c>
      <c r="H21" s="184"/>
      <c r="I21" s="196">
        <f>IF(G21="","",G21-E21)</f>
        <v>27.210000000000036</v>
      </c>
      <c r="J21" s="184"/>
      <c r="K21" s="214">
        <f>IF(E21="","",G21/E21-1)</f>
        <v>0.03631583162053231</v>
      </c>
      <c r="L21" s="311">
        <f>C21/A20/730</f>
        <v>0.547945205479452</v>
      </c>
      <c r="M21" s="195">
        <f>ROUND($V$21+(($A$20-15)*$V$22+MIN(1500,$C21)*$V$24/100+MAX(0,$C21-1500)*$V$25/100)*(1+$V$33)*(1+$V$27)+$V$26,2)</f>
        <v>697.12</v>
      </c>
      <c r="N21" s="184"/>
      <c r="O21" s="195">
        <f>ROUND($W$21+(($A$20-15)*$W$22+MIN(1500,$C21)*$W$24/100+MAX(0,$C21-1500)*$W$25/100)*(1+$W$33)*(1+$W$27)+$W$26,2)</f>
        <v>722.27</v>
      </c>
      <c r="P21" s="184"/>
      <c r="Q21" s="196">
        <f>IF(O21="","",O21-M21)</f>
        <v>25.149999999999977</v>
      </c>
      <c r="R21" s="184"/>
      <c r="S21" s="214">
        <f>IF(M21="","",O21/M21-1)</f>
        <v>0.03607700252467283</v>
      </c>
      <c r="T21" s="184"/>
      <c r="U21" s="221" t="s">
        <v>35</v>
      </c>
      <c r="V21" s="228">
        <f>V13</f>
        <v>8</v>
      </c>
      <c r="W21" s="229">
        <f>W13</f>
        <v>9</v>
      </c>
    </row>
    <row r="22" spans="1:23" ht="15">
      <c r="A22" s="309"/>
      <c r="B22" s="194"/>
      <c r="C22" s="194">
        <v>12500</v>
      </c>
      <c r="D22" s="311"/>
      <c r="E22" s="195">
        <f>ROUND($V$13+(($A$20-15)*$V$14+MIN(1500,$C22)*$V$16/100+MAX(0,$C22-1500)*$V$17/100)*(1+$V$33)*(1+$V$19)+$V$18,2)</f>
        <v>897.52</v>
      </c>
      <c r="F22" s="184"/>
      <c r="G22" s="195">
        <f>ROUND($W$13+(($A$20-15)*$W$14+MIN(1500,$C22)*$W$16/100+MAX(0,$C22-1500)*$W$17/100)*(1+$W$33)*(1+$W$19)+$W$18,2)</f>
        <v>929.97</v>
      </c>
      <c r="H22" s="184"/>
      <c r="I22" s="196">
        <f>IF(G22="","",G22-E22)</f>
        <v>32.450000000000045</v>
      </c>
      <c r="J22" s="184"/>
      <c r="K22" s="214">
        <f>IF(E22="","",G22/E22-1)</f>
        <v>0.03615518317140576</v>
      </c>
      <c r="L22" s="311">
        <f>C22/A20/730</f>
        <v>0.684931506849315</v>
      </c>
      <c r="M22" s="195">
        <f>ROUND($V$21+(($A$20-15)*$V$22+MIN(1500,$C22)*$V$24/100+MAX(0,$C22-1500)*$V$25/100)*(1+$V$33)*(1+$V$27)+$V$26,2)</f>
        <v>833.6</v>
      </c>
      <c r="N22" s="184"/>
      <c r="O22" s="195">
        <f>ROUND($W$21+(($A$20-15)*$W$22+MIN(1500,$C22)*$W$24/100+MAX(0,$C22-1500)*$W$25/100)*(1+$W$33)*(1+$W$27)+$W$26,2)</f>
        <v>863.51</v>
      </c>
      <c r="P22" s="184"/>
      <c r="Q22" s="196">
        <f>IF(O22="","",O22-M22)</f>
        <v>29.909999999999968</v>
      </c>
      <c r="R22" s="184"/>
      <c r="S22" s="214">
        <f>IF(M22="","",O22/M22-1)</f>
        <v>0.03588051823416505</v>
      </c>
      <c r="T22" s="184"/>
      <c r="U22" s="221" t="s">
        <v>177</v>
      </c>
      <c r="V22" s="222">
        <v>7.3</v>
      </c>
      <c r="W22" s="223">
        <v>7.9</v>
      </c>
    </row>
    <row r="23" spans="1:23" ht="15">
      <c r="A23" s="194"/>
      <c r="B23" s="194"/>
      <c r="C23" s="194"/>
      <c r="D23" s="311"/>
      <c r="E23" s="195"/>
      <c r="F23" s="184"/>
      <c r="G23" s="195"/>
      <c r="H23" s="184"/>
      <c r="I23" s="196"/>
      <c r="J23" s="184"/>
      <c r="K23" s="214"/>
      <c r="L23" s="311"/>
      <c r="M23" s="195"/>
      <c r="N23" s="184"/>
      <c r="O23" s="195"/>
      <c r="P23" s="184"/>
      <c r="Q23" s="196"/>
      <c r="R23" s="184"/>
      <c r="S23" s="214"/>
      <c r="T23" s="184"/>
      <c r="U23" s="221" t="s">
        <v>178</v>
      </c>
      <c r="V23" s="228">
        <f>V15</f>
        <v>-0.41</v>
      </c>
      <c r="W23" s="229">
        <f>W15</f>
        <v>-0.44</v>
      </c>
    </row>
    <row r="24" spans="1:23" ht="15">
      <c r="A24" s="194">
        <v>30</v>
      </c>
      <c r="B24" s="194"/>
      <c r="C24" s="194">
        <v>10000</v>
      </c>
      <c r="D24" s="311"/>
      <c r="E24" s="195">
        <f>ROUND($V$13+(($A$24-15)*$V$14+MIN(1500,$C24)*$V$16/100+MAX(0,$C24-1500)*$V$17/100)*(1+$V$33)*(1+$V$19)+$V$18,2)</f>
        <v>788.3</v>
      </c>
      <c r="F24" s="184"/>
      <c r="G24" s="195">
        <f>ROUND($W$13+(($A$24-15)*$W$14+MIN(1500,$C24)*$W$16/100+MAX(0,$C24-1500)*$W$17/100)*(1+$W$33)*(1+$W$19)+$W$18,2)</f>
        <v>816.92</v>
      </c>
      <c r="H24" s="184"/>
      <c r="I24" s="196">
        <f>IF(G24="","",G24-E24)</f>
        <v>28.620000000000005</v>
      </c>
      <c r="J24" s="184"/>
      <c r="K24" s="214">
        <f>IF(E24="","",G24/E24-1)</f>
        <v>0.036305974882658854</v>
      </c>
      <c r="L24" s="311">
        <f>C24/A24/730</f>
        <v>0.45662100456621</v>
      </c>
      <c r="M24" s="195">
        <f>ROUND($V$21+(($A$24-15)*$V$22+MIN(1500,$C24)*$V$24/100+MAX(0,$C24-1500)*$V$25/100)*(1+$V$33)*(1+$V$27)+$V$26,2)</f>
        <v>736.43</v>
      </c>
      <c r="N24" s="184"/>
      <c r="O24" s="195">
        <f>ROUND($W$21+(($A$24-15)*$W$22+MIN(1500,$C24)*$W$24/100+MAX(0,$C24-1500)*$W$25/100)*(1+$W$33)*(1+$W$27)+$W$26,2)</f>
        <v>762.97</v>
      </c>
      <c r="P24" s="184"/>
      <c r="Q24" s="196">
        <f>IF(O24="","",O24-M24)</f>
        <v>26.540000000000077</v>
      </c>
      <c r="R24" s="184"/>
      <c r="S24" s="214">
        <f>IF(M24="","",O24/M24-1)</f>
        <v>0.03603872737395286</v>
      </c>
      <c r="T24" s="184"/>
      <c r="U24" s="221" t="s">
        <v>208</v>
      </c>
      <c r="V24" s="286">
        <v>9.04</v>
      </c>
      <c r="W24" s="287">
        <v>9.7833</v>
      </c>
    </row>
    <row r="25" spans="1:23" ht="15">
      <c r="A25" s="309"/>
      <c r="B25" s="306"/>
      <c r="C25" s="194">
        <v>12500</v>
      </c>
      <c r="D25" s="311"/>
      <c r="E25" s="195">
        <f>ROUND($V$13+(($A$24-15)*$V$14+MIN(1500,$C25)*$V$16/100+MAX(0,$C25-1500)*$V$17/100)*(1+$V$33)*(1+$V$19)+$V$18,2)</f>
        <v>936.56</v>
      </c>
      <c r="F25" s="184"/>
      <c r="G25" s="195">
        <f>ROUND($W$13+(($A$24-15)*$W$14+MIN(1500,$C25)*$W$16/100+MAX(0,$C25-1500)*$W$17/100)*(1+$W$33)*(1+$W$19)+$W$18,2)</f>
        <v>970.42</v>
      </c>
      <c r="H25" s="184"/>
      <c r="I25" s="196">
        <f>IF(G25="","",G25-E25)</f>
        <v>33.860000000000014</v>
      </c>
      <c r="J25" s="184"/>
      <c r="K25" s="214">
        <f>IF(E25="","",G25/E25-1)</f>
        <v>0.03615358332621521</v>
      </c>
      <c r="L25" s="311">
        <f>C25/A24/730</f>
        <v>0.5707762557077626</v>
      </c>
      <c r="M25" s="195">
        <f>ROUND($V$21+(($A$24-15)*$V$22+MIN(1500,$C25)*$V$24/100+MAX(0,$C25-1500)*$V$25/100)*(1+$V$33)*(1+$V$27)+$V$26,2)</f>
        <v>872.91</v>
      </c>
      <c r="N25" s="184"/>
      <c r="O25" s="195">
        <f>ROUND($W$21+(($A$24-15)*$W$22+MIN(1500,$C25)*$W$24/100+MAX(0,$C25-1500)*$W$25/100)*(1+$W$33)*(1+$W$27)+$W$26,2)</f>
        <v>904.21</v>
      </c>
      <c r="P25" s="184"/>
      <c r="Q25" s="196">
        <f>IF(O25="","",O25-M25)</f>
        <v>31.300000000000068</v>
      </c>
      <c r="R25" s="184"/>
      <c r="S25" s="214">
        <f>IF(M25="","",O25/M25-1)</f>
        <v>0.03585707575809649</v>
      </c>
      <c r="T25" s="184"/>
      <c r="U25" s="221" t="s">
        <v>209</v>
      </c>
      <c r="V25" s="286">
        <v>5.0688</v>
      </c>
      <c r="W25" s="287">
        <v>5.4835</v>
      </c>
    </row>
    <row r="26" spans="1:23" ht="15">
      <c r="A26" s="309"/>
      <c r="B26" s="306"/>
      <c r="C26" s="194">
        <v>15000</v>
      </c>
      <c r="D26" s="311"/>
      <c r="E26" s="195">
        <f>ROUND($V$13+(($A$24-15)*$V$14+MIN(1500,$C26)*$V$16/100+MAX(0,$C26-1500)*$V$17/100)*(1+$V$33)*(1+$V$19)+$V$18,2)</f>
        <v>1084.82</v>
      </c>
      <c r="F26" s="184"/>
      <c r="G26" s="195">
        <f>ROUND($W$13+(($A$24-15)*$W$14+MIN(1500,$C26)*$W$16/100+MAX(0,$C26-1500)*$W$17/100)*(1+$W$33)*(1+$W$19)+$W$18,2)</f>
        <v>1123.91</v>
      </c>
      <c r="H26" s="184"/>
      <c r="I26" s="196">
        <f>IF(G26="","",G26-E26)</f>
        <v>39.090000000000146</v>
      </c>
      <c r="J26" s="184"/>
      <c r="K26" s="214">
        <f>IF(E26="","",G26/E26-1)</f>
        <v>0.03603362769860441</v>
      </c>
      <c r="L26" s="311">
        <f>C26/A24/730</f>
        <v>0.684931506849315</v>
      </c>
      <c r="M26" s="195">
        <f>ROUND($V$21+(($A$24-15)*$V$22+MIN(1500,$C26)*$V$24/100+MAX(0,$C26-1500)*$V$25/100)*(1+$V$33)*(1+$V$27)+$V$26,2)</f>
        <v>1009.39</v>
      </c>
      <c r="N26" s="184"/>
      <c r="O26" s="195">
        <f>ROUND($W$21+(($A$24-15)*$W$22+MIN(1500,$C26)*$W$24/100+MAX(0,$C26-1500)*$W$25/100)*(1+$W$33)*(1+$W$27)+$W$26,2)</f>
        <v>1045.46</v>
      </c>
      <c r="P26" s="184"/>
      <c r="Q26" s="196">
        <f>IF(O26="","",O26-M26)</f>
        <v>36.07000000000005</v>
      </c>
      <c r="R26" s="184"/>
      <c r="S26" s="214">
        <f>IF(M26="","",O26/M26-1)</f>
        <v>0.03573445348180582</v>
      </c>
      <c r="T26" s="184"/>
      <c r="U26" s="221" t="s">
        <v>193</v>
      </c>
      <c r="V26" s="228">
        <f>V18</f>
        <v>0.42</v>
      </c>
      <c r="W26" s="229">
        <f>W18</f>
        <v>0.42</v>
      </c>
    </row>
    <row r="27" spans="1:23" ht="15">
      <c r="A27" s="306"/>
      <c r="B27" s="306"/>
      <c r="C27" s="306"/>
      <c r="D27" s="311"/>
      <c r="E27" s="195"/>
      <c r="F27" s="184"/>
      <c r="G27" s="195"/>
      <c r="H27" s="184"/>
      <c r="I27" s="196"/>
      <c r="J27" s="184"/>
      <c r="K27" s="308"/>
      <c r="L27" s="311"/>
      <c r="M27" s="195"/>
      <c r="N27" s="184"/>
      <c r="O27" s="195"/>
      <c r="P27" s="184"/>
      <c r="Q27" s="196"/>
      <c r="R27" s="184"/>
      <c r="S27" s="308"/>
      <c r="T27" s="184"/>
      <c r="U27" s="232" t="s">
        <v>194</v>
      </c>
      <c r="V27" s="291">
        <f>V19</f>
        <v>0.0395</v>
      </c>
      <c r="W27" s="292">
        <f>W19</f>
        <v>0.0395</v>
      </c>
    </row>
    <row r="28" spans="1:23" ht="16.5">
      <c r="A28" s="239" t="s">
        <v>162</v>
      </c>
      <c r="B28" s="194"/>
      <c r="C28" s="194"/>
      <c r="D28" s="311"/>
      <c r="E28" s="195"/>
      <c r="F28" s="184"/>
      <c r="G28" s="195"/>
      <c r="H28" s="184"/>
      <c r="I28" s="196"/>
      <c r="J28" s="184"/>
      <c r="K28" s="308"/>
      <c r="L28" s="311"/>
      <c r="M28" s="195"/>
      <c r="N28" s="184"/>
      <c r="O28" s="195"/>
      <c r="P28" s="184"/>
      <c r="Q28" s="196"/>
      <c r="R28" s="184"/>
      <c r="S28" s="308"/>
      <c r="T28" s="184"/>
      <c r="U28" s="184"/>
      <c r="V28" s="184"/>
      <c r="W28" s="184"/>
    </row>
    <row r="29" spans="1:23" ht="16.5">
      <c r="A29" s="239"/>
      <c r="B29" s="194"/>
      <c r="C29" s="194"/>
      <c r="D29" s="184"/>
      <c r="E29" s="195"/>
      <c r="F29" s="184"/>
      <c r="G29" s="195"/>
      <c r="H29" s="184"/>
      <c r="I29" s="196"/>
      <c r="J29" s="184"/>
      <c r="K29" s="308"/>
      <c r="L29" s="184"/>
      <c r="M29" s="195"/>
      <c r="N29" s="184"/>
      <c r="O29" s="195"/>
      <c r="P29" s="184"/>
      <c r="Q29" s="196"/>
      <c r="R29" s="184"/>
      <c r="S29" s="308"/>
      <c r="T29" s="184"/>
      <c r="U29" s="184" t="s">
        <v>158</v>
      </c>
      <c r="V29" s="184"/>
      <c r="W29" s="236">
        <f>'[1]Exhibit RMP-(WRG-1)'!S32</f>
        <v>0.1257746893498831</v>
      </c>
    </row>
    <row r="30" spans="1:23" ht="15">
      <c r="A30" s="194"/>
      <c r="B30" s="194"/>
      <c r="C30" s="194"/>
      <c r="D30" s="184"/>
      <c r="E30" s="195"/>
      <c r="F30" s="184"/>
      <c r="G30" s="195"/>
      <c r="H30" s="184"/>
      <c r="I30" s="196"/>
      <c r="J30" s="184"/>
      <c r="K30" s="308"/>
      <c r="L30" s="184"/>
      <c r="M30" s="195"/>
      <c r="N30" s="184"/>
      <c r="O30" s="195"/>
      <c r="P30" s="184"/>
      <c r="Q30" s="196"/>
      <c r="R30" s="184"/>
      <c r="S30" s="308"/>
      <c r="T30" s="184"/>
      <c r="U30" s="184" t="s">
        <v>134</v>
      </c>
      <c r="V30" s="235">
        <v>0.0449</v>
      </c>
      <c r="W30" s="184">
        <v>0</v>
      </c>
    </row>
    <row r="31" spans="1:23" ht="15">
      <c r="A31" s="194"/>
      <c r="B31" s="194"/>
      <c r="C31" s="194"/>
      <c r="D31" s="184"/>
      <c r="E31" s="195"/>
      <c r="F31" s="184"/>
      <c r="G31" s="195"/>
      <c r="H31" s="184"/>
      <c r="I31" s="196"/>
      <c r="J31" s="184"/>
      <c r="K31" s="308"/>
      <c r="L31" s="184"/>
      <c r="M31" s="195"/>
      <c r="N31" s="184"/>
      <c r="O31" s="195"/>
      <c r="P31" s="184"/>
      <c r="Q31" s="196"/>
      <c r="R31" s="184"/>
      <c r="S31" s="308"/>
      <c r="T31" s="184"/>
      <c r="U31" s="184" t="s">
        <v>159</v>
      </c>
      <c r="V31" s="235">
        <v>0.0164</v>
      </c>
      <c r="W31" s="236">
        <f>V31</f>
        <v>0.0164</v>
      </c>
    </row>
    <row r="32" spans="1:23" ht="15">
      <c r="A32" s="194"/>
      <c r="B32" s="194"/>
      <c r="C32" s="194"/>
      <c r="D32" s="184"/>
      <c r="E32" s="195"/>
      <c r="F32" s="184"/>
      <c r="G32" s="195"/>
      <c r="H32" s="184"/>
      <c r="I32" s="196"/>
      <c r="J32" s="184"/>
      <c r="K32" s="214"/>
      <c r="L32" s="184"/>
      <c r="M32" s="214"/>
      <c r="N32" s="184"/>
      <c r="O32" s="214"/>
      <c r="P32" s="184"/>
      <c r="Q32" s="312"/>
      <c r="R32" s="184"/>
      <c r="S32" s="308"/>
      <c r="T32" s="184"/>
      <c r="U32" s="184" t="s">
        <v>160</v>
      </c>
      <c r="V32" s="235">
        <v>-0.0252</v>
      </c>
      <c r="W32" s="236">
        <f>V32</f>
        <v>-0.0252</v>
      </c>
    </row>
    <row r="33" spans="1:23" ht="15">
      <c r="A33" s="194"/>
      <c r="B33" s="194"/>
      <c r="C33" s="194"/>
      <c r="D33" s="184"/>
      <c r="E33" s="195"/>
      <c r="F33" s="184"/>
      <c r="G33" s="195"/>
      <c r="H33" s="184"/>
      <c r="I33" s="184"/>
      <c r="J33" s="184"/>
      <c r="K33" s="214"/>
      <c r="L33" s="184"/>
      <c r="M33" s="214"/>
      <c r="N33" s="184"/>
      <c r="O33" s="214"/>
      <c r="P33" s="184"/>
      <c r="Q33" s="312"/>
      <c r="R33" s="184"/>
      <c r="S33" s="184"/>
      <c r="T33" s="184"/>
      <c r="U33" s="182" t="s">
        <v>161</v>
      </c>
      <c r="V33" s="235">
        <f>SUM(V30:V32)</f>
        <v>0.03610000000000001</v>
      </c>
      <c r="W33" s="236">
        <f>SUM(W30:W32)</f>
        <v>-0.008799999999999999</v>
      </c>
    </row>
    <row r="34" spans="1:23" ht="15">
      <c r="A34" s="194"/>
      <c r="B34" s="194"/>
      <c r="C34" s="194"/>
      <c r="D34" s="184"/>
      <c r="E34" s="195"/>
      <c r="F34" s="184"/>
      <c r="G34" s="195"/>
      <c r="H34" s="184"/>
      <c r="I34" s="184"/>
      <c r="J34" s="184"/>
      <c r="K34" s="214"/>
      <c r="L34" s="184"/>
      <c r="M34" s="214"/>
      <c r="N34" s="184"/>
      <c r="O34" s="214"/>
      <c r="P34" s="184"/>
      <c r="Q34" s="312"/>
      <c r="R34" s="184"/>
      <c r="S34" s="184"/>
      <c r="T34" s="184"/>
      <c r="U34" s="184"/>
      <c r="V34" s="184"/>
      <c r="W34" s="184"/>
    </row>
  </sheetData>
  <mergeCells count="2">
    <mergeCell ref="I7:K7"/>
    <mergeCell ref="Q7:S7"/>
  </mergeCells>
  <printOptions/>
  <pageMargins left="0.7" right="0.7" top="0.75" bottom="0.75" header="0.3" footer="0.3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Employee</dc:creator>
  <cp:keywords/>
  <dc:description/>
  <cp:lastModifiedBy>brenda salter</cp:lastModifiedBy>
  <cp:lastPrinted>2011-06-02T17:58:02Z</cp:lastPrinted>
  <dcterms:created xsi:type="dcterms:W3CDTF">2011-06-01T22:05:40Z</dcterms:created>
  <dcterms:modified xsi:type="dcterms:W3CDTF">2011-06-02T20:36:09Z</dcterms:modified>
  <cp:category/>
  <cp:version/>
  <cp:contentType/>
  <cp:contentStatus/>
</cp:coreProperties>
</file>