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075" windowHeight="11745" tabRatio="781" activeTab="1"/>
  </bookViews>
  <sheets>
    <sheet name="Pages 1-2" sheetId="1" r:id="rId1"/>
    <sheet name="Page 3" sheetId="2" r:id="rId2"/>
  </sheets>
  <definedNames>
    <definedName name="_xlnm.Print_Area" localSheetId="1">'Page 3'!$A$1:$F$41</definedName>
    <definedName name="_xlnm.Print_Area" localSheetId="0">'Pages 1-2'!$A$1:$P$81</definedName>
    <definedName name="_xlnm.Print_Titles" localSheetId="0">'Pages 1-2'!$1:$3</definedName>
    <definedName name="sum">'Page 3'!$A$3:$E$37</definedName>
  </definedNames>
  <calcPr fullCalcOnLoad="1"/>
</workbook>
</file>

<file path=xl/sharedStrings.xml><?xml version="1.0" encoding="utf-8"?>
<sst xmlns="http://schemas.openxmlformats.org/spreadsheetml/2006/main" count="196" uniqueCount="79">
  <si>
    <t>Company Name</t>
  </si>
  <si>
    <t>Alliant Energy</t>
  </si>
  <si>
    <t>DTE Energy Co.</t>
  </si>
  <si>
    <t>SCANA Corp.</t>
  </si>
  <si>
    <t>Xcel Energy</t>
  </si>
  <si>
    <t>Mean</t>
  </si>
  <si>
    <t>Median</t>
  </si>
  <si>
    <t>Estimated</t>
  </si>
  <si>
    <t>Value</t>
  </si>
  <si>
    <t>Divd Yield</t>
  </si>
  <si>
    <t>Projected</t>
  </si>
  <si>
    <t>Indicated</t>
  </si>
  <si>
    <t>on Current</t>
  </si>
  <si>
    <t>Stock Price</t>
  </si>
  <si>
    <t>Dividend</t>
  </si>
  <si>
    <t>Price</t>
  </si>
  <si>
    <t>Growth</t>
  </si>
  <si>
    <t>Standard Deviation</t>
  </si>
  <si>
    <t>DCF Model Results</t>
  </si>
  <si>
    <t>Calculated</t>
  </si>
  <si>
    <t xml:space="preserve">Cost of </t>
  </si>
  <si>
    <t>5-Yr. EPS</t>
  </si>
  <si>
    <t>5-Yr. Divd.</t>
  </si>
  <si>
    <t>Terminal</t>
  </si>
  <si>
    <t>Difference</t>
  </si>
  <si>
    <t>Equity</t>
  </si>
  <si>
    <t>Year 1</t>
  </si>
  <si>
    <t>Year 2</t>
  </si>
  <si>
    <t>Year 3</t>
  </si>
  <si>
    <t>Year 4</t>
  </si>
  <si>
    <t>Year 5</t>
  </si>
  <si>
    <t>Southern Company</t>
  </si>
  <si>
    <t>Wisconsin Energy</t>
  </si>
  <si>
    <t>Entergy</t>
  </si>
  <si>
    <t>Rocky Mountain Power</t>
  </si>
  <si>
    <t>Update of Peterson Two-Stage Discounted Cash Flow Models</t>
  </si>
  <si>
    <t>PV</t>
  </si>
  <si>
    <t>Check</t>
  </si>
  <si>
    <t>Rounded</t>
  </si>
  <si>
    <t>Considering Revised Long-Term GDP Growth</t>
  </si>
  <si>
    <t>Forecast Dividend Growth Rates, Then Forecast GDP Growth:</t>
  </si>
  <si>
    <t>Edison International</t>
  </si>
  <si>
    <t>PG&amp;E</t>
  </si>
  <si>
    <t>30-day</t>
  </si>
  <si>
    <t>Growth (VL)</t>
  </si>
  <si>
    <t>(Argus)</t>
  </si>
  <si>
    <t>Argus</t>
  </si>
  <si>
    <t>na</t>
  </si>
  <si>
    <t>Dividend 25% and Earnings 75% Weighted Growth Rates, Then Forecast GDP:</t>
  </si>
  <si>
    <t xml:space="preserve">Earnings Growth Rates, Then Forecast GDP Growth Rate: </t>
  </si>
  <si>
    <t>Adjusted</t>
  </si>
  <si>
    <t>Mean 1/</t>
  </si>
  <si>
    <t>Vectren Corp.</t>
  </si>
  <si>
    <t>Sempra Energy</t>
  </si>
  <si>
    <t>Portland General</t>
  </si>
  <si>
    <t>IDACORP</t>
  </si>
  <si>
    <t>Empire District</t>
  </si>
  <si>
    <t>Black Hills Corp</t>
  </si>
  <si>
    <t>ALLETE</t>
  </si>
  <si>
    <t>GROUP AVERAGE</t>
  </si>
  <si>
    <t>GROUP MEDIAN</t>
  </si>
  <si>
    <t>Discounted Cash Flow Analysis</t>
  </si>
  <si>
    <t>Alternative Group DCF Estimates</t>
  </si>
  <si>
    <t>Constant Growth</t>
  </si>
  <si>
    <t>Peterson Companies</t>
  </si>
  <si>
    <t>DCF Model</t>
  </si>
  <si>
    <t>Analysts' Growth Rates</t>
  </si>
  <si>
    <t>(Entergy Excluded)</t>
  </si>
  <si>
    <t>Excluded Companies</t>
  </si>
  <si>
    <t>Group Average Check</t>
  </si>
  <si>
    <t>Group Median Check</t>
  </si>
  <si>
    <t>Note:  All DCF results from Exhibit RMP__(SCH-7R), page 2.</t>
  </si>
  <si>
    <t>from Exhibit RMP__(SCH-3R).</t>
  </si>
  <si>
    <t>Note: All data from DPU Exhibit 4.9, except Terminal Value and Estimated Cost of Equity columns which are based on revised second-stage long-term growth rate of 5.80%</t>
  </si>
  <si>
    <t xml:space="preserve">Average of All </t>
  </si>
  <si>
    <t>Hadaway Companies</t>
  </si>
  <si>
    <t xml:space="preserve">Entergy and Empire </t>
  </si>
  <si>
    <t xml:space="preserve">Excluded </t>
  </si>
  <si>
    <t>DPU Exhibit 4.5-SR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</si>
</sst>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[$-409]dd\-mmm\-yy;@"/>
    <numFmt numFmtId="167" formatCode="0.00;[Red]0.00"/>
    <numFmt numFmtId="168" formatCode="&quot;$&quot;#,##0.0_);\(&quot;$&quot;#,##0.0\)"/>
    <numFmt numFmtId="169" formatCode="0.000%"/>
    <numFmt numFmtId="170" formatCode="#,##0.000000_);\(#,##0.000000\)"/>
    <numFmt numFmtId="171" formatCode="#,##0.0_);\(#,##0.0\)"/>
    <numFmt numFmtId="172" formatCode="0.0%"/>
    <numFmt numFmtId="173" formatCode="[$-409]mmm\-yy;@"/>
    <numFmt numFmtId="174" formatCode="_(* #,##0.000_);_(* \(#,##0.000\);_(* &quot;-&quot;??_);_(@_)"/>
    <numFmt numFmtId="175" formatCode="0.0000%"/>
    <numFmt numFmtId="176" formatCode="0.00_);\(0.00\)"/>
    <numFmt numFmtId="177" formatCode="0.0"/>
    <numFmt numFmtId="178" formatCode="0_)"/>
    <numFmt numFmtId="179" formatCode="0.00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trike/>
      <sz val="12"/>
      <color indexed="8"/>
      <name val="Arial"/>
      <family val="2"/>
    </font>
    <font>
      <b/>
      <sz val="12"/>
      <name val="Arial M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sz val="12"/>
      <color indexed="9"/>
      <name val="Arial MT"/>
      <family val="0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  <font>
      <sz val="12"/>
      <color rgb="FFFF0000"/>
      <name val="Arial"/>
      <family val="2"/>
    </font>
    <font>
      <sz val="12"/>
      <color theme="0"/>
      <name val="Arial MT"/>
      <family val="0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double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double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Protection="0">
      <alignment/>
    </xf>
    <xf numFmtId="0" fontId="49" fillId="0" borderId="0" applyNumberFormat="0" applyFill="0" applyBorder="0" applyAlignment="0" applyProtection="0"/>
    <xf numFmtId="0" fontId="11" fillId="0" borderId="0" applyProtection="0">
      <alignment/>
    </xf>
    <xf numFmtId="0" fontId="2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2" fontId="9" fillId="0" borderId="0" applyProtection="0">
      <alignment/>
    </xf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Protection="0">
      <alignment/>
    </xf>
    <xf numFmtId="0" fontId="6" fillId="0" borderId="0" applyProtection="0">
      <alignment/>
    </xf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9" fontId="5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39" fontId="7" fillId="0" borderId="0" xfId="0" applyNumberFormat="1" applyFont="1" applyAlignment="1">
      <alignment/>
    </xf>
    <xf numFmtId="39" fontId="0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9" fontId="0" fillId="0" borderId="11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9" fontId="0" fillId="33" borderId="0" xfId="0" applyNumberFormat="1" applyFont="1" applyFill="1" applyAlignment="1">
      <alignment/>
    </xf>
    <xf numFmtId="10" fontId="0" fillId="0" borderId="11" xfId="0" applyNumberFormat="1" applyFont="1" applyBorder="1" applyAlignment="1">
      <alignment/>
    </xf>
    <xf numFmtId="39" fontId="0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 quotePrefix="1">
      <alignment horizontal="left"/>
    </xf>
    <xf numFmtId="165" fontId="7" fillId="0" borderId="0" xfId="0" applyNumberFormat="1" applyFont="1" applyAlignment="1" quotePrefix="1">
      <alignment horizontal="center"/>
    </xf>
    <xf numFmtId="10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72" applyNumberFormat="1" applyFont="1" applyAlignment="1">
      <alignment/>
    </xf>
    <xf numFmtId="10" fontId="0" fillId="0" borderId="0" xfId="72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69">
      <alignment/>
      <protection/>
    </xf>
    <xf numFmtId="0" fontId="9" fillId="0" borderId="0" xfId="69" applyFont="1">
      <alignment/>
      <protection/>
    </xf>
    <xf numFmtId="0" fontId="10" fillId="0" borderId="0" xfId="69" applyFont="1" applyProtection="1">
      <alignment/>
      <protection/>
    </xf>
    <xf numFmtId="0" fontId="10" fillId="0" borderId="0" xfId="69" applyFont="1" applyAlignment="1" applyProtection="1">
      <alignment horizontal="left"/>
      <protection/>
    </xf>
    <xf numFmtId="0" fontId="10" fillId="0" borderId="0" xfId="69" applyFont="1" applyAlignment="1" applyProtection="1">
      <alignment horizontal="centerContinuous"/>
      <protection/>
    </xf>
    <xf numFmtId="0" fontId="10" fillId="0" borderId="0" xfId="69" applyFont="1" applyBorder="1" applyAlignment="1" applyProtection="1">
      <alignment horizontal="centerContinuous"/>
      <protection/>
    </xf>
    <xf numFmtId="0" fontId="18" fillId="0" borderId="12" xfId="69" applyFont="1" applyBorder="1" applyAlignment="1" applyProtection="1">
      <alignment horizontal="center"/>
      <protection/>
    </xf>
    <xf numFmtId="0" fontId="18" fillId="0" borderId="13" xfId="69" applyFont="1" applyBorder="1" applyAlignment="1" applyProtection="1">
      <alignment horizontal="center"/>
      <protection/>
    </xf>
    <xf numFmtId="0" fontId="18" fillId="0" borderId="14" xfId="69" applyFont="1" applyBorder="1" applyAlignment="1" applyProtection="1">
      <alignment horizontal="right"/>
      <protection/>
    </xf>
    <xf numFmtId="0" fontId="18" fillId="0" borderId="15" xfId="69" applyFont="1" applyBorder="1" applyProtection="1">
      <alignment/>
      <protection/>
    </xf>
    <xf numFmtId="0" fontId="18" fillId="0" borderId="16" xfId="69" applyFont="1" applyBorder="1" applyAlignment="1" applyProtection="1">
      <alignment horizontal="center"/>
      <protection/>
    </xf>
    <xf numFmtId="0" fontId="9" fillId="0" borderId="17" xfId="69" applyFont="1" applyBorder="1">
      <alignment/>
      <protection/>
    </xf>
    <xf numFmtId="0" fontId="9" fillId="0" borderId="18" xfId="69" applyFont="1" applyBorder="1">
      <alignment/>
      <protection/>
    </xf>
    <xf numFmtId="0" fontId="18" fillId="0" borderId="19" xfId="69" applyFont="1" applyFill="1" applyBorder="1" applyProtection="1">
      <alignment/>
      <protection locked="0"/>
    </xf>
    <xf numFmtId="0" fontId="18" fillId="0" borderId="20" xfId="69" applyFont="1" applyFill="1" applyBorder="1" applyProtection="1">
      <alignment/>
      <protection locked="0"/>
    </xf>
    <xf numFmtId="172" fontId="18" fillId="0" borderId="13" xfId="69" applyNumberFormat="1" applyFont="1" applyBorder="1" applyAlignment="1" applyProtection="1">
      <alignment horizontal="center"/>
      <protection/>
    </xf>
    <xf numFmtId="0" fontId="20" fillId="0" borderId="19" xfId="69" applyFont="1" applyFill="1" applyBorder="1" applyProtection="1">
      <alignment/>
      <protection locked="0"/>
    </xf>
    <xf numFmtId="0" fontId="20" fillId="0" borderId="20" xfId="69" applyFont="1" applyFill="1" applyBorder="1" applyProtection="1">
      <alignment/>
      <protection locked="0"/>
    </xf>
    <xf numFmtId="172" fontId="20" fillId="0" borderId="13" xfId="69" applyNumberFormat="1" applyFont="1" applyBorder="1" applyAlignment="1" applyProtection="1">
      <alignment horizontal="center"/>
      <protection/>
    </xf>
    <xf numFmtId="0" fontId="18" fillId="0" borderId="21" xfId="69" applyFont="1" applyFill="1" applyBorder="1" applyProtection="1">
      <alignment/>
      <protection/>
    </xf>
    <xf numFmtId="0" fontId="18" fillId="0" borderId="22" xfId="69" applyFont="1" applyFill="1" applyBorder="1" applyProtection="1">
      <alignment/>
      <protection/>
    </xf>
    <xf numFmtId="172" fontId="18" fillId="0" borderId="23" xfId="69" applyNumberFormat="1" applyFont="1" applyBorder="1" applyAlignment="1" applyProtection="1">
      <alignment horizontal="center"/>
      <protection/>
    </xf>
    <xf numFmtId="0" fontId="18" fillId="0" borderId="24" xfId="69" applyFont="1" applyFill="1" applyBorder="1" applyAlignment="1" applyProtection="1">
      <alignment horizontal="left"/>
      <protection/>
    </xf>
    <xf numFmtId="0" fontId="18" fillId="0" borderId="14" xfId="69" applyFont="1" applyFill="1" applyBorder="1" applyProtection="1">
      <alignment/>
      <protection/>
    </xf>
    <xf numFmtId="172" fontId="18" fillId="0" borderId="25" xfId="69" applyNumberFormat="1" applyFont="1" applyFill="1" applyBorder="1" applyAlignment="1" applyProtection="1">
      <alignment horizontal="left"/>
      <protection/>
    </xf>
    <xf numFmtId="172" fontId="10" fillId="0" borderId="0" xfId="69" applyNumberFormat="1" applyFont="1" applyBorder="1" applyAlignment="1" applyProtection="1">
      <alignment horizontal="center"/>
      <protection/>
    </xf>
    <xf numFmtId="0" fontId="18" fillId="0" borderId="19" xfId="69" applyFont="1" applyBorder="1" applyAlignment="1" applyProtection="1">
      <alignment horizontal="right"/>
      <protection/>
    </xf>
    <xf numFmtId="0" fontId="18" fillId="0" borderId="0" xfId="69" applyFont="1" applyBorder="1" applyProtection="1">
      <alignment/>
      <protection/>
    </xf>
    <xf numFmtId="0" fontId="18" fillId="0" borderId="19" xfId="69" applyFont="1" applyBorder="1" applyProtection="1">
      <alignment/>
      <protection locked="0"/>
    </xf>
    <xf numFmtId="0" fontId="18" fillId="0" borderId="20" xfId="69" applyFont="1" applyBorder="1" applyProtection="1">
      <alignment/>
      <protection locked="0"/>
    </xf>
    <xf numFmtId="0" fontId="18" fillId="0" borderId="26" xfId="69" applyFont="1" applyBorder="1" applyProtection="1">
      <alignment/>
      <protection/>
    </xf>
    <xf numFmtId="172" fontId="18" fillId="0" borderId="0" xfId="69" applyNumberFormat="1" applyFont="1" applyFill="1" applyBorder="1" applyAlignment="1" applyProtection="1">
      <alignment horizontal="left"/>
      <protection/>
    </xf>
    <xf numFmtId="172" fontId="18" fillId="0" borderId="13" xfId="69" applyNumberFormat="1" applyFont="1" applyBorder="1" applyAlignment="1" applyProtection="1" quotePrefix="1">
      <alignment horizontal="center"/>
      <protection/>
    </xf>
    <xf numFmtId="0" fontId="18" fillId="0" borderId="27" xfId="69" applyFont="1" applyBorder="1" applyProtection="1">
      <alignment/>
      <protection/>
    </xf>
    <xf numFmtId="0" fontId="18" fillId="0" borderId="28" xfId="69" applyFont="1" applyBorder="1" applyAlignment="1" applyProtection="1">
      <alignment horizontal="left"/>
      <protection/>
    </xf>
    <xf numFmtId="172" fontId="10" fillId="0" borderId="0" xfId="69" applyNumberFormat="1" applyFont="1" applyBorder="1" applyAlignment="1" applyProtection="1" quotePrefix="1">
      <alignment horizontal="center"/>
      <protection/>
    </xf>
    <xf numFmtId="0" fontId="18" fillId="0" borderId="29" xfId="69" applyFont="1" applyBorder="1" applyProtection="1">
      <alignment/>
      <protection/>
    </xf>
    <xf numFmtId="172" fontId="18" fillId="0" borderId="30" xfId="69" applyNumberFormat="1" applyFont="1" applyBorder="1" applyAlignment="1" applyProtection="1">
      <alignment horizontal="left"/>
      <protection/>
    </xf>
    <xf numFmtId="169" fontId="8" fillId="0" borderId="0" xfId="69" applyNumberFormat="1">
      <alignment/>
      <protection/>
    </xf>
    <xf numFmtId="0" fontId="62" fillId="0" borderId="0" xfId="69" applyFont="1">
      <alignment/>
      <protection/>
    </xf>
    <xf numFmtId="0" fontId="63" fillId="0" borderId="0" xfId="69" applyFont="1">
      <alignment/>
      <protection/>
    </xf>
    <xf numFmtId="0" fontId="64" fillId="0" borderId="0" xfId="69" applyFont="1">
      <alignment/>
      <protection/>
    </xf>
    <xf numFmtId="0" fontId="65" fillId="0" borderId="0" xfId="69" applyFont="1">
      <alignment/>
      <protection/>
    </xf>
    <xf numFmtId="0" fontId="65" fillId="34" borderId="0" xfId="69" applyFont="1" applyFill="1" applyProtection="1">
      <alignment/>
      <protection/>
    </xf>
    <xf numFmtId="172" fontId="65" fillId="34" borderId="0" xfId="69" applyNumberFormat="1" applyFont="1" applyFill="1" applyAlignment="1" quotePrefix="1">
      <alignment horizontal="center"/>
      <protection/>
    </xf>
    <xf numFmtId="172" fontId="65" fillId="34" borderId="0" xfId="69" applyNumberFormat="1" applyFont="1" applyFill="1" applyAlignment="1">
      <alignment horizontal="center"/>
      <protection/>
    </xf>
    <xf numFmtId="0" fontId="63" fillId="0" borderId="0" xfId="69" applyFont="1" applyProtection="1">
      <alignment/>
      <protection/>
    </xf>
    <xf numFmtId="0" fontId="10" fillId="0" borderId="0" xfId="69" applyFont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0" xfId="0" applyNumberFormat="1" applyFont="1" applyAlignment="1">
      <alignment horizontal="left"/>
    </xf>
    <xf numFmtId="0" fontId="20" fillId="0" borderId="20" xfId="69" applyFont="1" applyBorder="1" applyProtection="1">
      <alignment/>
      <protection locked="0"/>
    </xf>
    <xf numFmtId="10" fontId="18" fillId="0" borderId="23" xfId="69" applyNumberFormat="1" applyFont="1" applyBorder="1" applyAlignment="1" applyProtection="1" quotePrefix="1">
      <alignment horizontal="center"/>
      <protection/>
    </xf>
    <xf numFmtId="10" fontId="18" fillId="0" borderId="31" xfId="69" applyNumberFormat="1" applyFont="1" applyBorder="1" applyAlignment="1" applyProtection="1" quotePrefix="1">
      <alignment horizontal="center"/>
      <protection/>
    </xf>
    <xf numFmtId="10" fontId="18" fillId="0" borderId="21" xfId="69" applyNumberFormat="1" applyFont="1" applyFill="1" applyBorder="1" applyProtection="1">
      <alignment/>
      <protection/>
    </xf>
    <xf numFmtId="10" fontId="18" fillId="0" borderId="24" xfId="69" applyNumberFormat="1" applyFont="1" applyFill="1" applyBorder="1" applyAlignment="1" applyProtection="1">
      <alignment horizontal="left"/>
      <protection/>
    </xf>
    <xf numFmtId="10" fontId="18" fillId="0" borderId="14" xfId="69" applyNumberFormat="1" applyFont="1" applyFill="1" applyBorder="1" applyProtection="1">
      <alignment/>
      <protection/>
    </xf>
    <xf numFmtId="10" fontId="18" fillId="0" borderId="25" xfId="69" applyNumberFormat="1" applyFont="1" applyFill="1" applyBorder="1" applyAlignment="1" applyProtection="1">
      <alignment horizontal="left"/>
      <protection/>
    </xf>
    <xf numFmtId="10" fontId="18" fillId="0" borderId="32" xfId="69" applyNumberFormat="1" applyFont="1" applyBorder="1" applyAlignment="1" applyProtection="1" quotePrefix="1">
      <alignment horizontal="center"/>
      <protection/>
    </xf>
    <xf numFmtId="10" fontId="18" fillId="0" borderId="33" xfId="69" applyNumberFormat="1" applyFont="1" applyBorder="1" applyAlignment="1" applyProtection="1" quotePrefix="1">
      <alignment horizontal="center"/>
      <protection/>
    </xf>
    <xf numFmtId="10" fontId="18" fillId="0" borderId="12" xfId="69" applyNumberFormat="1" applyFont="1" applyBorder="1" applyAlignment="1" applyProtection="1" quotePrefix="1">
      <alignment horizontal="center"/>
      <protection/>
    </xf>
    <xf numFmtId="0" fontId="18" fillId="0" borderId="34" xfId="69" applyFont="1" applyBorder="1" applyAlignment="1" applyProtection="1">
      <alignment horizontal="left"/>
      <protection/>
    </xf>
    <xf numFmtId="172" fontId="18" fillId="0" borderId="35" xfId="69" applyNumberFormat="1" applyFont="1" applyBorder="1" applyAlignment="1" applyProtection="1">
      <alignment horizontal="left"/>
      <protection/>
    </xf>
    <xf numFmtId="10" fontId="18" fillId="0" borderId="36" xfId="69" applyNumberFormat="1" applyFont="1" applyBorder="1" applyAlignment="1" applyProtection="1" quotePrefix="1">
      <alignment horizontal="center"/>
      <protection/>
    </xf>
    <xf numFmtId="0" fontId="21" fillId="0" borderId="12" xfId="69" applyFont="1" applyBorder="1" applyAlignment="1">
      <alignment horizontal="center"/>
      <protection/>
    </xf>
    <xf numFmtId="0" fontId="21" fillId="0" borderId="13" xfId="69" applyFont="1" applyBorder="1" applyAlignment="1">
      <alignment horizontal="center"/>
      <protection/>
    </xf>
    <xf numFmtId="0" fontId="21" fillId="0" borderId="16" xfId="69" applyFont="1" applyBorder="1" applyAlignment="1">
      <alignment horizontal="center"/>
      <protection/>
    </xf>
    <xf numFmtId="172" fontId="9" fillId="0" borderId="0" xfId="69" applyNumberFormat="1" applyFont="1">
      <alignment/>
      <protection/>
    </xf>
    <xf numFmtId="0" fontId="22" fillId="0" borderId="0" xfId="69" applyFont="1" applyAlignment="1">
      <alignment horizontal="center"/>
      <protection/>
    </xf>
    <xf numFmtId="3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8" fillId="0" borderId="14" xfId="69" applyFont="1" applyBorder="1" applyAlignment="1" applyProtection="1" quotePrefix="1">
      <alignment horizontal="center"/>
      <protection/>
    </xf>
    <xf numFmtId="0" fontId="18" fillId="0" borderId="37" xfId="69" applyFont="1" applyBorder="1" applyAlignment="1" applyProtection="1" quotePrefix="1">
      <alignment horizontal="center"/>
      <protection/>
    </xf>
    <xf numFmtId="0" fontId="18" fillId="0" borderId="19" xfId="69" applyFont="1" applyBorder="1" applyAlignment="1" applyProtection="1" quotePrefix="1">
      <alignment horizontal="center"/>
      <protection/>
    </xf>
    <xf numFmtId="0" fontId="18" fillId="0" borderId="20" xfId="69" applyFont="1" applyBorder="1" applyAlignment="1" applyProtection="1" quotePrefix="1">
      <alignment horizontal="center"/>
      <protection/>
    </xf>
    <xf numFmtId="0" fontId="18" fillId="0" borderId="19" xfId="69" applyFont="1" applyBorder="1" applyAlignment="1" applyProtection="1">
      <alignment horizontal="center"/>
      <protection/>
    </xf>
    <xf numFmtId="0" fontId="18" fillId="0" borderId="20" xfId="69" applyFont="1" applyBorder="1" applyAlignment="1" applyProtection="1">
      <alignment horizontal="center"/>
      <protection/>
    </xf>
    <xf numFmtId="0" fontId="3" fillId="0" borderId="0" xfId="69" applyFont="1" applyAlignment="1" applyProtection="1">
      <alignment horizontal="center"/>
      <protection/>
    </xf>
    <xf numFmtId="0" fontId="4" fillId="0" borderId="0" xfId="69" applyFont="1" applyAlignment="1" applyProtection="1">
      <alignment horizontal="center"/>
      <protection/>
    </xf>
    <xf numFmtId="0" fontId="19" fillId="0" borderId="0" xfId="69" applyFont="1" applyAlignment="1" applyProtection="1">
      <alignment horizontal="center"/>
      <protection/>
    </xf>
    <xf numFmtId="0" fontId="18" fillId="0" borderId="38" xfId="69" applyFont="1" applyBorder="1" applyAlignment="1" applyProtection="1" quotePrefix="1">
      <alignment horizontal="center"/>
      <protection/>
    </xf>
    <xf numFmtId="0" fontId="18" fillId="0" borderId="39" xfId="69" applyFont="1" applyBorder="1" applyAlignment="1" applyProtection="1" quotePrefix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view="pageLayout" workbookViewId="0" topLeftCell="O1">
      <selection activeCell="A1" sqref="A1:P1"/>
    </sheetView>
  </sheetViews>
  <sheetFormatPr defaultColWidth="9.140625" defaultRowHeight="12.75"/>
  <cols>
    <col min="1" max="1" width="25.8515625" style="2" customWidth="1"/>
    <col min="2" max="2" width="11.7109375" style="2" customWidth="1"/>
    <col min="3" max="4" width="11.7109375" style="2" hidden="1" customWidth="1"/>
    <col min="5" max="5" width="8.7109375" style="2" customWidth="1"/>
    <col min="6" max="7" width="10.28125" style="2" customWidth="1"/>
    <col min="8" max="8" width="10.7109375" style="2" customWidth="1"/>
    <col min="9" max="9" width="11.7109375" style="2" bestFit="1" customWidth="1"/>
    <col min="10" max="13" width="9.28125" style="2" customWidth="1"/>
    <col min="14" max="15" width="9.28125" style="3" customWidth="1"/>
    <col min="16" max="22" width="9.28125" style="2" customWidth="1"/>
    <col min="23" max="16384" width="9.140625" style="2" customWidth="1"/>
  </cols>
  <sheetData>
    <row r="1" spans="1:24" ht="20.2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79"/>
      <c r="R1" s="79"/>
      <c r="S1" s="79"/>
      <c r="T1" s="79"/>
      <c r="U1" s="79"/>
      <c r="V1" s="79"/>
      <c r="W1" s="1"/>
      <c r="X1" s="1"/>
    </row>
    <row r="2" spans="1:24" ht="18">
      <c r="A2" s="102" t="s">
        <v>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80"/>
      <c r="R2" s="80"/>
      <c r="S2" s="80"/>
      <c r="T2" s="80"/>
      <c r="U2" s="80"/>
      <c r="V2" s="80"/>
      <c r="W2" s="1"/>
      <c r="X2" s="1"/>
    </row>
    <row r="3" spans="1:24" ht="18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81"/>
      <c r="R3" s="81"/>
      <c r="S3" s="81"/>
      <c r="T3" s="81"/>
      <c r="U3" s="81"/>
      <c r="V3" s="81"/>
      <c r="W3" s="1"/>
      <c r="X3" s="1"/>
    </row>
    <row r="4" spans="12:22" ht="12.75">
      <c r="L4" s="3"/>
      <c r="M4" s="3"/>
      <c r="N4" s="2"/>
      <c r="O4" s="2"/>
      <c r="P4" s="4"/>
      <c r="Q4" s="4"/>
      <c r="R4" s="4"/>
      <c r="S4" s="4"/>
      <c r="T4" s="4"/>
      <c r="U4" s="4"/>
      <c r="V4" s="4"/>
    </row>
    <row r="5" spans="12:15" ht="12.75">
      <c r="L5" s="3"/>
      <c r="M5" s="3"/>
      <c r="N5" s="2"/>
      <c r="O5" s="2"/>
    </row>
    <row r="6" spans="1:23" ht="15.75">
      <c r="A6" s="5" t="s">
        <v>40</v>
      </c>
      <c r="B6" s="3"/>
      <c r="C6" s="3"/>
      <c r="D6" s="3"/>
      <c r="I6" s="6"/>
      <c r="J6" s="25">
        <v>0.058</v>
      </c>
      <c r="L6" s="3"/>
      <c r="M6" s="3"/>
      <c r="N6" s="7"/>
      <c r="O6" s="7"/>
      <c r="P6" s="7"/>
      <c r="Q6" s="7"/>
      <c r="R6" s="7"/>
      <c r="S6" s="7"/>
      <c r="T6" s="7"/>
      <c r="U6" s="7"/>
      <c r="V6" s="7"/>
      <c r="W6" s="3"/>
    </row>
    <row r="7" spans="1:23" ht="7.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7"/>
      <c r="P7" s="7"/>
      <c r="Q7" s="7"/>
      <c r="R7" s="7"/>
      <c r="S7" s="7"/>
      <c r="T7" s="7"/>
      <c r="U7" s="7"/>
      <c r="V7" s="7"/>
      <c r="W7" s="3"/>
    </row>
    <row r="8" spans="1:27" ht="12.75">
      <c r="A8" s="3"/>
      <c r="B8" s="8"/>
      <c r="C8" s="8"/>
      <c r="D8" s="8"/>
      <c r="E8" s="9" t="s">
        <v>7</v>
      </c>
      <c r="F8" s="8"/>
      <c r="G8" s="9" t="s">
        <v>9</v>
      </c>
      <c r="H8" s="9" t="s">
        <v>10</v>
      </c>
      <c r="I8" s="9" t="s">
        <v>10</v>
      </c>
      <c r="J8" s="9" t="s">
        <v>14</v>
      </c>
      <c r="K8" s="8"/>
      <c r="L8" s="9"/>
      <c r="M8" s="8"/>
      <c r="N8" s="8"/>
      <c r="O8" s="8"/>
      <c r="P8" s="8"/>
      <c r="Q8" s="8"/>
      <c r="R8" s="8"/>
      <c r="S8" s="8"/>
      <c r="T8" s="8"/>
      <c r="U8" s="8"/>
      <c r="V8" s="8"/>
      <c r="W8" s="3"/>
      <c r="AA8" s="26" t="s">
        <v>46</v>
      </c>
    </row>
    <row r="9" spans="1:28" ht="12.75">
      <c r="A9" s="3"/>
      <c r="B9" s="10" t="s">
        <v>43</v>
      </c>
      <c r="C9" s="9" t="s">
        <v>19</v>
      </c>
      <c r="D9" s="9"/>
      <c r="E9" s="9" t="s">
        <v>20</v>
      </c>
      <c r="F9" s="9" t="s">
        <v>11</v>
      </c>
      <c r="G9" s="9" t="s">
        <v>12</v>
      </c>
      <c r="H9" s="9" t="s">
        <v>21</v>
      </c>
      <c r="I9" s="9" t="s">
        <v>22</v>
      </c>
      <c r="J9" s="9" t="s">
        <v>26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23</v>
      </c>
      <c r="P9" s="9" t="s">
        <v>23</v>
      </c>
      <c r="Q9" s="9"/>
      <c r="R9" s="9"/>
      <c r="S9" s="9"/>
      <c r="T9" s="9"/>
      <c r="U9" s="9"/>
      <c r="V9" s="9"/>
      <c r="W9" s="3"/>
      <c r="AA9" s="26" t="s">
        <v>14</v>
      </c>
      <c r="AB9" s="29" t="s">
        <v>50</v>
      </c>
    </row>
    <row r="10" spans="1:28" ht="12.75">
      <c r="A10" s="7" t="s">
        <v>0</v>
      </c>
      <c r="B10" s="9" t="s">
        <v>13</v>
      </c>
      <c r="C10" s="9" t="s">
        <v>15</v>
      </c>
      <c r="D10" s="9" t="s">
        <v>24</v>
      </c>
      <c r="E10" s="9" t="s">
        <v>25</v>
      </c>
      <c r="F10" s="9" t="s">
        <v>14</v>
      </c>
      <c r="G10" s="9" t="s">
        <v>15</v>
      </c>
      <c r="H10" s="9" t="s">
        <v>16</v>
      </c>
      <c r="I10" s="9" t="s">
        <v>44</v>
      </c>
      <c r="J10" s="9" t="s">
        <v>45</v>
      </c>
      <c r="K10" s="9" t="s">
        <v>27</v>
      </c>
      <c r="L10" s="9" t="s">
        <v>28</v>
      </c>
      <c r="M10" s="9" t="s">
        <v>29</v>
      </c>
      <c r="N10" s="9" t="s">
        <v>30</v>
      </c>
      <c r="O10" s="9" t="s">
        <v>14</v>
      </c>
      <c r="P10" s="9" t="s">
        <v>8</v>
      </c>
      <c r="Q10" s="9"/>
      <c r="R10" s="9"/>
      <c r="S10" s="9"/>
      <c r="T10" s="9"/>
      <c r="U10" s="9"/>
      <c r="V10" s="9"/>
      <c r="W10" s="11" t="s">
        <v>36</v>
      </c>
      <c r="X10" s="12" t="s">
        <v>37</v>
      </c>
      <c r="Y10" s="12" t="s">
        <v>38</v>
      </c>
      <c r="AA10" s="12" t="s">
        <v>16</v>
      </c>
      <c r="AB10" s="30" t="s">
        <v>51</v>
      </c>
    </row>
    <row r="11" spans="1:23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  <c r="W11" s="3"/>
    </row>
    <row r="12" spans="1:28" ht="12.75">
      <c r="A12" s="3" t="s">
        <v>1</v>
      </c>
      <c r="B12" s="14">
        <v>38.811666666666675</v>
      </c>
      <c r="C12" s="3">
        <f>(J12/(1+$E12)^0.5+K12/(1+$E12)^1.5+L12/(1+$E12)^2.5+M12/(1+$E12)^3.5+N12/(1+$E12)^4.5+P12/(1+$E12)^5)</f>
        <v>38.810063535584675</v>
      </c>
      <c r="D12" s="3">
        <f>B12-C12</f>
        <v>0.0016031310819997202</v>
      </c>
      <c r="E12" s="15">
        <v>0.10478446577759692</v>
      </c>
      <c r="F12" s="14">
        <v>1.72</v>
      </c>
      <c r="G12" s="16">
        <f>F12/B12</f>
        <v>0.04431657147764846</v>
      </c>
      <c r="H12" s="16">
        <v>0.06173482798914174</v>
      </c>
      <c r="I12" s="16">
        <v>0.05</v>
      </c>
      <c r="J12" s="3">
        <f>F12*(1+AA12)</f>
        <v>1.8942359999999998</v>
      </c>
      <c r="K12" s="3">
        <f aca="true" t="shared" si="0" ref="K12:N19">J12*(1+$I12)</f>
        <v>1.9889477999999998</v>
      </c>
      <c r="L12" s="3">
        <f t="shared" si="0"/>
        <v>2.08839519</v>
      </c>
      <c r="M12" s="3">
        <f t="shared" si="0"/>
        <v>2.1928149495</v>
      </c>
      <c r="N12" s="3">
        <f t="shared" si="0"/>
        <v>2.3024556969750005</v>
      </c>
      <c r="O12" s="3">
        <f>N12*(1+$I12/2)</f>
        <v>2.3600170893993755</v>
      </c>
      <c r="P12" s="3">
        <f aca="true" t="shared" si="1" ref="P12:P20">O12/(E12-$J$6)</f>
        <v>50.444459505391784</v>
      </c>
      <c r="Q12" s="3"/>
      <c r="R12" s="3"/>
      <c r="S12" s="3"/>
      <c r="T12" s="3"/>
      <c r="U12" s="3"/>
      <c r="V12" s="3"/>
      <c r="W12" s="3">
        <f>J12/(1+E12)^0.5+K12/(1+E12)^1.5+L12/(1+E12)^2.5+M12/(1+E12)^3.5+N12/(1+E12)^4.5+P12/(1+E12)^5</f>
        <v>38.810063535584675</v>
      </c>
      <c r="X12" s="17">
        <f>W12-B12</f>
        <v>-0.0016031310819997202</v>
      </c>
      <c r="Y12" s="15">
        <f>ROUND(E12,4)</f>
        <v>0.1048</v>
      </c>
      <c r="AA12" s="27">
        <v>0.1013</v>
      </c>
      <c r="AB12" s="27">
        <v>0.06280000000000001</v>
      </c>
    </row>
    <row r="13" spans="1:28" ht="12.75">
      <c r="A13" s="3" t="s">
        <v>2</v>
      </c>
      <c r="B13" s="14">
        <v>48.47466666666667</v>
      </c>
      <c r="C13" s="3">
        <f aca="true" t="shared" si="2" ref="C13:C20">(J13/(1+$E13)^0.5+K13/(1+$E13)^1.5+L13/(1+$E13)^2.5+M13/(1+$E13)^3.5+N13/(1+$E13)^4.5+P13/(1+$E13)^5)</f>
        <v>48.47011858175329</v>
      </c>
      <c r="D13" s="3">
        <f aca="true" t="shared" si="3" ref="D13:D20">B13-C13</f>
        <v>0.00454808491338099</v>
      </c>
      <c r="E13" s="15">
        <v>0.10289152392118592</v>
      </c>
      <c r="F13" s="14">
        <v>2.3</v>
      </c>
      <c r="G13" s="16">
        <f>F13/B13</f>
        <v>0.04744746396743315</v>
      </c>
      <c r="H13" s="16">
        <v>0.04508518641612206</v>
      </c>
      <c r="I13" s="16">
        <v>0.035</v>
      </c>
      <c r="J13" s="3">
        <f aca="true" t="shared" si="4" ref="J13:J20">F13*(1+AA13)</f>
        <v>2.40557</v>
      </c>
      <c r="K13" s="3">
        <f t="shared" si="0"/>
        <v>2.4897649499999996</v>
      </c>
      <c r="L13" s="3">
        <f t="shared" si="0"/>
        <v>2.5769067232499996</v>
      </c>
      <c r="M13" s="3">
        <f t="shared" si="0"/>
        <v>2.6670984585637494</v>
      </c>
      <c r="N13" s="3">
        <f t="shared" si="0"/>
        <v>2.7604469046134805</v>
      </c>
      <c r="O13" s="3">
        <f aca="true" t="shared" si="5" ref="O13:O20">N13*(1+$I13/2)</f>
        <v>2.8087547254442167</v>
      </c>
      <c r="P13" s="3">
        <f t="shared" si="1"/>
        <v>62.5675958422669</v>
      </c>
      <c r="Q13" s="3"/>
      <c r="R13" s="3"/>
      <c r="S13" s="3"/>
      <c r="T13" s="3"/>
      <c r="U13" s="3"/>
      <c r="V13" s="3"/>
      <c r="W13" s="3">
        <f aca="true" t="shared" si="6" ref="W13:W20">J13/(1+E13)^0.5+K13/(1+E13)^1.5+L13/(1+E13)^2.5+M13/(1+E13)^3.5+N13/(1+E13)^4.5+P13/(1+E13)^5</f>
        <v>48.47011858175329</v>
      </c>
      <c r="X13" s="17">
        <f aca="true" t="shared" si="7" ref="X13:X20">W13-B13</f>
        <v>-0.00454808491338099</v>
      </c>
      <c r="Y13" s="15">
        <f aca="true" t="shared" si="8" ref="Y13:Y20">ROUND(E13,4)</f>
        <v>0.1029</v>
      </c>
      <c r="AA13" s="27">
        <v>0.0459</v>
      </c>
      <c r="AB13" s="27">
        <v>0.04828333333333334</v>
      </c>
    </row>
    <row r="14" spans="1:28" ht="12.75">
      <c r="A14" s="3" t="s">
        <v>41</v>
      </c>
      <c r="B14" s="14">
        <v>36.94866666666667</v>
      </c>
      <c r="C14" s="3">
        <f t="shared" si="2"/>
        <v>36.95001380216541</v>
      </c>
      <c r="D14" s="3">
        <f t="shared" si="3"/>
        <v>-0.001347135498740215</v>
      </c>
      <c r="E14" s="15">
        <v>0.08830909339661636</v>
      </c>
      <c r="F14" s="14">
        <v>1.29</v>
      </c>
      <c r="G14" s="16">
        <f aca="true" t="shared" si="9" ref="G14:G20">F14/B14</f>
        <v>0.03491330314129513</v>
      </c>
      <c r="H14" s="16">
        <v>0.01763093189712592</v>
      </c>
      <c r="I14" s="16">
        <v>0.025</v>
      </c>
      <c r="J14" s="3">
        <f t="shared" si="4"/>
        <v>1.300191</v>
      </c>
      <c r="K14" s="3">
        <f t="shared" si="0"/>
        <v>1.332695775</v>
      </c>
      <c r="L14" s="3">
        <f t="shared" si="0"/>
        <v>1.3660131693749997</v>
      </c>
      <c r="M14" s="3">
        <f t="shared" si="0"/>
        <v>1.4001634986093745</v>
      </c>
      <c r="N14" s="3">
        <f t="shared" si="0"/>
        <v>1.4351675860746087</v>
      </c>
      <c r="O14" s="3">
        <f t="shared" si="5"/>
        <v>1.4531071809005411</v>
      </c>
      <c r="P14" s="3">
        <f t="shared" si="1"/>
        <v>47.9429444452721</v>
      </c>
      <c r="Q14" s="3"/>
      <c r="R14" s="3"/>
      <c r="S14" s="3"/>
      <c r="T14" s="3"/>
      <c r="U14" s="3"/>
      <c r="V14" s="3"/>
      <c r="W14" s="3">
        <f t="shared" si="6"/>
        <v>36.95001380216541</v>
      </c>
      <c r="X14" s="17">
        <f t="shared" si="7"/>
        <v>0.001347135498740215</v>
      </c>
      <c r="Y14" s="15">
        <f t="shared" si="8"/>
        <v>0.0883</v>
      </c>
      <c r="AA14" s="27">
        <v>0.0079</v>
      </c>
      <c r="AB14" s="27">
        <v>0.0507</v>
      </c>
    </row>
    <row r="15" spans="1:28" ht="12.75">
      <c r="A15" s="3" t="s">
        <v>33</v>
      </c>
      <c r="B15" s="14">
        <v>66.88766666666668</v>
      </c>
      <c r="C15" s="3">
        <f t="shared" si="2"/>
        <v>66.89010872973331</v>
      </c>
      <c r="D15" s="3">
        <f t="shared" si="3"/>
        <v>-0.0024420630666384113</v>
      </c>
      <c r="E15" s="15">
        <v>0.1042656922826316</v>
      </c>
      <c r="F15" s="14">
        <v>3.34</v>
      </c>
      <c r="G15" s="16">
        <f t="shared" si="9"/>
        <v>0.04993446724109576</v>
      </c>
      <c r="H15" s="16">
        <v>0.013426887263255957</v>
      </c>
      <c r="I15" s="16">
        <v>0.03</v>
      </c>
      <c r="J15" s="3">
        <f t="shared" si="4"/>
        <v>3.4842879999999994</v>
      </c>
      <c r="K15" s="3">
        <f t="shared" si="0"/>
        <v>3.5888166399999997</v>
      </c>
      <c r="L15" s="3">
        <f t="shared" si="0"/>
        <v>3.6964811392</v>
      </c>
      <c r="M15" s="3">
        <f t="shared" si="0"/>
        <v>3.807375573376</v>
      </c>
      <c r="N15" s="3">
        <f t="shared" si="0"/>
        <v>3.92159684057728</v>
      </c>
      <c r="O15" s="3">
        <f t="shared" si="5"/>
        <v>3.9804207931859388</v>
      </c>
      <c r="P15" s="3">
        <f t="shared" si="1"/>
        <v>86.03396159880246</v>
      </c>
      <c r="Q15" s="3"/>
      <c r="R15" s="3"/>
      <c r="S15" s="3"/>
      <c r="T15" s="3"/>
      <c r="U15" s="3"/>
      <c r="V15" s="3"/>
      <c r="W15" s="3">
        <f t="shared" si="6"/>
        <v>66.89010872973331</v>
      </c>
      <c r="X15" s="17">
        <f t="shared" si="7"/>
        <v>0.0024420630666384113</v>
      </c>
      <c r="Y15" s="15">
        <f t="shared" si="8"/>
        <v>0.1043</v>
      </c>
      <c r="AA15" s="27">
        <v>0.0432</v>
      </c>
      <c r="AB15" s="27">
        <v>0.03876666666666667</v>
      </c>
    </row>
    <row r="16" spans="1:28" ht="12.75">
      <c r="A16" s="3" t="s">
        <v>42</v>
      </c>
      <c r="B16" s="14">
        <v>43.95933333333333</v>
      </c>
      <c r="C16" s="3">
        <f t="shared" si="2"/>
        <v>43.95999431078472</v>
      </c>
      <c r="D16" s="3">
        <f t="shared" si="3"/>
        <v>-0.0006609774513890443</v>
      </c>
      <c r="E16" s="15">
        <v>0.10287474880470796</v>
      </c>
      <c r="F16" s="14">
        <v>1.92</v>
      </c>
      <c r="G16" s="16">
        <f t="shared" si="9"/>
        <v>0.04367673152459091</v>
      </c>
      <c r="H16" s="16">
        <v>0.061402251331517006</v>
      </c>
      <c r="I16" s="16">
        <v>0.06</v>
      </c>
      <c r="J16" s="3">
        <f t="shared" si="4"/>
        <v>1.9833599999999998</v>
      </c>
      <c r="K16" s="3">
        <f t="shared" si="0"/>
        <v>2.1023616</v>
      </c>
      <c r="L16" s="3">
        <f t="shared" si="0"/>
        <v>2.228503296</v>
      </c>
      <c r="M16" s="3">
        <f t="shared" si="0"/>
        <v>2.36221349376</v>
      </c>
      <c r="N16" s="3">
        <f t="shared" si="0"/>
        <v>2.5039463033856</v>
      </c>
      <c r="O16" s="3">
        <f t="shared" si="5"/>
        <v>2.5790646924871683</v>
      </c>
      <c r="P16" s="3">
        <f t="shared" si="1"/>
        <v>57.472515416433716</v>
      </c>
      <c r="Q16" s="3"/>
      <c r="R16" s="3"/>
      <c r="S16" s="3"/>
      <c r="T16" s="3"/>
      <c r="U16" s="3"/>
      <c r="V16" s="3"/>
      <c r="W16" s="3">
        <f t="shared" si="6"/>
        <v>43.95999431078472</v>
      </c>
      <c r="X16" s="17">
        <f t="shared" si="7"/>
        <v>0.0006609774513890443</v>
      </c>
      <c r="Y16" s="15">
        <f t="shared" si="8"/>
        <v>0.1029</v>
      </c>
      <c r="AA16" s="27">
        <v>0.033</v>
      </c>
      <c r="AB16" s="27">
        <v>0.05968</v>
      </c>
    </row>
    <row r="17" spans="1:28" ht="12.75">
      <c r="A17" s="3" t="s">
        <v>3</v>
      </c>
      <c r="B17" s="14">
        <v>39.102</v>
      </c>
      <c r="C17" s="3">
        <f t="shared" si="2"/>
        <v>39.10003643970953</v>
      </c>
      <c r="D17" s="3">
        <f t="shared" si="3"/>
        <v>0.0019635602904699567</v>
      </c>
      <c r="E17" s="15">
        <v>0.10115619172753723</v>
      </c>
      <c r="F17" s="14">
        <v>1.94</v>
      </c>
      <c r="G17" s="16">
        <f t="shared" si="9"/>
        <v>0.04961383049460386</v>
      </c>
      <c r="H17" s="16">
        <v>0.041665152373878446</v>
      </c>
      <c r="I17" s="16">
        <v>0.02</v>
      </c>
      <c r="J17" s="3">
        <f>F17*(1+I17)</f>
        <v>1.9788</v>
      </c>
      <c r="K17" s="3">
        <f t="shared" si="0"/>
        <v>2.018376</v>
      </c>
      <c r="L17" s="3">
        <f t="shared" si="0"/>
        <v>2.05874352</v>
      </c>
      <c r="M17" s="3">
        <f t="shared" si="0"/>
        <v>2.0999183904</v>
      </c>
      <c r="N17" s="3">
        <f t="shared" si="0"/>
        <v>2.141916758208</v>
      </c>
      <c r="O17" s="3">
        <f t="shared" si="5"/>
        <v>2.16333592579008</v>
      </c>
      <c r="P17" s="3">
        <f t="shared" si="1"/>
        <v>50.12805438088951</v>
      </c>
      <c r="Q17" s="3"/>
      <c r="R17" s="3"/>
      <c r="S17" s="3"/>
      <c r="T17" s="3"/>
      <c r="U17" s="3"/>
      <c r="V17" s="3"/>
      <c r="W17" s="3">
        <f t="shared" si="6"/>
        <v>39.10003643970953</v>
      </c>
      <c r="X17" s="17">
        <f t="shared" si="7"/>
        <v>-0.0019635602904699567</v>
      </c>
      <c r="Y17" s="15">
        <f t="shared" si="8"/>
        <v>0.1012</v>
      </c>
      <c r="AA17" s="28" t="s">
        <v>47</v>
      </c>
      <c r="AB17" s="27">
        <v>0.04346</v>
      </c>
    </row>
    <row r="18" spans="1:28" ht="12.75">
      <c r="A18" s="3" t="s">
        <v>31</v>
      </c>
      <c r="B18" s="14">
        <v>37.865</v>
      </c>
      <c r="C18" s="3">
        <f t="shared" si="2"/>
        <v>37.8700691028869</v>
      </c>
      <c r="D18" s="3">
        <f t="shared" si="3"/>
        <v>-0.005069102886899657</v>
      </c>
      <c r="E18" s="15">
        <v>0.10561562892992844</v>
      </c>
      <c r="F18" s="14">
        <v>1.9</v>
      </c>
      <c r="G18" s="16">
        <f t="shared" si="9"/>
        <v>0.05017826488841938</v>
      </c>
      <c r="H18" s="16">
        <v>0.05156434242420027</v>
      </c>
      <c r="I18" s="16">
        <v>0.04</v>
      </c>
      <c r="J18" s="3">
        <f t="shared" si="4"/>
        <v>1.95282</v>
      </c>
      <c r="K18" s="3">
        <f t="shared" si="0"/>
        <v>2.0309328</v>
      </c>
      <c r="L18" s="3">
        <f t="shared" si="0"/>
        <v>2.1121701120000003</v>
      </c>
      <c r="M18" s="3">
        <f t="shared" si="0"/>
        <v>2.1966569164800003</v>
      </c>
      <c r="N18" s="3">
        <f t="shared" si="0"/>
        <v>2.2845231931392003</v>
      </c>
      <c r="O18" s="3">
        <f t="shared" si="5"/>
        <v>2.3302136570019845</v>
      </c>
      <c r="P18" s="3">
        <f t="shared" si="1"/>
        <v>48.93800017702478</v>
      </c>
      <c r="Q18" s="3"/>
      <c r="R18" s="3"/>
      <c r="S18" s="3"/>
      <c r="T18" s="3"/>
      <c r="U18" s="3"/>
      <c r="V18" s="3"/>
      <c r="W18" s="3">
        <f t="shared" si="6"/>
        <v>37.8700691028869</v>
      </c>
      <c r="X18" s="17">
        <f t="shared" si="7"/>
        <v>0.005069102886899657</v>
      </c>
      <c r="Y18" s="15">
        <f t="shared" si="8"/>
        <v>0.1056</v>
      </c>
      <c r="AA18" s="27">
        <v>0.0278</v>
      </c>
      <c r="AB18" s="27">
        <v>0.05333333333333334</v>
      </c>
    </row>
    <row r="19" spans="1:28" ht="12.75">
      <c r="A19" s="3" t="s">
        <v>32</v>
      </c>
      <c r="B19" s="14">
        <v>29.96500000000001</v>
      </c>
      <c r="C19" s="3">
        <f t="shared" si="2"/>
        <v>29.97000404031954</v>
      </c>
      <c r="D19" s="3">
        <f t="shared" si="3"/>
        <v>-0.0050040403195303895</v>
      </c>
      <c r="E19" s="15">
        <v>0.11808138709910486</v>
      </c>
      <c r="F19" s="14">
        <v>1.06</v>
      </c>
      <c r="G19" s="16">
        <f t="shared" si="9"/>
        <v>0.035374603704321696</v>
      </c>
      <c r="H19" s="16">
        <v>0.07814450226526866</v>
      </c>
      <c r="I19" s="16">
        <v>0.135</v>
      </c>
      <c r="J19" s="3">
        <f t="shared" si="4"/>
        <v>1.3780000000000001</v>
      </c>
      <c r="K19" s="3">
        <f t="shared" si="0"/>
        <v>1.56403</v>
      </c>
      <c r="L19" s="3">
        <f t="shared" si="0"/>
        <v>1.77517405</v>
      </c>
      <c r="M19" s="3">
        <f t="shared" si="0"/>
        <v>2.01482254675</v>
      </c>
      <c r="N19" s="3">
        <f t="shared" si="0"/>
        <v>2.28682359056125</v>
      </c>
      <c r="O19" s="3">
        <f t="shared" si="5"/>
        <v>2.4411841829241343</v>
      </c>
      <c r="P19" s="3">
        <f t="shared" si="1"/>
        <v>40.63128867010637</v>
      </c>
      <c r="Q19" s="3"/>
      <c r="R19" s="3"/>
      <c r="S19" s="3"/>
      <c r="T19" s="3"/>
      <c r="U19" s="3"/>
      <c r="V19" s="3"/>
      <c r="W19" s="3">
        <f t="shared" si="6"/>
        <v>29.97000404031954</v>
      </c>
      <c r="X19" s="17">
        <f t="shared" si="7"/>
        <v>0.0050040403195303895</v>
      </c>
      <c r="Y19" s="15">
        <f t="shared" si="8"/>
        <v>0.1181</v>
      </c>
      <c r="AA19" s="27">
        <v>0.3</v>
      </c>
      <c r="AB19" s="27">
        <v>0.08213333333333332</v>
      </c>
    </row>
    <row r="20" spans="1:28" ht="12.75">
      <c r="A20" s="3" t="s">
        <v>4</v>
      </c>
      <c r="B20" s="14">
        <v>23.739000000000008</v>
      </c>
      <c r="C20" s="3">
        <f t="shared" si="2"/>
        <v>23.7400698614751</v>
      </c>
      <c r="D20" s="3">
        <f t="shared" si="3"/>
        <v>-0.0010698614750914714</v>
      </c>
      <c r="E20" s="15">
        <v>0.09870886175344167</v>
      </c>
      <c r="F20" s="14">
        <v>1.03</v>
      </c>
      <c r="G20" s="16">
        <f t="shared" si="9"/>
        <v>0.04338851678672226</v>
      </c>
      <c r="H20" s="16">
        <v>0.05392109149248526</v>
      </c>
      <c r="I20" s="16">
        <v>0.035</v>
      </c>
      <c r="J20" s="3">
        <f t="shared" si="4"/>
        <v>1.0712000000000002</v>
      </c>
      <c r="K20" s="3">
        <f>J20*(1+$I20)</f>
        <v>1.108692</v>
      </c>
      <c r="L20" s="3">
        <f>K20*(1+$I20)</f>
        <v>1.1474962199999998</v>
      </c>
      <c r="M20" s="3">
        <f>L20*(1+$I20)</f>
        <v>1.1876585876999997</v>
      </c>
      <c r="N20" s="3">
        <f>M20*(1+$I20)</f>
        <v>1.2292266382694996</v>
      </c>
      <c r="O20" s="3">
        <f t="shared" si="5"/>
        <v>1.2507381044392158</v>
      </c>
      <c r="P20" s="3">
        <f t="shared" si="1"/>
        <v>30.723976317846184</v>
      </c>
      <c r="Q20" s="3"/>
      <c r="R20" s="3"/>
      <c r="S20" s="3"/>
      <c r="T20" s="3"/>
      <c r="U20" s="3"/>
      <c r="V20" s="3"/>
      <c r="W20" s="3">
        <f t="shared" si="6"/>
        <v>23.7400698614751</v>
      </c>
      <c r="X20" s="17">
        <f t="shared" si="7"/>
        <v>0.0010698614750914714</v>
      </c>
      <c r="Y20" s="15">
        <f t="shared" si="8"/>
        <v>0.0987</v>
      </c>
      <c r="AA20" s="27">
        <v>0.04</v>
      </c>
      <c r="AB20" s="27">
        <v>0.05441666666666666</v>
      </c>
    </row>
    <row r="21" spans="1:23" ht="7.5" customHeight="1">
      <c r="A21" s="3"/>
      <c r="B21" s="3"/>
      <c r="C21" s="3"/>
      <c r="D21" s="3"/>
      <c r="E21" s="15"/>
      <c r="F21" s="3"/>
      <c r="G21" s="13"/>
      <c r="H21" s="18"/>
      <c r="I21" s="13"/>
      <c r="J21" s="3"/>
      <c r="K21" s="3"/>
      <c r="L21" s="3"/>
      <c r="M21" s="3"/>
      <c r="P21" s="3"/>
      <c r="Q21" s="3"/>
      <c r="R21" s="3"/>
      <c r="S21" s="3"/>
      <c r="T21" s="3"/>
      <c r="U21" s="3"/>
      <c r="V21" s="3"/>
      <c r="W21" s="3"/>
    </row>
    <row r="22" spans="1:28" ht="12.75">
      <c r="A22" s="19" t="s">
        <v>5</v>
      </c>
      <c r="B22" s="3"/>
      <c r="C22" s="3"/>
      <c r="D22" s="3">
        <f>SUM(D12:D21)</f>
        <v>-0.007478404412438522</v>
      </c>
      <c r="E22" s="15">
        <f>AVERAGE(E11:E21)</f>
        <v>0.10296528818808343</v>
      </c>
      <c r="F22" s="3">
        <f>AVERAGE(F11:F21)</f>
        <v>1.8333333333333333</v>
      </c>
      <c r="G22" s="15">
        <f>AVERAGE(G11:G21)</f>
        <v>0.04431597258068118</v>
      </c>
      <c r="H22" s="15">
        <f>AVERAGE(H11:H21)</f>
        <v>0.04717501927255503</v>
      </c>
      <c r="I22" s="15">
        <f>AVERAGE(I11:I21)</f>
        <v>0.04777777777777778</v>
      </c>
      <c r="J22" s="3"/>
      <c r="K22" s="3"/>
      <c r="L22" s="3"/>
      <c r="M22" s="3"/>
      <c r="P22" s="3"/>
      <c r="Q22" s="3"/>
      <c r="R22" s="3"/>
      <c r="S22" s="3"/>
      <c r="T22" s="3"/>
      <c r="U22" s="3"/>
      <c r="V22" s="3"/>
      <c r="W22" s="3"/>
      <c r="AA22" s="15">
        <f>AVERAGE(AA11:AA21)</f>
        <v>0.0748875</v>
      </c>
      <c r="AB22" s="15">
        <f>AVERAGE(AB11:AB21)</f>
        <v>0.054841481481481484</v>
      </c>
    </row>
    <row r="23" spans="1:23" ht="12.75">
      <c r="A23" s="19" t="s">
        <v>17</v>
      </c>
      <c r="B23" s="3"/>
      <c r="C23" s="3"/>
      <c r="D23" s="3"/>
      <c r="E23" s="15">
        <f>STDEV(E11:E21)</f>
        <v>0.007719527920770885</v>
      </c>
      <c r="F23" s="3"/>
      <c r="G23" s="15"/>
      <c r="H23" s="15"/>
      <c r="I23" s="15"/>
      <c r="J23" s="3"/>
      <c r="K23" s="3"/>
      <c r="L23" s="3"/>
      <c r="M23" s="3"/>
      <c r="P23" s="3"/>
      <c r="Q23" s="3"/>
      <c r="R23" s="3"/>
      <c r="S23" s="3"/>
      <c r="T23" s="3"/>
      <c r="U23" s="3"/>
      <c r="V23" s="3"/>
      <c r="W23" s="3"/>
    </row>
    <row r="24" spans="1:23" ht="12.75">
      <c r="A24" s="19" t="s">
        <v>6</v>
      </c>
      <c r="B24" s="3"/>
      <c r="C24" s="3"/>
      <c r="D24" s="3"/>
      <c r="E24" s="15">
        <f>MEDIAN(E11:E21)</f>
        <v>0.10289152392118592</v>
      </c>
      <c r="F24" s="3"/>
      <c r="G24" s="15"/>
      <c r="H24" s="15"/>
      <c r="I24" s="15"/>
      <c r="J24" s="3"/>
      <c r="K24" s="3"/>
      <c r="L24" s="3"/>
      <c r="M24" s="3"/>
      <c r="P24" s="3"/>
      <c r="Q24" s="3"/>
      <c r="R24" s="3"/>
      <c r="S24" s="3"/>
      <c r="T24" s="3"/>
      <c r="U24" s="3"/>
      <c r="V24" s="3"/>
      <c r="W24" s="3"/>
    </row>
    <row r="25" spans="1:23" ht="7.5" customHeight="1">
      <c r="A25" s="19"/>
      <c r="B25" s="3"/>
      <c r="C25" s="3"/>
      <c r="D25" s="3"/>
      <c r="E25" s="3"/>
      <c r="F25" s="3"/>
      <c r="G25" s="15"/>
      <c r="H25" s="3"/>
      <c r="I25" s="3"/>
      <c r="J25" s="15"/>
      <c r="K25" s="3"/>
      <c r="L25" s="3"/>
      <c r="M25" s="3"/>
      <c r="P25" s="3"/>
      <c r="Q25" s="3"/>
      <c r="R25" s="3"/>
      <c r="S25" s="3"/>
      <c r="T25" s="3"/>
      <c r="U25" s="3"/>
      <c r="V25" s="3"/>
      <c r="W25" s="3"/>
    </row>
    <row r="26" spans="1:23" ht="15.75">
      <c r="A26" s="20" t="s">
        <v>18</v>
      </c>
      <c r="B26" s="21">
        <f>E22</f>
        <v>0.10296528818808343</v>
      </c>
      <c r="C26" s="21"/>
      <c r="D26" s="21"/>
      <c r="E26" s="21"/>
      <c r="F26" s="22"/>
      <c r="G26" s="21"/>
      <c r="H26" s="3"/>
      <c r="I26" s="3"/>
      <c r="J26" s="15"/>
      <c r="K26" s="3"/>
      <c r="L26" s="3"/>
      <c r="M26" s="3"/>
      <c r="P26" s="3"/>
      <c r="Q26" s="3"/>
      <c r="R26" s="3"/>
      <c r="S26" s="3"/>
      <c r="T26" s="3"/>
      <c r="U26" s="3"/>
      <c r="V26" s="3"/>
      <c r="W26" s="3"/>
    </row>
    <row r="27" spans="1:23" ht="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P27" s="3"/>
      <c r="Q27" s="3"/>
      <c r="R27" s="3"/>
      <c r="S27" s="3"/>
      <c r="T27" s="3"/>
      <c r="U27" s="3"/>
      <c r="V27" s="3"/>
      <c r="W27" s="3"/>
    </row>
    <row r="28" spans="1:23" ht="12.75">
      <c r="A28" s="23" t="s">
        <v>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82" t="s">
        <v>72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8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2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P31" s="3"/>
      <c r="Q31" s="3"/>
      <c r="R31" s="3"/>
      <c r="S31" s="3"/>
      <c r="T31" s="3"/>
      <c r="U31" s="3"/>
      <c r="V31" s="3"/>
      <c r="W31" s="3"/>
    </row>
    <row r="32" spans="1:23" ht="15.75">
      <c r="A32" s="5" t="s">
        <v>48</v>
      </c>
      <c r="B32" s="3"/>
      <c r="C32" s="3"/>
      <c r="D32" s="3"/>
      <c r="E32" s="3"/>
      <c r="F32" s="3"/>
      <c r="G32" s="3"/>
      <c r="J32" s="25">
        <f>J6</f>
        <v>0.058</v>
      </c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3"/>
    </row>
    <row r="33" spans="1:23" ht="7.5" customHeigh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"/>
      <c r="O33" s="7"/>
      <c r="P33" s="7"/>
      <c r="Q33" s="7"/>
      <c r="R33" s="7"/>
      <c r="S33" s="7"/>
      <c r="T33" s="7"/>
      <c r="U33" s="7"/>
      <c r="V33" s="7"/>
      <c r="W33" s="3"/>
    </row>
    <row r="34" spans="1:23" ht="12.75">
      <c r="A34" s="3"/>
      <c r="B34" s="8"/>
      <c r="C34" s="8"/>
      <c r="D34" s="8"/>
      <c r="E34" s="9" t="s">
        <v>7</v>
      </c>
      <c r="F34" s="8"/>
      <c r="G34" s="9" t="s">
        <v>9</v>
      </c>
      <c r="H34" s="9" t="s">
        <v>10</v>
      </c>
      <c r="I34" s="9" t="s">
        <v>10</v>
      </c>
      <c r="J34" s="9" t="s">
        <v>14</v>
      </c>
      <c r="K34" s="8"/>
      <c r="L34" s="9"/>
      <c r="M34" s="8"/>
      <c r="N34" s="8"/>
      <c r="O34" s="8"/>
      <c r="P34" s="8"/>
      <c r="Q34" s="8"/>
      <c r="R34" s="8"/>
      <c r="S34" s="8"/>
      <c r="T34" s="8"/>
      <c r="U34" s="8"/>
      <c r="V34" s="8"/>
      <c r="W34" s="3"/>
    </row>
    <row r="35" spans="1:23" ht="12.75">
      <c r="A35" s="3"/>
      <c r="B35" s="24" t="str">
        <f>B9</f>
        <v>30-day</v>
      </c>
      <c r="C35" s="9" t="s">
        <v>19</v>
      </c>
      <c r="D35" s="9"/>
      <c r="E35" s="9" t="s">
        <v>20</v>
      </c>
      <c r="F35" s="9" t="s">
        <v>11</v>
      </c>
      <c r="G35" s="9" t="s">
        <v>12</v>
      </c>
      <c r="H35" s="9" t="s">
        <v>21</v>
      </c>
      <c r="I35" s="9" t="s">
        <v>22</v>
      </c>
      <c r="J35" s="9" t="s">
        <v>26</v>
      </c>
      <c r="K35" s="9" t="s">
        <v>14</v>
      </c>
      <c r="L35" s="9" t="s">
        <v>14</v>
      </c>
      <c r="M35" s="9" t="s">
        <v>14</v>
      </c>
      <c r="N35" s="9" t="s">
        <v>14</v>
      </c>
      <c r="O35" s="9" t="s">
        <v>23</v>
      </c>
      <c r="P35" s="9" t="s">
        <v>23</v>
      </c>
      <c r="Q35" s="9"/>
      <c r="R35" s="9"/>
      <c r="S35" s="9"/>
      <c r="T35" s="9"/>
      <c r="U35" s="9"/>
      <c r="V35" s="9"/>
      <c r="W35" s="3"/>
    </row>
    <row r="36" spans="1:25" ht="12.75">
      <c r="A36" s="7" t="s">
        <v>0</v>
      </c>
      <c r="B36" s="9" t="s">
        <v>13</v>
      </c>
      <c r="C36" s="9" t="s">
        <v>15</v>
      </c>
      <c r="D36" s="9" t="s">
        <v>24</v>
      </c>
      <c r="E36" s="9" t="s">
        <v>25</v>
      </c>
      <c r="F36" s="9" t="s">
        <v>14</v>
      </c>
      <c r="G36" s="9" t="s">
        <v>15</v>
      </c>
      <c r="H36" s="9" t="s">
        <v>16</v>
      </c>
      <c r="I36" s="9" t="s">
        <v>44</v>
      </c>
      <c r="J36" s="9" t="s">
        <v>45</v>
      </c>
      <c r="K36" s="9" t="s">
        <v>27</v>
      </c>
      <c r="L36" s="9" t="s">
        <v>28</v>
      </c>
      <c r="M36" s="9" t="s">
        <v>29</v>
      </c>
      <c r="N36" s="9" t="s">
        <v>30</v>
      </c>
      <c r="O36" s="9" t="s">
        <v>14</v>
      </c>
      <c r="P36" s="9" t="s">
        <v>8</v>
      </c>
      <c r="Q36" s="9"/>
      <c r="R36" s="9"/>
      <c r="S36" s="9"/>
      <c r="T36" s="9"/>
      <c r="U36" s="9"/>
      <c r="V36" s="9"/>
      <c r="W36" s="11" t="s">
        <v>36</v>
      </c>
      <c r="X36" s="12" t="s">
        <v>37</v>
      </c>
      <c r="Y36" s="12" t="s">
        <v>38</v>
      </c>
    </row>
    <row r="37" spans="1:23" ht="7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4"/>
      <c r="T37" s="14"/>
      <c r="U37" s="14"/>
      <c r="V37" s="14"/>
      <c r="W37" s="3"/>
    </row>
    <row r="38" spans="1:25" ht="12.75">
      <c r="A38" s="3" t="str">
        <f aca="true" t="shared" si="10" ref="A38:B46">A12</f>
        <v>Alliant Energy</v>
      </c>
      <c r="B38" s="14">
        <f t="shared" si="10"/>
        <v>38.811666666666675</v>
      </c>
      <c r="C38" s="3">
        <f>(J38/(1+$E38)^0.5+K38/(1+$E38)^1.5+L38/(1+$E38)^2.5+M38/(1+$E38)^3.5+N38/(1+$E38)^4.5+P38/(1+$E38)^5)</f>
        <v>38.810060416488504</v>
      </c>
      <c r="D38" s="3">
        <f>B38-C38</f>
        <v>0.0016062501781703986</v>
      </c>
      <c r="E38" s="15">
        <v>0.10506259505715929</v>
      </c>
      <c r="F38" s="14">
        <f>F12</f>
        <v>1.72</v>
      </c>
      <c r="G38" s="16">
        <f>F38/B38</f>
        <v>0.04431657147764846</v>
      </c>
      <c r="H38" s="16">
        <f aca="true" t="shared" si="11" ref="H38:I46">H12</f>
        <v>0.06173482798914174</v>
      </c>
      <c r="I38" s="16">
        <f t="shared" si="11"/>
        <v>0.05</v>
      </c>
      <c r="J38" s="3">
        <f>F38*(1+AA12*0.25+$H38*0.75)</f>
        <v>1.8431969281059928</v>
      </c>
      <c r="K38" s="3">
        <f aca="true" t="shared" si="12" ref="K38:N46">J38*(1+$I38*0.25+$H38*0.75)</f>
        <v>1.951578973687371</v>
      </c>
      <c r="L38" s="3">
        <f t="shared" si="12"/>
        <v>2.0663340050443244</v>
      </c>
      <c r="M38" s="3">
        <f t="shared" si="12"/>
        <v>2.1878367608845224</v>
      </c>
      <c r="N38" s="3">
        <f t="shared" si="12"/>
        <v>2.316484014971724</v>
      </c>
      <c r="O38" s="3">
        <f>N38*(1+$I38*0.25/2+$H38*0.75/2)</f>
        <v>2.3845899433917506</v>
      </c>
      <c r="P38" s="3">
        <f aca="true" t="shared" si="13" ref="P38:P46">O38/(E38-$J$32)</f>
        <v>50.66847547389975</v>
      </c>
      <c r="Q38" s="3"/>
      <c r="R38" s="3"/>
      <c r="S38" s="3"/>
      <c r="T38" s="3"/>
      <c r="U38" s="3"/>
      <c r="V38" s="3"/>
      <c r="W38" s="3">
        <f>J38/(1+E38)^0.5+K38/(1+E38)^1.5+L38/(1+E38)^2.5+M38/(1+E38)^3.5+N38/(1+E38)^4.5+P38/(1+E38)^5</f>
        <v>38.810060416488504</v>
      </c>
      <c r="X38" s="17">
        <f>W38-B38</f>
        <v>-0.0016062501781703986</v>
      </c>
      <c r="Y38" s="15">
        <f>ROUND(E38,4)</f>
        <v>0.1051</v>
      </c>
    </row>
    <row r="39" spans="1:25" ht="12.75">
      <c r="A39" s="3" t="str">
        <f t="shared" si="10"/>
        <v>DTE Energy Co.</v>
      </c>
      <c r="B39" s="14">
        <f t="shared" si="10"/>
        <v>48.47466666666667</v>
      </c>
      <c r="C39" s="3">
        <f aca="true" t="shared" si="14" ref="C39:C46">(J39/(1+$E39)^0.5+K39/(1+$E39)^1.5+L39/(1+$E39)^2.5+M39/(1+$E39)^3.5+N39/(1+$E39)^4.5+P39/(1+$E39)^5)</f>
        <v>48.46994795354226</v>
      </c>
      <c r="D39" s="3">
        <f aca="true" t="shared" si="15" ref="D39:D46">B39-C39</f>
        <v>0.004718713124411522</v>
      </c>
      <c r="E39" s="15">
        <v>0.10421230783242805</v>
      </c>
      <c r="F39" s="14">
        <f aca="true" t="shared" si="16" ref="F39:F46">F13</f>
        <v>2.3</v>
      </c>
      <c r="G39" s="16">
        <f aca="true" t="shared" si="17" ref="G39:G46">F39/B39</f>
        <v>0.04744746396743315</v>
      </c>
      <c r="H39" s="16">
        <f t="shared" si="11"/>
        <v>0.04508518641612206</v>
      </c>
      <c r="I39" s="16">
        <f t="shared" si="11"/>
        <v>0.035</v>
      </c>
      <c r="J39" s="3">
        <f>F39*(1+AA13*0.25+$H39*0.75)</f>
        <v>2.40416444656781</v>
      </c>
      <c r="K39" s="3">
        <f t="shared" si="12"/>
        <v>2.5064950371616703</v>
      </c>
      <c r="L39" s="3">
        <f t="shared" si="12"/>
        <v>2.6131812157379737</v>
      </c>
      <c r="M39" s="3">
        <f t="shared" si="12"/>
        <v>2.724408373063672</v>
      </c>
      <c r="N39" s="3">
        <f t="shared" si="12"/>
        <v>2.8403697908578933</v>
      </c>
      <c r="O39" s="3">
        <f aca="true" t="shared" si="18" ref="O39:O46">N39*(1+$I39*0.25/2+$H39*0.75/2)</f>
        <v>2.9008183842597277</v>
      </c>
      <c r="P39" s="3">
        <f t="shared" si="13"/>
        <v>62.77155416644587</v>
      </c>
      <c r="Q39" s="3"/>
      <c r="R39" s="3"/>
      <c r="S39" s="3"/>
      <c r="T39" s="3"/>
      <c r="U39" s="3"/>
      <c r="V39" s="3"/>
      <c r="W39" s="3">
        <f aca="true" t="shared" si="19" ref="W39:W46">J39/(1+E39)^0.5+K39/(1+E39)^1.5+L39/(1+E39)^2.5+M39/(1+E39)^3.5+N39/(1+E39)^4.5+P39/(1+E39)^5</f>
        <v>48.46994795354226</v>
      </c>
      <c r="X39" s="17">
        <f aca="true" t="shared" si="20" ref="X39:X46">W39-B39</f>
        <v>-0.004718713124411522</v>
      </c>
      <c r="Y39" s="15">
        <f aca="true" t="shared" si="21" ref="Y39:Y46">ROUND(E39,4)</f>
        <v>0.1042</v>
      </c>
    </row>
    <row r="40" spans="1:25" ht="12.75">
      <c r="A40" s="3" t="str">
        <f t="shared" si="10"/>
        <v>Edison International</v>
      </c>
      <c r="B40" s="14">
        <f t="shared" si="10"/>
        <v>36.94866666666667</v>
      </c>
      <c r="C40" s="3">
        <f t="shared" si="14"/>
        <v>36.94998345917337</v>
      </c>
      <c r="D40" s="3">
        <f t="shared" si="15"/>
        <v>-0.0013167925066994712</v>
      </c>
      <c r="E40" s="15">
        <v>0.08784713887472408</v>
      </c>
      <c r="F40" s="14">
        <f t="shared" si="16"/>
        <v>1.29</v>
      </c>
      <c r="G40" s="16">
        <f t="shared" si="17"/>
        <v>0.03491330314129513</v>
      </c>
      <c r="H40" s="16">
        <f t="shared" si="11"/>
        <v>0.01763093189712592</v>
      </c>
      <c r="I40" s="16">
        <f t="shared" si="11"/>
        <v>0.025</v>
      </c>
      <c r="J40" s="3">
        <f>F40*(1+AA14*0.25+$H40*0.75)</f>
        <v>1.3096056766104693</v>
      </c>
      <c r="K40" s="3">
        <f t="shared" si="12"/>
        <v>1.3351078884615915</v>
      </c>
      <c r="L40" s="3">
        <f t="shared" si="12"/>
        <v>1.3611067099570628</v>
      </c>
      <c r="M40" s="3">
        <f t="shared" si="12"/>
        <v>1.3876118116752751</v>
      </c>
      <c r="N40" s="3">
        <f t="shared" si="12"/>
        <v>1.4146330525117163</v>
      </c>
      <c r="O40" s="3">
        <f t="shared" si="18"/>
        <v>1.428406767928912</v>
      </c>
      <c r="P40" s="3">
        <f t="shared" si="13"/>
        <v>47.85741018341133</v>
      </c>
      <c r="Q40" s="3"/>
      <c r="R40" s="3"/>
      <c r="S40" s="3"/>
      <c r="T40" s="3"/>
      <c r="U40" s="3"/>
      <c r="V40" s="3"/>
      <c r="W40" s="3">
        <f t="shared" si="19"/>
        <v>36.94998345917337</v>
      </c>
      <c r="X40" s="17">
        <f t="shared" si="20"/>
        <v>0.0013167925066994712</v>
      </c>
      <c r="Y40" s="15">
        <f t="shared" si="21"/>
        <v>0.0878</v>
      </c>
    </row>
    <row r="41" spans="1:25" ht="12.75">
      <c r="A41" s="3" t="str">
        <f t="shared" si="10"/>
        <v>Entergy</v>
      </c>
      <c r="B41" s="14">
        <f t="shared" si="10"/>
        <v>66.88766666666668</v>
      </c>
      <c r="C41" s="3">
        <f t="shared" si="14"/>
        <v>66.89000668528837</v>
      </c>
      <c r="D41" s="3">
        <f t="shared" si="15"/>
        <v>-0.0023400186216946395</v>
      </c>
      <c r="E41" s="15">
        <v>0.10105743944082878</v>
      </c>
      <c r="F41" s="14">
        <f t="shared" si="16"/>
        <v>3.34</v>
      </c>
      <c r="G41" s="16">
        <f t="shared" si="17"/>
        <v>0.04993446724109576</v>
      </c>
      <c r="H41" s="16">
        <f t="shared" si="11"/>
        <v>0.013426887263255957</v>
      </c>
      <c r="I41" s="16">
        <f t="shared" si="11"/>
        <v>0.03</v>
      </c>
      <c r="J41" s="3">
        <f>F41*(1+AA15*0.25+$H41*0.75)</f>
        <v>3.4097063525944558</v>
      </c>
      <c r="K41" s="3">
        <f t="shared" si="12"/>
        <v>3.4696154573367344</v>
      </c>
      <c r="L41" s="3">
        <f t="shared" si="12"/>
        <v>3.530577174961143</v>
      </c>
      <c r="M41" s="3">
        <f t="shared" si="12"/>
        <v>3.592610000050173</v>
      </c>
      <c r="N41" s="3">
        <f t="shared" si="12"/>
        <v>3.655732752139189</v>
      </c>
      <c r="O41" s="3">
        <f t="shared" si="18"/>
        <v>3.6878486667825476</v>
      </c>
      <c r="P41" s="3">
        <f t="shared" si="13"/>
        <v>85.64951178414904</v>
      </c>
      <c r="Q41" s="3"/>
      <c r="R41" s="3"/>
      <c r="S41" s="3"/>
      <c r="T41" s="3"/>
      <c r="U41" s="3"/>
      <c r="V41" s="3"/>
      <c r="W41" s="3">
        <f t="shared" si="19"/>
        <v>66.89000668528837</v>
      </c>
      <c r="X41" s="17">
        <f t="shared" si="20"/>
        <v>0.0023400186216946395</v>
      </c>
      <c r="Y41" s="15">
        <f t="shared" si="21"/>
        <v>0.1011</v>
      </c>
    </row>
    <row r="42" spans="1:25" ht="12.75">
      <c r="A42" s="3" t="str">
        <f t="shared" si="10"/>
        <v>PG&amp;E</v>
      </c>
      <c r="B42" s="14">
        <f t="shared" si="10"/>
        <v>43.95933333333333</v>
      </c>
      <c r="C42" s="3">
        <f t="shared" si="14"/>
        <v>43.95949158958487</v>
      </c>
      <c r="D42" s="3">
        <f t="shared" si="15"/>
        <v>-0.00015825625153809142</v>
      </c>
      <c r="E42" s="15">
        <v>0.10400083653068729</v>
      </c>
      <c r="F42" s="14">
        <f t="shared" si="16"/>
        <v>1.92</v>
      </c>
      <c r="G42" s="16">
        <f t="shared" si="17"/>
        <v>0.04367673152459091</v>
      </c>
      <c r="H42" s="16">
        <f t="shared" si="11"/>
        <v>0.061402251331517006</v>
      </c>
      <c r="I42" s="16">
        <f t="shared" si="11"/>
        <v>0.06</v>
      </c>
      <c r="J42" s="3">
        <f>F42*(1+AA16*0.25+$H42*0.75)</f>
        <v>2.0242592419173846</v>
      </c>
      <c r="K42" s="3">
        <f t="shared" si="12"/>
        <v>2.147843686595413</v>
      </c>
      <c r="L42" s="3">
        <f t="shared" si="12"/>
        <v>2.2789731702932015</v>
      </c>
      <c r="M42" s="3">
        <f t="shared" si="12"/>
        <v>2.4181083303826947</v>
      </c>
      <c r="N42" s="3">
        <f t="shared" si="12"/>
        <v>2.5657379269251797</v>
      </c>
      <c r="O42" s="3">
        <f t="shared" si="18"/>
        <v>2.644059243267068</v>
      </c>
      <c r="P42" s="3">
        <f t="shared" si="13"/>
        <v>57.47850349423992</v>
      </c>
      <c r="Q42" s="3"/>
      <c r="R42" s="3"/>
      <c r="S42" s="3"/>
      <c r="T42" s="3"/>
      <c r="U42" s="3"/>
      <c r="V42" s="3"/>
      <c r="W42" s="3">
        <f t="shared" si="19"/>
        <v>43.95949158958487</v>
      </c>
      <c r="X42" s="17">
        <f t="shared" si="20"/>
        <v>0.00015825625153809142</v>
      </c>
      <c r="Y42" s="15">
        <f t="shared" si="21"/>
        <v>0.104</v>
      </c>
    </row>
    <row r="43" spans="1:25" ht="12.75">
      <c r="A43" s="3" t="str">
        <f t="shared" si="10"/>
        <v>SCANA Corp.</v>
      </c>
      <c r="B43" s="14">
        <f t="shared" si="10"/>
        <v>39.102</v>
      </c>
      <c r="C43" s="3">
        <f t="shared" si="14"/>
        <v>39.09905911281222</v>
      </c>
      <c r="D43" s="3">
        <f t="shared" si="15"/>
        <v>0.0029408871877762977</v>
      </c>
      <c r="E43" s="15">
        <v>0.1047833199866236</v>
      </c>
      <c r="F43" s="14">
        <f t="shared" si="16"/>
        <v>1.94</v>
      </c>
      <c r="G43" s="16">
        <f t="shared" si="17"/>
        <v>0.04961383049460386</v>
      </c>
      <c r="H43" s="16">
        <f t="shared" si="11"/>
        <v>0.041665152373878446</v>
      </c>
      <c r="I43" s="16">
        <f t="shared" si="11"/>
        <v>0.02</v>
      </c>
      <c r="J43" s="3">
        <f>F43*(1+I43*0.25+$H43*0.75)</f>
        <v>2.0103227967039925</v>
      </c>
      <c r="K43" s="3">
        <f t="shared" si="12"/>
        <v>2.083194714921527</v>
      </c>
      <c r="L43" s="3">
        <f t="shared" si="12"/>
        <v>2.158708157412382</v>
      </c>
      <c r="M43" s="3">
        <f t="shared" si="12"/>
        <v>2.2369588764314345</v>
      </c>
      <c r="N43" s="3">
        <f t="shared" si="12"/>
        <v>2.318046095144053</v>
      </c>
      <c r="O43" s="3">
        <f t="shared" si="18"/>
        <v>2.360059364293357</v>
      </c>
      <c r="P43" s="3">
        <f t="shared" si="13"/>
        <v>50.44659859471604</v>
      </c>
      <c r="Q43" s="3"/>
      <c r="R43" s="3"/>
      <c r="S43" s="3"/>
      <c r="T43" s="3"/>
      <c r="U43" s="3"/>
      <c r="V43" s="3"/>
      <c r="W43" s="3">
        <f t="shared" si="19"/>
        <v>39.09905911281222</v>
      </c>
      <c r="X43" s="17">
        <f t="shared" si="20"/>
        <v>-0.0029408871877762977</v>
      </c>
      <c r="Y43" s="15">
        <f t="shared" si="21"/>
        <v>0.1048</v>
      </c>
    </row>
    <row r="44" spans="1:25" ht="12.75">
      <c r="A44" s="3" t="str">
        <f t="shared" si="10"/>
        <v>Southern Company</v>
      </c>
      <c r="B44" s="14">
        <f t="shared" si="10"/>
        <v>37.865</v>
      </c>
      <c r="C44" s="3">
        <f t="shared" si="14"/>
        <v>37.87002196434403</v>
      </c>
      <c r="D44" s="3">
        <f t="shared" si="15"/>
        <v>-0.00502196434403146</v>
      </c>
      <c r="E44" s="15">
        <v>0.10811449640481129</v>
      </c>
      <c r="F44" s="14">
        <f t="shared" si="16"/>
        <v>1.9</v>
      </c>
      <c r="G44" s="16">
        <f t="shared" si="17"/>
        <v>0.05017826488841938</v>
      </c>
      <c r="H44" s="16">
        <f t="shared" si="11"/>
        <v>0.05156434242420027</v>
      </c>
      <c r="I44" s="16">
        <f t="shared" si="11"/>
        <v>0.04</v>
      </c>
      <c r="J44" s="3">
        <f>F44*(1+AA18*0.25+$H44*0.75)</f>
        <v>1.9866841879544854</v>
      </c>
      <c r="K44" s="3">
        <f t="shared" si="12"/>
        <v>2.0833825776513524</v>
      </c>
      <c r="L44" s="3">
        <f t="shared" si="12"/>
        <v>2.1847875929038367</v>
      </c>
      <c r="M44" s="3">
        <f t="shared" si="12"/>
        <v>2.2911283205063535</v>
      </c>
      <c r="N44" s="3">
        <f t="shared" si="12"/>
        <v>2.4026449976536965</v>
      </c>
      <c r="O44" s="3">
        <f t="shared" si="18"/>
        <v>2.4611172761605173</v>
      </c>
      <c r="P44" s="3">
        <f t="shared" si="13"/>
        <v>49.10988741222262</v>
      </c>
      <c r="Q44" s="3"/>
      <c r="R44" s="3"/>
      <c r="S44" s="3"/>
      <c r="T44" s="3"/>
      <c r="U44" s="3"/>
      <c r="V44" s="3"/>
      <c r="W44" s="3">
        <f t="shared" si="19"/>
        <v>37.87002196434403</v>
      </c>
      <c r="X44" s="17">
        <f t="shared" si="20"/>
        <v>0.00502196434403146</v>
      </c>
      <c r="Y44" s="15">
        <f t="shared" si="21"/>
        <v>0.1081</v>
      </c>
    </row>
    <row r="45" spans="1:25" ht="12.75">
      <c r="A45" s="3" t="str">
        <f t="shared" si="10"/>
        <v>Wisconsin Energy</v>
      </c>
      <c r="B45" s="14">
        <f t="shared" si="10"/>
        <v>29.96500000000001</v>
      </c>
      <c r="C45" s="3">
        <f t="shared" si="14"/>
        <v>29.969938860452494</v>
      </c>
      <c r="D45" s="3">
        <f t="shared" si="15"/>
        <v>-0.0049388604524835955</v>
      </c>
      <c r="E45" s="15">
        <v>0.10300795812094557</v>
      </c>
      <c r="F45" s="14">
        <f t="shared" si="16"/>
        <v>1.06</v>
      </c>
      <c r="G45" s="16">
        <f t="shared" si="17"/>
        <v>0.035374603704321696</v>
      </c>
      <c r="H45" s="16">
        <f t="shared" si="11"/>
        <v>0.07814450226526866</v>
      </c>
      <c r="I45" s="16">
        <f t="shared" si="11"/>
        <v>0.135</v>
      </c>
      <c r="J45" s="3">
        <f>F45*(1+AA19*0.25+$H45*0.75)</f>
        <v>1.2016248793008888</v>
      </c>
      <c r="K45" s="3">
        <f t="shared" si="12"/>
        <v>1.3126050025541924</v>
      </c>
      <c r="L45" s="3">
        <f t="shared" si="12"/>
        <v>1.4338350698370208</v>
      </c>
      <c r="M45" s="3">
        <f t="shared" si="12"/>
        <v>1.5662617493411959</v>
      </c>
      <c r="N45" s="3">
        <f t="shared" si="12"/>
        <v>1.7109191419960088</v>
      </c>
      <c r="O45" s="3">
        <f t="shared" si="18"/>
        <v>1.789927999304966</v>
      </c>
      <c r="P45" s="3">
        <f t="shared" si="13"/>
        <v>39.76914470314481</v>
      </c>
      <c r="Q45" s="3"/>
      <c r="R45" s="3"/>
      <c r="S45" s="3"/>
      <c r="T45" s="3"/>
      <c r="U45" s="3"/>
      <c r="V45" s="3"/>
      <c r="W45" s="3">
        <f t="shared" si="19"/>
        <v>29.969938860452494</v>
      </c>
      <c r="X45" s="17">
        <f t="shared" si="20"/>
        <v>0.0049388604524835955</v>
      </c>
      <c r="Y45" s="15">
        <f t="shared" si="21"/>
        <v>0.103</v>
      </c>
    </row>
    <row r="46" spans="1:25" ht="12.75">
      <c r="A46" s="3" t="str">
        <f t="shared" si="10"/>
        <v>Xcel Energy</v>
      </c>
      <c r="B46" s="14">
        <f t="shared" si="10"/>
        <v>23.739000000000008</v>
      </c>
      <c r="C46" s="3">
        <f t="shared" si="14"/>
        <v>23.73928298119307</v>
      </c>
      <c r="D46" s="3">
        <f t="shared" si="15"/>
        <v>-0.0002829811930631365</v>
      </c>
      <c r="E46" s="15">
        <v>0.10148645578095243</v>
      </c>
      <c r="F46" s="14">
        <f t="shared" si="16"/>
        <v>1.03</v>
      </c>
      <c r="G46" s="16">
        <f t="shared" si="17"/>
        <v>0.04338851678672226</v>
      </c>
      <c r="H46" s="16">
        <f t="shared" si="11"/>
        <v>0.05392109149248526</v>
      </c>
      <c r="I46" s="16">
        <f t="shared" si="11"/>
        <v>0.035</v>
      </c>
      <c r="J46" s="3">
        <f>F46*(1+AA20*0.25+$H46*0.75)</f>
        <v>1.0819540431779449</v>
      </c>
      <c r="K46" s="3">
        <f t="shared" si="12"/>
        <v>1.1351762482703986</v>
      </c>
      <c r="L46" s="3">
        <f t="shared" si="12"/>
        <v>1.1910164972000779</v>
      </c>
      <c r="M46" s="3">
        <f t="shared" si="12"/>
        <v>1.249603573686517</v>
      </c>
      <c r="N46" s="3">
        <f t="shared" si="12"/>
        <v>1.3110725964258394</v>
      </c>
      <c r="O46" s="3">
        <f t="shared" si="18"/>
        <v>1.3433189635696405</v>
      </c>
      <c r="P46" s="3">
        <f t="shared" si="13"/>
        <v>30.89051382656091</v>
      </c>
      <c r="Q46" s="3"/>
      <c r="R46" s="3"/>
      <c r="S46" s="3"/>
      <c r="T46" s="3"/>
      <c r="U46" s="3"/>
      <c r="V46" s="3"/>
      <c r="W46" s="3">
        <f t="shared" si="19"/>
        <v>23.73928298119307</v>
      </c>
      <c r="X46" s="17">
        <f t="shared" si="20"/>
        <v>0.0002829811930631365</v>
      </c>
      <c r="Y46" s="15">
        <f t="shared" si="21"/>
        <v>0.1015</v>
      </c>
    </row>
    <row r="47" spans="1:23" ht="7.5" customHeight="1">
      <c r="A47" s="3"/>
      <c r="B47" s="3"/>
      <c r="C47" s="3"/>
      <c r="D47" s="3"/>
      <c r="E47" s="15"/>
      <c r="F47" s="3"/>
      <c r="G47" s="13"/>
      <c r="H47" s="18"/>
      <c r="I47" s="13"/>
      <c r="J47" s="3"/>
      <c r="K47" s="3"/>
      <c r="L47" s="3"/>
      <c r="M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19" t="s">
        <v>5</v>
      </c>
      <c r="B48" s="3"/>
      <c r="C48" s="3"/>
      <c r="D48" s="3">
        <f>SUM(D38:D47)</f>
        <v>-0.004793022879152176</v>
      </c>
      <c r="E48" s="15">
        <f>AVERAGE(E37:E47)</f>
        <v>0.10217472755879559</v>
      </c>
      <c r="F48" s="3">
        <f>AVERAGE(F37:F47)</f>
        <v>1.8333333333333333</v>
      </c>
      <c r="G48" s="15">
        <f>AVERAGE(G37:G47)</f>
        <v>0.04431597258068118</v>
      </c>
      <c r="H48" s="15">
        <f>AVERAGE(H37:H47)</f>
        <v>0.04717501927255503</v>
      </c>
      <c r="I48" s="15">
        <f>AVERAGE(I37:I47)</f>
        <v>0.04777777777777778</v>
      </c>
      <c r="J48" s="3"/>
      <c r="K48" s="3"/>
      <c r="L48" s="3"/>
      <c r="M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19" t="s">
        <v>17</v>
      </c>
      <c r="B49" s="3"/>
      <c r="C49" s="3"/>
      <c r="D49" s="3"/>
      <c r="E49" s="15">
        <f>STDEV(E37:E47)</f>
        <v>0.005762029979571058</v>
      </c>
      <c r="F49" s="3"/>
      <c r="G49" s="15"/>
      <c r="H49" s="15"/>
      <c r="I49" s="15"/>
      <c r="J49" s="3"/>
      <c r="K49" s="3"/>
      <c r="L49" s="3"/>
      <c r="M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19" t="s">
        <v>6</v>
      </c>
      <c r="B50" s="3"/>
      <c r="C50" s="3"/>
      <c r="D50" s="3"/>
      <c r="E50" s="15">
        <f>MEDIAN(E37:E47)</f>
        <v>0.10400083653068729</v>
      </c>
      <c r="F50" s="3"/>
      <c r="G50" s="15"/>
      <c r="H50" s="15"/>
      <c r="I50" s="15"/>
      <c r="J50" s="3"/>
      <c r="K50" s="3"/>
      <c r="L50" s="3"/>
      <c r="M50" s="3"/>
      <c r="P50" s="3"/>
      <c r="Q50" s="3"/>
      <c r="R50" s="3"/>
      <c r="S50" s="3"/>
      <c r="T50" s="3"/>
      <c r="U50" s="3"/>
      <c r="V50" s="3"/>
      <c r="W50" s="3"/>
    </row>
    <row r="51" spans="1:23" ht="7.5" customHeight="1">
      <c r="A51" s="19"/>
      <c r="B51" s="3"/>
      <c r="C51" s="3"/>
      <c r="D51" s="3"/>
      <c r="E51" s="3"/>
      <c r="F51" s="3"/>
      <c r="G51" s="15"/>
      <c r="H51" s="3"/>
      <c r="I51" s="3"/>
      <c r="J51" s="15"/>
      <c r="K51" s="3"/>
      <c r="L51" s="3"/>
      <c r="M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20" t="s">
        <v>18</v>
      </c>
      <c r="B52" s="21">
        <f>E48</f>
        <v>0.10217472755879559</v>
      </c>
      <c r="C52" s="21"/>
      <c r="D52" s="21"/>
      <c r="E52" s="21"/>
      <c r="F52" s="22"/>
      <c r="G52" s="21"/>
      <c r="H52" s="3"/>
      <c r="I52" s="3"/>
      <c r="J52" s="15"/>
      <c r="K52" s="3"/>
      <c r="L52" s="3"/>
      <c r="M52" s="3"/>
      <c r="P52" s="3"/>
      <c r="Q52" s="3"/>
      <c r="R52" s="3"/>
      <c r="S52" s="3"/>
      <c r="T52" s="3"/>
      <c r="U52" s="3"/>
      <c r="V52" s="3"/>
      <c r="W52" s="3"/>
    </row>
    <row r="53" spans="1:23" ht="7.5" customHeight="1">
      <c r="A53" s="2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23" t="str">
        <f>A28</f>
        <v>Note: All data from DPU Exhibit 4.9, except Terminal Value and Estimated Cost of Equity columns which are based on revised second-stage long-term growth rate of 5.80%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82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2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2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P57" s="3"/>
      <c r="Q57" s="3"/>
      <c r="R57" s="3"/>
      <c r="S57" s="3"/>
      <c r="T57" s="3"/>
      <c r="U57" s="3"/>
      <c r="V57" s="3"/>
      <c r="W57" s="3"/>
    </row>
    <row r="58" spans="1:23" ht="15.75">
      <c r="A58" s="5" t="s">
        <v>49</v>
      </c>
      <c r="B58" s="3"/>
      <c r="C58" s="3"/>
      <c r="D58" s="3"/>
      <c r="G58" s="3"/>
      <c r="I58" s="3"/>
      <c r="J58" s="25">
        <f>J6</f>
        <v>0.058</v>
      </c>
      <c r="K58" s="3"/>
      <c r="L58" s="3"/>
      <c r="M58" s="3"/>
      <c r="N58" s="7"/>
      <c r="O58" s="7"/>
      <c r="P58" s="7"/>
      <c r="Q58" s="7"/>
      <c r="R58" s="7"/>
      <c r="S58" s="7"/>
      <c r="T58" s="7"/>
      <c r="U58" s="7"/>
      <c r="V58" s="7"/>
      <c r="W58" s="3"/>
    </row>
    <row r="59" spans="1:23" ht="15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7"/>
      <c r="O59" s="7"/>
      <c r="P59" s="7"/>
      <c r="Q59" s="7"/>
      <c r="R59" s="7"/>
      <c r="S59" s="7"/>
      <c r="T59" s="7"/>
      <c r="U59" s="7"/>
      <c r="V59" s="7"/>
      <c r="W59" s="3"/>
    </row>
    <row r="60" spans="1:23" ht="12.75">
      <c r="A60" s="3"/>
      <c r="B60" s="8"/>
      <c r="C60" s="8"/>
      <c r="D60" s="8"/>
      <c r="E60" s="9" t="s">
        <v>7</v>
      </c>
      <c r="F60" s="8"/>
      <c r="G60" s="9" t="s">
        <v>9</v>
      </c>
      <c r="H60" s="9" t="s">
        <v>10</v>
      </c>
      <c r="I60" s="9" t="s">
        <v>10</v>
      </c>
      <c r="J60" s="8"/>
      <c r="K60" s="8"/>
      <c r="L60" s="9"/>
      <c r="M60" s="8"/>
      <c r="N60" s="8"/>
      <c r="O60" s="8"/>
      <c r="P60" s="8"/>
      <c r="Q60" s="8"/>
      <c r="R60" s="8"/>
      <c r="S60" s="8"/>
      <c r="T60" s="8"/>
      <c r="U60" s="8"/>
      <c r="V60" s="8"/>
      <c r="W60" s="3"/>
    </row>
    <row r="61" spans="1:23" ht="12.75">
      <c r="A61" s="3"/>
      <c r="B61" s="24" t="str">
        <f>B9</f>
        <v>30-day</v>
      </c>
      <c r="C61" s="9" t="s">
        <v>19</v>
      </c>
      <c r="D61" s="9"/>
      <c r="E61" s="9" t="s">
        <v>20</v>
      </c>
      <c r="F61" s="9" t="s">
        <v>11</v>
      </c>
      <c r="G61" s="9" t="s">
        <v>12</v>
      </c>
      <c r="H61" s="9" t="s">
        <v>21</v>
      </c>
      <c r="I61" s="9" t="s">
        <v>22</v>
      </c>
      <c r="J61" s="9" t="s">
        <v>14</v>
      </c>
      <c r="K61" s="9" t="s">
        <v>14</v>
      </c>
      <c r="L61" s="9" t="s">
        <v>14</v>
      </c>
      <c r="M61" s="9" t="s">
        <v>14</v>
      </c>
      <c r="N61" s="9" t="s">
        <v>14</v>
      </c>
      <c r="O61" s="9" t="s">
        <v>23</v>
      </c>
      <c r="P61" s="9" t="s">
        <v>23</v>
      </c>
      <c r="Q61" s="9"/>
      <c r="R61" s="9"/>
      <c r="S61" s="9"/>
      <c r="T61" s="9"/>
      <c r="U61" s="9"/>
      <c r="V61" s="9"/>
      <c r="W61" s="3"/>
    </row>
    <row r="62" spans="1:25" ht="12.75">
      <c r="A62" s="7" t="s">
        <v>0</v>
      </c>
      <c r="B62" s="9" t="s">
        <v>13</v>
      </c>
      <c r="C62" s="9" t="s">
        <v>15</v>
      </c>
      <c r="D62" s="9" t="s">
        <v>24</v>
      </c>
      <c r="E62" s="9" t="s">
        <v>25</v>
      </c>
      <c r="F62" s="9" t="s">
        <v>14</v>
      </c>
      <c r="G62" s="9" t="s">
        <v>15</v>
      </c>
      <c r="H62" s="9" t="s">
        <v>16</v>
      </c>
      <c r="I62" s="9" t="s">
        <v>44</v>
      </c>
      <c r="J62" s="9" t="s">
        <v>26</v>
      </c>
      <c r="K62" s="9" t="s">
        <v>27</v>
      </c>
      <c r="L62" s="9" t="s">
        <v>28</v>
      </c>
      <c r="M62" s="9" t="s">
        <v>29</v>
      </c>
      <c r="N62" s="9" t="s">
        <v>30</v>
      </c>
      <c r="O62" s="9" t="s">
        <v>14</v>
      </c>
      <c r="P62" s="9" t="s">
        <v>8</v>
      </c>
      <c r="Q62" s="9"/>
      <c r="R62" s="9"/>
      <c r="S62" s="9"/>
      <c r="T62" s="9"/>
      <c r="U62" s="9"/>
      <c r="V62" s="9"/>
      <c r="W62" s="11" t="s">
        <v>36</v>
      </c>
      <c r="X62" s="12" t="s">
        <v>37</v>
      </c>
      <c r="Y62" s="12" t="s">
        <v>38</v>
      </c>
    </row>
    <row r="63" spans="1:23" ht="7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3"/>
    </row>
    <row r="64" spans="1:25" ht="12.75">
      <c r="A64" s="3" t="str">
        <f aca="true" t="shared" si="22" ref="A64:B72">A12</f>
        <v>Alliant Energy</v>
      </c>
      <c r="B64" s="14">
        <f t="shared" si="22"/>
        <v>38.811666666666675</v>
      </c>
      <c r="C64" s="3">
        <f>(J64/(1+$E64)^0.5+K64/(1+$E64)^1.5+L64/(1+$E64)^2.5+M64/(1+$E64)^3.5+N64/(1+$E64)^4.5+P64/(1+$E64)^5)</f>
        <v>38.81005884042035</v>
      </c>
      <c r="D64" s="3">
        <f>B64-C64</f>
        <v>0.0016078262463210535</v>
      </c>
      <c r="E64" s="15">
        <v>0.1051454358896425</v>
      </c>
      <c r="F64" s="14">
        <f>F12</f>
        <v>1.72</v>
      </c>
      <c r="G64" s="16">
        <f>F64/B64</f>
        <v>0.04431657147764846</v>
      </c>
      <c r="H64" s="16">
        <f aca="true" t="shared" si="23" ref="H64:I72">H12</f>
        <v>0.06173482798914174</v>
      </c>
      <c r="I64" s="16">
        <f t="shared" si="23"/>
        <v>0.05</v>
      </c>
      <c r="J64" s="3">
        <f>F64*(1+$H64)</f>
        <v>1.8261839041413237</v>
      </c>
      <c r="K64" s="3">
        <f>J64*(1+$H64)</f>
        <v>1.9389230533400275</v>
      </c>
      <c r="L64" s="3">
        <f>K64*(1+$H64)</f>
        <v>2.0586221345221554</v>
      </c>
      <c r="M64" s="3">
        <f>L64*(1+$H64)</f>
        <v>2.18571081789152</v>
      </c>
      <c r="N64" s="3">
        <f>M64*(1+$H64)</f>
        <v>2.320645299268059</v>
      </c>
      <c r="O64" s="3">
        <f>N64*(1+$H64/2)</f>
        <v>2.392277618455121</v>
      </c>
      <c r="P64" s="3">
        <f>O64/(E64-$J$58)</f>
        <v>50.74250716559155</v>
      </c>
      <c r="Q64" s="3"/>
      <c r="R64" s="3"/>
      <c r="S64" s="3"/>
      <c r="T64" s="3"/>
      <c r="U64" s="3"/>
      <c r="V64" s="3"/>
      <c r="W64" s="3">
        <f>J64/(1+E64)^0.5+K64/(1+E64)^1.5+L64/(1+E64)^2.5+M64/(1+E64)^3.5+N64/(1+E64)^4.5+P64/(1+E64)^5</f>
        <v>38.81005884042035</v>
      </c>
      <c r="X64" s="17">
        <f>W64-B64</f>
        <v>-0.0016078262463210535</v>
      </c>
      <c r="Y64" s="15">
        <f>ROUND(E64,4)</f>
        <v>0.1051</v>
      </c>
    </row>
    <row r="65" spans="1:25" ht="12.75">
      <c r="A65" s="3" t="str">
        <f t="shared" si="22"/>
        <v>DTE Energy Co.</v>
      </c>
      <c r="B65" s="14">
        <f t="shared" si="22"/>
        <v>48.47466666666667</v>
      </c>
      <c r="C65" s="3">
        <f aca="true" t="shared" si="24" ref="C65:C72">(J65/(1+$E65)^0.5+K65/(1+$E65)^1.5+L65/(1+$E65)^2.5+M65/(1+$E65)^3.5+N65/(1+$E65)^4.5+P65/(1+$E65)^5)</f>
        <v>48.47008009606925</v>
      </c>
      <c r="D65" s="3">
        <f aca="true" t="shared" si="25" ref="D65:D72">B65-C65</f>
        <v>0.0045865705974179605</v>
      </c>
      <c r="E65" s="15">
        <v>0.10465773055045707</v>
      </c>
      <c r="F65" s="14">
        <f aca="true" t="shared" si="26" ref="F65:F72">F13</f>
        <v>2.3</v>
      </c>
      <c r="G65" s="16">
        <f aca="true" t="shared" si="27" ref="G65:G72">F65/B65</f>
        <v>0.04744746396743315</v>
      </c>
      <c r="H65" s="16">
        <f t="shared" si="23"/>
        <v>0.04508518641612206</v>
      </c>
      <c r="I65" s="16">
        <f t="shared" si="23"/>
        <v>0.035</v>
      </c>
      <c r="J65" s="3">
        <f aca="true" t="shared" si="28" ref="J65:J72">F65*(1+$H65)</f>
        <v>2.403695928757081</v>
      </c>
      <c r="K65" s="3">
        <f aca="true" t="shared" si="29" ref="K65:K72">J65*(1+$H65)</f>
        <v>2.512067007792768</v>
      </c>
      <c r="L65" s="3">
        <f aca="true" t="shared" si="30" ref="L65:L72">K65*(1+$H65)</f>
        <v>2.6253240171288947</v>
      </c>
      <c r="M65" s="3">
        <f aca="true" t="shared" si="31" ref="M65:M72">L65*(1+$H65)</f>
        <v>2.7436872398438736</v>
      </c>
      <c r="N65" s="3">
        <f aca="true" t="shared" si="32" ref="N65:N72">M65*(1+$H65)</f>
        <v>2.86738689051977</v>
      </c>
      <c r="O65" s="3">
        <f aca="true" t="shared" si="33" ref="O65:O72">N65*(1+$H65/2)</f>
        <v>2.9320252267628844</v>
      </c>
      <c r="P65" s="3">
        <f aca="true" t="shared" si="34" ref="P65:P72">O65/(E65-$J$58)</f>
        <v>62.84114534015117</v>
      </c>
      <c r="Q65" s="3"/>
      <c r="R65" s="3"/>
      <c r="S65" s="3"/>
      <c r="T65" s="3"/>
      <c r="U65" s="3"/>
      <c r="V65" s="3"/>
      <c r="W65" s="3">
        <f aca="true" t="shared" si="35" ref="W65:W72">J65/(1+E65)^0.5+K65/(1+E65)^1.5+L65/(1+E65)^2.5+M65/(1+E65)^3.5+N65/(1+E65)^4.5+P65/(1+E65)^5</f>
        <v>48.47008009606925</v>
      </c>
      <c r="X65" s="17">
        <f aca="true" t="shared" si="36" ref="X65:X72">W65-B65</f>
        <v>-0.0045865705974179605</v>
      </c>
      <c r="Y65" s="15">
        <f aca="true" t="shared" si="37" ref="Y65:Y72">ROUND(E65,4)</f>
        <v>0.1047</v>
      </c>
    </row>
    <row r="66" spans="1:25" ht="12.75">
      <c r="A66" s="3" t="str">
        <f t="shared" si="22"/>
        <v>Edison International</v>
      </c>
      <c r="B66" s="14">
        <f t="shared" si="22"/>
        <v>36.94866666666667</v>
      </c>
      <c r="C66" s="3">
        <f t="shared" si="24"/>
        <v>36.9500189024151</v>
      </c>
      <c r="D66" s="3">
        <f t="shared" si="25"/>
        <v>-0.0013522357484347935</v>
      </c>
      <c r="E66" s="15">
        <v>0.087693421068389</v>
      </c>
      <c r="F66" s="14">
        <f t="shared" si="26"/>
        <v>1.29</v>
      </c>
      <c r="G66" s="16">
        <f t="shared" si="27"/>
        <v>0.03491330314129513</v>
      </c>
      <c r="H66" s="16">
        <f t="shared" si="23"/>
        <v>0.01763093189712592</v>
      </c>
      <c r="I66" s="16">
        <f t="shared" si="23"/>
        <v>0.025</v>
      </c>
      <c r="J66" s="3">
        <f t="shared" si="28"/>
        <v>1.3127439021472924</v>
      </c>
      <c r="K66" s="3">
        <f t="shared" si="29"/>
        <v>1.3358888004844187</v>
      </c>
      <c r="L66" s="3">
        <f t="shared" si="30"/>
        <v>1.3594417649478927</v>
      </c>
      <c r="M66" s="3">
        <f t="shared" si="31"/>
        <v>1.3834099901237977</v>
      </c>
      <c r="N66" s="3">
        <f t="shared" si="32"/>
        <v>1.407800797445474</v>
      </c>
      <c r="O66" s="3">
        <f t="shared" si="33"/>
        <v>1.4202112174377142</v>
      </c>
      <c r="P66" s="3">
        <f t="shared" si="34"/>
        <v>47.829154281910675</v>
      </c>
      <c r="Q66" s="3"/>
      <c r="R66" s="3"/>
      <c r="S66" s="3"/>
      <c r="T66" s="3"/>
      <c r="U66" s="3"/>
      <c r="V66" s="3"/>
      <c r="W66" s="3">
        <f t="shared" si="35"/>
        <v>36.9500189024151</v>
      </c>
      <c r="X66" s="17">
        <f t="shared" si="36"/>
        <v>0.0013522357484347935</v>
      </c>
      <c r="Y66" s="15">
        <f t="shared" si="37"/>
        <v>0.0877</v>
      </c>
    </row>
    <row r="67" spans="1:25" ht="12.75">
      <c r="A67" s="3" t="str">
        <f t="shared" si="22"/>
        <v>Entergy</v>
      </c>
      <c r="B67" s="14">
        <f t="shared" si="22"/>
        <v>66.88766666666668</v>
      </c>
      <c r="C67" s="3">
        <f t="shared" si="24"/>
        <v>66.89030671663076</v>
      </c>
      <c r="D67" s="3">
        <f t="shared" si="25"/>
        <v>-0.0026400499640857333</v>
      </c>
      <c r="E67" s="15">
        <v>0.10002348598200046</v>
      </c>
      <c r="F67" s="14">
        <f t="shared" si="26"/>
        <v>3.34</v>
      </c>
      <c r="G67" s="16">
        <f t="shared" si="27"/>
        <v>0.04993446724109576</v>
      </c>
      <c r="H67" s="16">
        <f t="shared" si="23"/>
        <v>0.013426887263255957</v>
      </c>
      <c r="I67" s="16">
        <f t="shared" si="23"/>
        <v>0.03</v>
      </c>
      <c r="J67" s="3">
        <f t="shared" si="28"/>
        <v>3.3848458034592745</v>
      </c>
      <c r="K67" s="3">
        <f t="shared" si="29"/>
        <v>3.430293746465827</v>
      </c>
      <c r="L67" s="3">
        <f t="shared" si="30"/>
        <v>3.4763519138794754</v>
      </c>
      <c r="M67" s="3">
        <f t="shared" si="31"/>
        <v>3.523028499114539</v>
      </c>
      <c r="N67" s="3">
        <f t="shared" si="32"/>
        <v>3.570331805597388</v>
      </c>
      <c r="O67" s="3">
        <f t="shared" si="33"/>
        <v>3.594301026920475</v>
      </c>
      <c r="P67" s="3">
        <f t="shared" si="34"/>
        <v>85.5307679248692</v>
      </c>
      <c r="Q67" s="3"/>
      <c r="R67" s="3"/>
      <c r="S67" s="3"/>
      <c r="T67" s="3"/>
      <c r="U67" s="3"/>
      <c r="V67" s="3"/>
      <c r="W67" s="3">
        <f t="shared" si="35"/>
        <v>66.89030671663076</v>
      </c>
      <c r="X67" s="17">
        <f t="shared" si="36"/>
        <v>0.0026400499640857333</v>
      </c>
      <c r="Y67" s="15">
        <f t="shared" si="37"/>
        <v>0.1</v>
      </c>
    </row>
    <row r="68" spans="1:25" ht="12.75">
      <c r="A68" s="3" t="str">
        <f t="shared" si="22"/>
        <v>PG&amp;E</v>
      </c>
      <c r="B68" s="14">
        <f t="shared" si="22"/>
        <v>43.95933333333333</v>
      </c>
      <c r="C68" s="3">
        <f t="shared" si="24"/>
        <v>43.96007857382645</v>
      </c>
      <c r="D68" s="3">
        <f t="shared" si="25"/>
        <v>-0.0007452404931171941</v>
      </c>
      <c r="E68" s="15">
        <v>0.10437717803915363</v>
      </c>
      <c r="F68" s="14">
        <f t="shared" si="26"/>
        <v>1.92</v>
      </c>
      <c r="G68" s="16">
        <f t="shared" si="27"/>
        <v>0.04367673152459091</v>
      </c>
      <c r="H68" s="16">
        <f t="shared" si="23"/>
        <v>0.061402251331517006</v>
      </c>
      <c r="I68" s="16">
        <f t="shared" si="23"/>
        <v>0.06</v>
      </c>
      <c r="J68" s="3">
        <f t="shared" si="28"/>
        <v>2.037892322556513</v>
      </c>
      <c r="K68" s="3">
        <f t="shared" si="29"/>
        <v>2.163023499132697</v>
      </c>
      <c r="L68" s="3">
        <f t="shared" si="30"/>
        <v>2.29583801166242</v>
      </c>
      <c r="M68" s="3">
        <f t="shared" si="31"/>
        <v>2.436807634270967</v>
      </c>
      <c r="N68" s="3">
        <f t="shared" si="32"/>
        <v>2.5864331090770323</v>
      </c>
      <c r="O68" s="3">
        <f t="shared" si="33"/>
        <v>2.6658395169848847</v>
      </c>
      <c r="P68" s="3">
        <f t="shared" si="34"/>
        <v>57.481710395019455</v>
      </c>
      <c r="Q68" s="3"/>
      <c r="R68" s="3"/>
      <c r="S68" s="3"/>
      <c r="T68" s="3"/>
      <c r="U68" s="3"/>
      <c r="V68" s="3"/>
      <c r="W68" s="3">
        <f t="shared" si="35"/>
        <v>43.96007857382645</v>
      </c>
      <c r="X68" s="17">
        <f t="shared" si="36"/>
        <v>0.0007452404931171941</v>
      </c>
      <c r="Y68" s="15">
        <f t="shared" si="37"/>
        <v>0.1044</v>
      </c>
    </row>
    <row r="69" spans="1:25" ht="12.75">
      <c r="A69" s="3" t="str">
        <f t="shared" si="22"/>
        <v>SCANA Corp.</v>
      </c>
      <c r="B69" s="14">
        <f t="shared" si="22"/>
        <v>39.102</v>
      </c>
      <c r="C69" s="3">
        <f t="shared" si="24"/>
        <v>39.10004966312849</v>
      </c>
      <c r="D69" s="3">
        <f t="shared" si="25"/>
        <v>0.0019503368715092506</v>
      </c>
      <c r="E69" s="15">
        <v>0.10603666072827073</v>
      </c>
      <c r="F69" s="14">
        <f t="shared" si="26"/>
        <v>1.94</v>
      </c>
      <c r="G69" s="16">
        <f t="shared" si="27"/>
        <v>0.04961383049460386</v>
      </c>
      <c r="H69" s="16">
        <f t="shared" si="23"/>
        <v>0.041665152373878446</v>
      </c>
      <c r="I69" s="16">
        <f t="shared" si="23"/>
        <v>0.02</v>
      </c>
      <c r="J69" s="3">
        <f t="shared" si="28"/>
        <v>2.020830395605324</v>
      </c>
      <c r="K69" s="3">
        <f t="shared" si="29"/>
        <v>2.1050286019599853</v>
      </c>
      <c r="L69" s="3">
        <f t="shared" si="30"/>
        <v>2.1927349394120204</v>
      </c>
      <c r="M69" s="3">
        <f t="shared" si="31"/>
        <v>2.2840955747781493</v>
      </c>
      <c r="N69" s="3">
        <f t="shared" si="32"/>
        <v>2.379262764937782</v>
      </c>
      <c r="O69" s="3">
        <f t="shared" si="33"/>
        <v>2.428828937757096</v>
      </c>
      <c r="P69" s="3">
        <f t="shared" si="34"/>
        <v>50.561985386458645</v>
      </c>
      <c r="Q69" s="3"/>
      <c r="R69" s="3"/>
      <c r="S69" s="3"/>
      <c r="T69" s="3"/>
      <c r="U69" s="3"/>
      <c r="V69" s="3"/>
      <c r="W69" s="3">
        <f t="shared" si="35"/>
        <v>39.10004966312849</v>
      </c>
      <c r="X69" s="17">
        <f t="shared" si="36"/>
        <v>-0.0019503368715092506</v>
      </c>
      <c r="Y69" s="15">
        <f t="shared" si="37"/>
        <v>0.106</v>
      </c>
    </row>
    <row r="70" spans="1:25" ht="12.75">
      <c r="A70" s="3" t="str">
        <f t="shared" si="22"/>
        <v>Southern Company</v>
      </c>
      <c r="B70" s="14">
        <f t="shared" si="22"/>
        <v>37.865</v>
      </c>
      <c r="C70" s="3">
        <f t="shared" si="24"/>
        <v>37.870025325657394</v>
      </c>
      <c r="D70" s="3">
        <f t="shared" si="25"/>
        <v>-0.005025325657392443</v>
      </c>
      <c r="E70" s="15">
        <v>0.1089668360117643</v>
      </c>
      <c r="F70" s="14">
        <f t="shared" si="26"/>
        <v>1.9</v>
      </c>
      <c r="G70" s="16">
        <f t="shared" si="27"/>
        <v>0.05017826488841938</v>
      </c>
      <c r="H70" s="16">
        <f t="shared" si="23"/>
        <v>0.05156434242420027</v>
      </c>
      <c r="I70" s="16">
        <f t="shared" si="23"/>
        <v>0.04</v>
      </c>
      <c r="J70" s="3">
        <f t="shared" si="28"/>
        <v>1.9979722506059805</v>
      </c>
      <c r="K70" s="3">
        <f t="shared" si="29"/>
        <v>2.1009963758902774</v>
      </c>
      <c r="L70" s="3">
        <f t="shared" si="30"/>
        <v>2.2093328724486874</v>
      </c>
      <c r="M70" s="3">
        <f t="shared" si="31"/>
        <v>2.3232556692126733</v>
      </c>
      <c r="N70" s="3">
        <f t="shared" si="32"/>
        <v>2.44305282007892</v>
      </c>
      <c r="O70" s="3">
        <f t="shared" si="33"/>
        <v>2.5060400261663984</v>
      </c>
      <c r="P70" s="3">
        <f t="shared" si="34"/>
        <v>49.17001372398216</v>
      </c>
      <c r="Q70" s="3"/>
      <c r="R70" s="3"/>
      <c r="S70" s="3"/>
      <c r="T70" s="3"/>
      <c r="U70" s="3"/>
      <c r="V70" s="3"/>
      <c r="W70" s="3">
        <f t="shared" si="35"/>
        <v>37.870025325657394</v>
      </c>
      <c r="X70" s="17">
        <f t="shared" si="36"/>
        <v>0.005025325657392443</v>
      </c>
      <c r="Y70" s="15">
        <f t="shared" si="37"/>
        <v>0.109</v>
      </c>
    </row>
    <row r="71" spans="1:25" ht="12.75">
      <c r="A71" s="3" t="str">
        <f t="shared" si="22"/>
        <v>Wisconsin Energy</v>
      </c>
      <c r="B71" s="14">
        <f t="shared" si="22"/>
        <v>29.96500000000001</v>
      </c>
      <c r="C71" s="3">
        <f t="shared" si="24"/>
        <v>29.970211441444693</v>
      </c>
      <c r="D71" s="3">
        <f t="shared" si="25"/>
        <v>-0.005211441444682663</v>
      </c>
      <c r="E71" s="15">
        <v>0.09856920154269153</v>
      </c>
      <c r="F71" s="14">
        <f t="shared" si="26"/>
        <v>1.06</v>
      </c>
      <c r="G71" s="16">
        <f t="shared" si="27"/>
        <v>0.035374603704321696</v>
      </c>
      <c r="H71" s="16">
        <f t="shared" si="23"/>
        <v>0.07814450226526866</v>
      </c>
      <c r="I71" s="16">
        <f t="shared" si="23"/>
        <v>0.135</v>
      </c>
      <c r="J71" s="3">
        <f t="shared" si="28"/>
        <v>1.1428331724011849</v>
      </c>
      <c r="K71" s="3">
        <f t="shared" si="29"/>
        <v>1.2321393018307134</v>
      </c>
      <c r="L71" s="3">
        <f t="shared" si="30"/>
        <v>1.3284242142937501</v>
      </c>
      <c r="M71" s="3">
        <f t="shared" si="31"/>
        <v>1.432233263316866</v>
      </c>
      <c r="N71" s="3">
        <f t="shared" si="32"/>
        <v>1.544154418806524</v>
      </c>
      <c r="O71" s="3">
        <f t="shared" si="33"/>
        <v>1.6044880080456994</v>
      </c>
      <c r="P71" s="3">
        <f t="shared" si="34"/>
        <v>39.54941056351022</v>
      </c>
      <c r="Q71" s="3"/>
      <c r="R71" s="3"/>
      <c r="S71" s="3"/>
      <c r="T71" s="3"/>
      <c r="U71" s="3"/>
      <c r="V71" s="3"/>
      <c r="W71" s="3">
        <f t="shared" si="35"/>
        <v>29.970211441444693</v>
      </c>
      <c r="X71" s="17">
        <f t="shared" si="36"/>
        <v>0.005211441444682663</v>
      </c>
      <c r="Y71" s="15">
        <f t="shared" si="37"/>
        <v>0.0986</v>
      </c>
    </row>
    <row r="72" spans="1:25" ht="12.75">
      <c r="A72" s="3" t="str">
        <f t="shared" si="22"/>
        <v>Xcel Energy</v>
      </c>
      <c r="B72" s="14">
        <f t="shared" si="22"/>
        <v>23.739000000000008</v>
      </c>
      <c r="C72" s="3">
        <f t="shared" si="24"/>
        <v>23.740066484038593</v>
      </c>
      <c r="D72" s="3">
        <f t="shared" si="25"/>
        <v>-0.0010664840385850027</v>
      </c>
      <c r="E72" s="15">
        <v>0.10243909604888624</v>
      </c>
      <c r="F72" s="14">
        <f t="shared" si="26"/>
        <v>1.03</v>
      </c>
      <c r="G72" s="16">
        <f t="shared" si="27"/>
        <v>0.04338851678672226</v>
      </c>
      <c r="H72" s="16">
        <f t="shared" si="23"/>
        <v>0.05392109149248526</v>
      </c>
      <c r="I72" s="16">
        <f t="shared" si="23"/>
        <v>0.035</v>
      </c>
      <c r="J72" s="3">
        <f t="shared" si="28"/>
        <v>1.0855387242372598</v>
      </c>
      <c r="K72" s="3">
        <f t="shared" si="29"/>
        <v>1.1440721571054928</v>
      </c>
      <c r="L72" s="3">
        <f t="shared" si="30"/>
        <v>1.205761776562783</v>
      </c>
      <c r="M72" s="3">
        <f t="shared" si="31"/>
        <v>1.2707777676349665</v>
      </c>
      <c r="N72" s="3">
        <f t="shared" si="32"/>
        <v>1.3392994919102277</v>
      </c>
      <c r="O72" s="3">
        <f t="shared" si="33"/>
        <v>1.375407737129793</v>
      </c>
      <c r="P72" s="3">
        <f t="shared" si="34"/>
        <v>30.950398622346967</v>
      </c>
      <c r="Q72" s="3"/>
      <c r="R72" s="3"/>
      <c r="S72" s="3"/>
      <c r="T72" s="3"/>
      <c r="U72" s="3"/>
      <c r="V72" s="3"/>
      <c r="W72" s="3">
        <f t="shared" si="35"/>
        <v>23.740066484038593</v>
      </c>
      <c r="X72" s="17">
        <f t="shared" si="36"/>
        <v>0.0010664840385850027</v>
      </c>
      <c r="Y72" s="15">
        <f t="shared" si="37"/>
        <v>0.1024</v>
      </c>
    </row>
    <row r="73" spans="1:23" ht="7.5" customHeight="1">
      <c r="A73" s="3"/>
      <c r="B73" s="3"/>
      <c r="C73" s="3"/>
      <c r="D73" s="3"/>
      <c r="E73" s="15"/>
      <c r="F73" s="3"/>
      <c r="G73" s="13"/>
      <c r="H73" s="18"/>
      <c r="I73" s="13"/>
      <c r="J73" s="3"/>
      <c r="K73" s="3"/>
      <c r="L73" s="3"/>
      <c r="M73" s="3"/>
      <c r="P73" s="3"/>
      <c r="Q73" s="3"/>
      <c r="R73" s="3"/>
      <c r="S73" s="3"/>
      <c r="T73" s="3"/>
      <c r="U73" s="3"/>
      <c r="V73" s="3"/>
      <c r="W73" s="3"/>
    </row>
    <row r="74" spans="1:23" ht="12.75">
      <c r="A74" s="19" t="s">
        <v>5</v>
      </c>
      <c r="B74" s="3"/>
      <c r="C74" s="3"/>
      <c r="D74" s="3">
        <f>SUM(D64:D73)</f>
        <v>-0.007896043631049565</v>
      </c>
      <c r="E74" s="15">
        <f>AVERAGE(E63:E73)</f>
        <v>0.10198989398458393</v>
      </c>
      <c r="F74" s="3">
        <f>AVERAGE(F64:F73)</f>
        <v>1.8333333333333333</v>
      </c>
      <c r="G74" s="15">
        <f>AVERAGE(G63:G73)</f>
        <v>0.04431597258068118</v>
      </c>
      <c r="H74" s="15">
        <f>AVERAGE(H63:H73)</f>
        <v>0.04717501927255503</v>
      </c>
      <c r="I74" s="15">
        <f>AVERAGE(I63:I73)</f>
        <v>0.04777777777777778</v>
      </c>
      <c r="J74" s="3"/>
      <c r="K74" s="3"/>
      <c r="L74" s="3"/>
      <c r="M74" s="3"/>
      <c r="P74" s="3"/>
      <c r="Q74" s="3"/>
      <c r="R74" s="3"/>
      <c r="S74" s="3"/>
      <c r="T74" s="3"/>
      <c r="U74" s="3"/>
      <c r="V74" s="3"/>
      <c r="W74" s="3"/>
    </row>
    <row r="75" spans="1:23" ht="12.75">
      <c r="A75" s="19" t="s">
        <v>17</v>
      </c>
      <c r="B75" s="3"/>
      <c r="C75" s="3"/>
      <c r="D75" s="3"/>
      <c r="E75" s="15">
        <f>STDEV(E63:E73)</f>
        <v>0.006204703664309351</v>
      </c>
      <c r="F75" s="3"/>
      <c r="G75" s="15"/>
      <c r="H75" s="15"/>
      <c r="I75" s="15"/>
      <c r="J75" s="3"/>
      <c r="K75" s="3"/>
      <c r="L75" s="3"/>
      <c r="M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19" t="s">
        <v>6</v>
      </c>
      <c r="B76" s="3"/>
      <c r="C76" s="3"/>
      <c r="D76" s="3"/>
      <c r="E76" s="15">
        <f>MEDIAN(E63:E73)</f>
        <v>0.10437717803915363</v>
      </c>
      <c r="F76" s="3"/>
      <c r="G76" s="15"/>
      <c r="H76" s="15"/>
      <c r="I76" s="15"/>
      <c r="J76" s="3"/>
      <c r="K76" s="3"/>
      <c r="L76" s="3"/>
      <c r="M76" s="3"/>
      <c r="P76" s="3"/>
      <c r="Q76" s="3"/>
      <c r="R76" s="3"/>
      <c r="S76" s="3"/>
      <c r="T76" s="3"/>
      <c r="U76" s="3"/>
      <c r="V76" s="3"/>
      <c r="W76" s="3"/>
    </row>
    <row r="77" spans="1:23" ht="12.75">
      <c r="A77" s="19"/>
      <c r="B77" s="3"/>
      <c r="C77" s="3"/>
      <c r="D77" s="3"/>
      <c r="E77" s="3"/>
      <c r="F77" s="3"/>
      <c r="G77" s="15"/>
      <c r="H77" s="3"/>
      <c r="I77" s="3"/>
      <c r="J77" s="15"/>
      <c r="K77" s="3"/>
      <c r="L77" s="3"/>
      <c r="M77" s="3"/>
      <c r="P77" s="3"/>
      <c r="Q77" s="3"/>
      <c r="R77" s="3"/>
      <c r="S77" s="3"/>
      <c r="T77" s="3"/>
      <c r="U77" s="3"/>
      <c r="V77" s="3"/>
      <c r="W77" s="3"/>
    </row>
    <row r="78" spans="1:23" ht="15.75">
      <c r="A78" s="20" t="s">
        <v>18</v>
      </c>
      <c r="B78" s="21">
        <f>E74</f>
        <v>0.10198989398458393</v>
      </c>
      <c r="C78" s="21"/>
      <c r="D78" s="21"/>
      <c r="E78" s="21"/>
      <c r="F78" s="22"/>
      <c r="G78" s="21"/>
      <c r="H78" s="3"/>
      <c r="I78" s="3"/>
      <c r="J78" s="15"/>
      <c r="K78" s="3"/>
      <c r="L78" s="3"/>
      <c r="M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23" t="str">
        <f>A28</f>
        <v>Note: All data from DPU Exhibit 4.9, except Terminal Value and Estimated Cost of Equity columns which are based on revised second-stage long-term growth rate of 5.80%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P80" s="3"/>
      <c r="Q80" s="3"/>
      <c r="R80" s="3"/>
      <c r="S80" s="3"/>
      <c r="T80" s="3"/>
      <c r="U80" s="3"/>
      <c r="V80" s="3"/>
      <c r="W80" s="3"/>
    </row>
    <row r="81" ht="12.75">
      <c r="A81" s="82" t="s">
        <v>72</v>
      </c>
    </row>
  </sheetData>
  <sheetProtection/>
  <mergeCells count="3">
    <mergeCell ref="A1:P1"/>
    <mergeCell ref="A2:P2"/>
    <mergeCell ref="A3:P3"/>
  </mergeCells>
  <printOptions horizontalCentered="1"/>
  <pageMargins left="0.75" right="0.75" top="0.69" bottom="0.74" header="0.5" footer="0.5"/>
  <pageSetup fitToHeight="5" horizontalDpi="600" verticalDpi="600" orientation="landscape" scale="67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showGridLines="0" tabSelected="1" defaultGridColor="0" zoomScale="80" zoomScaleNormal="80" colorId="22" workbookViewId="0" topLeftCell="A1">
      <selection activeCell="F2" sqref="F2"/>
    </sheetView>
  </sheetViews>
  <sheetFormatPr defaultColWidth="12.00390625" defaultRowHeight="12.75"/>
  <cols>
    <col min="1" max="1" width="5.00390625" style="32" customWidth="1"/>
    <col min="2" max="3" width="26.7109375" style="32" customWidth="1"/>
    <col min="4" max="4" width="5.421875" style="32" customWidth="1"/>
    <col min="5" max="5" width="24.140625" style="32" customWidth="1"/>
    <col min="6" max="6" width="27.57421875" style="32" customWidth="1"/>
    <col min="7" max="16384" width="12.00390625" style="32" customWidth="1"/>
  </cols>
  <sheetData>
    <row r="1" ht="15">
      <c r="F1" s="100" t="s">
        <v>78</v>
      </c>
    </row>
    <row r="3" spans="1:6" ht="20.25">
      <c r="A3" s="110" t="s">
        <v>34</v>
      </c>
      <c r="B3" s="110"/>
      <c r="C3" s="110"/>
      <c r="D3" s="110"/>
      <c r="E3" s="110"/>
      <c r="F3" s="110"/>
    </row>
    <row r="4" spans="1:6" ht="18">
      <c r="A4" s="111" t="s">
        <v>61</v>
      </c>
      <c r="B4" s="111"/>
      <c r="C4" s="111"/>
      <c r="D4" s="111"/>
      <c r="E4" s="111"/>
      <c r="F4" s="111"/>
    </row>
    <row r="5" spans="1:6" ht="18">
      <c r="A5" s="112" t="s">
        <v>62</v>
      </c>
      <c r="B5" s="112"/>
      <c r="C5" s="112"/>
      <c r="D5" s="112"/>
      <c r="E5" s="112"/>
      <c r="F5" s="112"/>
    </row>
    <row r="6" spans="1:5" ht="15">
      <c r="A6" s="31"/>
      <c r="B6" s="35"/>
      <c r="C6" s="35"/>
      <c r="D6" s="36"/>
      <c r="E6" s="36"/>
    </row>
    <row r="7" spans="1:6" ht="15.75">
      <c r="A7" s="113"/>
      <c r="B7" s="114"/>
      <c r="C7" s="37" t="s">
        <v>63</v>
      </c>
      <c r="D7" s="113"/>
      <c r="E7" s="114"/>
      <c r="F7" s="37" t="s">
        <v>63</v>
      </c>
    </row>
    <row r="8" spans="1:6" ht="15.75">
      <c r="A8" s="106" t="s">
        <v>64</v>
      </c>
      <c r="B8" s="107"/>
      <c r="C8" s="38" t="s">
        <v>65</v>
      </c>
      <c r="D8" s="106" t="s">
        <v>64</v>
      </c>
      <c r="E8" s="107"/>
      <c r="F8" s="38" t="s">
        <v>65</v>
      </c>
    </row>
    <row r="9" spans="1:6" ht="16.5" thickBot="1">
      <c r="A9" s="39"/>
      <c r="B9" s="40"/>
      <c r="C9" s="41" t="s">
        <v>66</v>
      </c>
      <c r="D9" s="104" t="s">
        <v>67</v>
      </c>
      <c r="E9" s="105"/>
      <c r="F9" s="41" t="s">
        <v>66</v>
      </c>
    </row>
    <row r="10" spans="1:6" ht="15.75" thickTop="1">
      <c r="A10" s="42"/>
      <c r="C10" s="43"/>
      <c r="D10" s="42"/>
      <c r="F10" s="43"/>
    </row>
    <row r="11" spans="1:9" ht="15.75">
      <c r="A11" s="44">
        <v>1</v>
      </c>
      <c r="B11" s="45" t="s">
        <v>1</v>
      </c>
      <c r="C11" s="46">
        <v>0.1116493180742589</v>
      </c>
      <c r="D11" s="44">
        <v>1</v>
      </c>
      <c r="E11" s="45" t="str">
        <f>B11</f>
        <v>Alliant Energy</v>
      </c>
      <c r="F11" s="46">
        <v>0.1116493180742589</v>
      </c>
      <c r="I11" s="99"/>
    </row>
    <row r="12" spans="1:9" ht="15.75">
      <c r="A12" s="44">
        <f>A11+1</f>
        <v>2</v>
      </c>
      <c r="B12" s="45" t="s">
        <v>2</v>
      </c>
      <c r="C12" s="46">
        <v>0.099425</v>
      </c>
      <c r="D12" s="44">
        <f>D11+1</f>
        <v>2</v>
      </c>
      <c r="E12" s="45" t="str">
        <f aca="true" t="shared" si="0" ref="E12:E19">B12</f>
        <v>DTE Energy Co.</v>
      </c>
      <c r="F12" s="46">
        <v>0.099425</v>
      </c>
      <c r="I12" s="99"/>
    </row>
    <row r="13" spans="1:9" ht="15.75">
      <c r="A13" s="44">
        <f aca="true" t="shared" si="1" ref="A13:A19">A12+1</f>
        <v>3</v>
      </c>
      <c r="B13" s="45" t="s">
        <v>41</v>
      </c>
      <c r="C13" s="46">
        <v>0.07915921543929103</v>
      </c>
      <c r="D13" s="44">
        <f aca="true" t="shared" si="2" ref="D13:D19">D12+1</f>
        <v>3</v>
      </c>
      <c r="E13" s="45" t="str">
        <f t="shared" si="0"/>
        <v>Edison International</v>
      </c>
      <c r="F13" s="46">
        <v>0.07915921543929103</v>
      </c>
      <c r="I13" s="99"/>
    </row>
    <row r="14" spans="1:9" ht="15.75">
      <c r="A14" s="44">
        <f t="shared" si="1"/>
        <v>4</v>
      </c>
      <c r="B14" s="45" t="s">
        <v>33</v>
      </c>
      <c r="C14" s="46">
        <v>0.06448037989786665</v>
      </c>
      <c r="D14" s="47">
        <f t="shared" si="2"/>
        <v>4</v>
      </c>
      <c r="E14" s="48" t="str">
        <f t="shared" si="0"/>
        <v>Entergy</v>
      </c>
      <c r="F14" s="49">
        <v>0.06448037989786665</v>
      </c>
      <c r="I14" s="99"/>
    </row>
    <row r="15" spans="1:9" ht="15.75">
      <c r="A15" s="44">
        <f t="shared" si="1"/>
        <v>5</v>
      </c>
      <c r="B15" s="45" t="s">
        <v>42</v>
      </c>
      <c r="C15" s="46">
        <v>0.10556743153219837</v>
      </c>
      <c r="D15" s="44">
        <f t="shared" si="2"/>
        <v>5</v>
      </c>
      <c r="E15" s="45" t="str">
        <f t="shared" si="0"/>
        <v>PG&amp;E</v>
      </c>
      <c r="F15" s="46">
        <v>0.10556743153219837</v>
      </c>
      <c r="I15" s="99"/>
    </row>
    <row r="16" spans="1:9" ht="15.75">
      <c r="A16" s="44">
        <f t="shared" si="1"/>
        <v>6</v>
      </c>
      <c r="B16" s="45" t="s">
        <v>3</v>
      </c>
      <c r="C16" s="46">
        <v>0.0910756957674149</v>
      </c>
      <c r="D16" s="44">
        <f t="shared" si="2"/>
        <v>6</v>
      </c>
      <c r="E16" s="45" t="str">
        <f t="shared" si="0"/>
        <v>SCANA Corp.</v>
      </c>
      <c r="F16" s="46">
        <v>0.0910756957674149</v>
      </c>
      <c r="I16" s="99"/>
    </row>
    <row r="17" spans="1:9" ht="15.75">
      <c r="A17" s="44">
        <f t="shared" si="1"/>
        <v>7</v>
      </c>
      <c r="B17" s="45" t="s">
        <v>31</v>
      </c>
      <c r="C17" s="46">
        <v>0.10461542318712806</v>
      </c>
      <c r="D17" s="44">
        <f t="shared" si="2"/>
        <v>7</v>
      </c>
      <c r="E17" s="45" t="str">
        <f t="shared" si="0"/>
        <v>Southern Company</v>
      </c>
      <c r="F17" s="46">
        <v>0.10461542318712806</v>
      </c>
      <c r="I17" s="99"/>
    </row>
    <row r="18" spans="1:9" ht="15.75">
      <c r="A18" s="44">
        <f t="shared" si="1"/>
        <v>8</v>
      </c>
      <c r="B18" s="45" t="s">
        <v>32</v>
      </c>
      <c r="C18" s="46">
        <v>0.11355420920151027</v>
      </c>
      <c r="D18" s="44">
        <f t="shared" si="2"/>
        <v>8</v>
      </c>
      <c r="E18" s="45" t="str">
        <f t="shared" si="0"/>
        <v>Wisconsin Energy</v>
      </c>
      <c r="F18" s="46">
        <v>0.11355420920151027</v>
      </c>
      <c r="I18" s="99"/>
    </row>
    <row r="19" spans="1:9" ht="15.75">
      <c r="A19" s="44">
        <f t="shared" si="1"/>
        <v>9</v>
      </c>
      <c r="B19" s="45" t="s">
        <v>4</v>
      </c>
      <c r="C19" s="46">
        <v>0.0975786348695713</v>
      </c>
      <c r="D19" s="44">
        <f t="shared" si="2"/>
        <v>9</v>
      </c>
      <c r="E19" s="45" t="str">
        <f t="shared" si="0"/>
        <v>Xcel Energy</v>
      </c>
      <c r="F19" s="46">
        <v>0.0975786348695713</v>
      </c>
      <c r="I19" s="99"/>
    </row>
    <row r="20" spans="1:9" ht="15.75">
      <c r="A20" s="50"/>
      <c r="B20" s="51"/>
      <c r="C20" s="52"/>
      <c r="D20" s="50"/>
      <c r="E20" s="51"/>
      <c r="F20" s="52"/>
      <c r="I20" s="99"/>
    </row>
    <row r="21" spans="1:9" ht="15.75">
      <c r="A21" s="50"/>
      <c r="B21" s="53" t="s">
        <v>59</v>
      </c>
      <c r="C21" s="84">
        <f>AVERAGE(C11:C19)</f>
        <v>0.09634503421880439</v>
      </c>
      <c r="D21" s="86"/>
      <c r="E21" s="87" t="s">
        <v>59</v>
      </c>
      <c r="F21" s="84">
        <f>AVERAGE(F11:F13,F15:F19)</f>
        <v>0.10032811600892161</v>
      </c>
      <c r="I21" s="99"/>
    </row>
    <row r="22" spans="1:9" ht="16.5" thickBot="1">
      <c r="A22" s="54"/>
      <c r="B22" s="55" t="s">
        <v>60</v>
      </c>
      <c r="C22" s="85">
        <f>MEDIAN(C11:C19)</f>
        <v>0.099425</v>
      </c>
      <c r="D22" s="88"/>
      <c r="E22" s="89" t="s">
        <v>60</v>
      </c>
      <c r="F22" s="92">
        <f>MEDIAN(F11:F13,F15:F19)</f>
        <v>0.10202021159356403</v>
      </c>
      <c r="I22" s="99"/>
    </row>
    <row r="23" spans="1:9" ht="16.5" thickTop="1">
      <c r="A23" s="106"/>
      <c r="B23" s="107"/>
      <c r="C23" s="38" t="s">
        <v>63</v>
      </c>
      <c r="D23" s="56"/>
      <c r="E23" s="56"/>
      <c r="F23" s="96" t="s">
        <v>74</v>
      </c>
      <c r="I23" s="99"/>
    </row>
    <row r="24" spans="1:9" ht="15.75">
      <c r="A24" s="108" t="s">
        <v>68</v>
      </c>
      <c r="B24" s="109"/>
      <c r="C24" s="38" t="s">
        <v>65</v>
      </c>
      <c r="D24" s="56"/>
      <c r="E24" s="56"/>
      <c r="F24" s="97" t="s">
        <v>75</v>
      </c>
      <c r="I24" s="99"/>
    </row>
    <row r="25" spans="1:9" ht="16.5" thickBot="1">
      <c r="A25" s="39"/>
      <c r="B25" s="40"/>
      <c r="C25" s="41" t="s">
        <v>66</v>
      </c>
      <c r="D25" s="56"/>
      <c r="E25" s="56"/>
      <c r="F25" s="97" t="s">
        <v>76</v>
      </c>
      <c r="I25" s="99"/>
    </row>
    <row r="26" spans="1:9" ht="17.25" thickBot="1" thickTop="1">
      <c r="A26" s="57"/>
      <c r="B26" s="58"/>
      <c r="C26" s="38"/>
      <c r="D26" s="56"/>
      <c r="E26" s="56"/>
      <c r="F26" s="98" t="s">
        <v>77</v>
      </c>
      <c r="I26" s="99"/>
    </row>
    <row r="27" spans="1:9" ht="16.5" thickTop="1">
      <c r="A27" s="59">
        <v>1</v>
      </c>
      <c r="B27" s="60" t="s">
        <v>58</v>
      </c>
      <c r="C27" s="46">
        <v>0.09407443426606901</v>
      </c>
      <c r="D27" s="56"/>
      <c r="E27" s="56"/>
      <c r="F27" s="31"/>
      <c r="I27" s="99"/>
    </row>
    <row r="28" spans="1:9" ht="15.75">
      <c r="A28" s="59">
        <f aca="true" t="shared" si="3" ref="A28:A33">A27+1</f>
        <v>2</v>
      </c>
      <c r="B28" s="60" t="s">
        <v>57</v>
      </c>
      <c r="C28" s="46">
        <v>0.1173248196959477</v>
      </c>
      <c r="D28" s="56"/>
      <c r="E28" s="56"/>
      <c r="F28" s="31"/>
      <c r="I28" s="99"/>
    </row>
    <row r="29" spans="1:6" ht="15.75">
      <c r="A29" s="59">
        <f t="shared" si="3"/>
        <v>3</v>
      </c>
      <c r="B29" s="83" t="s">
        <v>56</v>
      </c>
      <c r="C29" s="49">
        <v>0.12432334311756528</v>
      </c>
      <c r="D29" s="56"/>
      <c r="E29" s="56"/>
      <c r="F29" s="31"/>
    </row>
    <row r="30" spans="1:6" ht="15.75">
      <c r="A30" s="59">
        <f t="shared" si="3"/>
        <v>4</v>
      </c>
      <c r="B30" s="60" t="s">
        <v>55</v>
      </c>
      <c r="C30" s="46">
        <v>0.07682225404238445</v>
      </c>
      <c r="D30" s="56"/>
      <c r="E30" s="56"/>
      <c r="F30" s="31"/>
    </row>
    <row r="31" spans="1:6" ht="15.75">
      <c r="A31" s="59">
        <f t="shared" si="3"/>
        <v>5</v>
      </c>
      <c r="B31" s="60" t="s">
        <v>54</v>
      </c>
      <c r="C31" s="46">
        <v>0.1052771622866048</v>
      </c>
      <c r="D31" s="56"/>
      <c r="E31" s="56"/>
      <c r="F31" s="31"/>
    </row>
    <row r="32" spans="1:6" ht="15.75">
      <c r="A32" s="59">
        <f t="shared" si="3"/>
        <v>6</v>
      </c>
      <c r="B32" s="60" t="s">
        <v>53</v>
      </c>
      <c r="C32" s="46">
        <v>0.09394323193976245</v>
      </c>
      <c r="D32" s="56"/>
      <c r="E32" s="56"/>
      <c r="F32" s="31"/>
    </row>
    <row r="33" spans="1:6" ht="15.75">
      <c r="A33" s="59">
        <f t="shared" si="3"/>
        <v>7</v>
      </c>
      <c r="B33" s="60" t="s">
        <v>52</v>
      </c>
      <c r="C33" s="46">
        <v>0.10576946107784431</v>
      </c>
      <c r="D33" s="56"/>
      <c r="E33" s="56"/>
      <c r="F33" s="31"/>
    </row>
    <row r="34" spans="1:6" ht="15.75">
      <c r="A34" s="61"/>
      <c r="B34" s="62"/>
      <c r="C34" s="63"/>
      <c r="D34" s="56"/>
      <c r="E34" s="56"/>
      <c r="F34" s="31"/>
    </row>
    <row r="35" spans="1:6" ht="15.75">
      <c r="A35" s="64"/>
      <c r="B35" s="65" t="s">
        <v>59</v>
      </c>
      <c r="C35" s="90">
        <f>AVERAGE(C27:C28,C30:C33)</f>
        <v>0.09886856055143545</v>
      </c>
      <c r="D35" s="66"/>
      <c r="E35" s="93" t="s">
        <v>59</v>
      </c>
      <c r="F35" s="90">
        <f>AVERAGE(F11:F13,F15:F19,C27:C28,C30:C33)</f>
        <v>0.09970259224142754</v>
      </c>
    </row>
    <row r="36" spans="1:6" ht="16.5" thickBot="1">
      <c r="A36" s="67"/>
      <c r="B36" s="68" t="s">
        <v>60</v>
      </c>
      <c r="C36" s="91">
        <f>MEDIAN(C27:C28,C30:C33)</f>
        <v>0.09967579827633691</v>
      </c>
      <c r="D36" s="66"/>
      <c r="E36" s="94" t="s">
        <v>60</v>
      </c>
      <c r="F36" s="95">
        <f>MEDIAN(F11:F13,F15:F19,C27:C28,C30:C33)</f>
        <v>0.10202021159356403</v>
      </c>
    </row>
    <row r="37" spans="1:5" ht="15" customHeight="1" thickTop="1">
      <c r="A37" s="31"/>
      <c r="B37" s="31"/>
      <c r="C37" s="69"/>
      <c r="D37" s="69"/>
      <c r="E37" s="69"/>
    </row>
    <row r="38" spans="2:5" ht="15" customHeight="1">
      <c r="B38" s="31"/>
      <c r="C38" s="69"/>
      <c r="D38" s="69"/>
      <c r="E38" s="31"/>
    </row>
    <row r="39" spans="1:5" ht="15" customHeight="1">
      <c r="A39" s="34" t="s">
        <v>71</v>
      </c>
      <c r="B39" s="31"/>
      <c r="C39" s="69"/>
      <c r="D39" s="69"/>
      <c r="E39" s="31"/>
    </row>
    <row r="40" spans="2:5" ht="15" customHeight="1">
      <c r="B40" s="31"/>
      <c r="C40" s="69"/>
      <c r="D40" s="69"/>
      <c r="E40" s="31"/>
    </row>
    <row r="41" spans="2:5" ht="15" customHeight="1">
      <c r="B41" s="31"/>
      <c r="C41" s="69"/>
      <c r="D41" s="69"/>
      <c r="E41" s="31"/>
    </row>
    <row r="42" spans="2:5" ht="15" customHeight="1">
      <c r="B42" s="31"/>
      <c r="C42" s="69"/>
      <c r="D42" s="69"/>
      <c r="E42" s="31"/>
    </row>
    <row r="43" spans="1:5" ht="15" customHeight="1">
      <c r="A43" s="33"/>
      <c r="B43" s="31"/>
      <c r="C43" s="31"/>
      <c r="D43" s="31"/>
      <c r="E43" s="31"/>
    </row>
    <row r="44" spans="1:7" ht="15" customHeight="1">
      <c r="A44" s="31"/>
      <c r="B44" s="70"/>
      <c r="C44" s="70"/>
      <c r="D44" s="70"/>
      <c r="E44" s="70"/>
      <c r="F44" s="71"/>
      <c r="G44" s="71"/>
    </row>
    <row r="45" spans="1:7" ht="15" customHeight="1">
      <c r="A45" s="72"/>
      <c r="B45" s="72"/>
      <c r="C45" s="71"/>
      <c r="D45" s="70"/>
      <c r="E45" s="70"/>
      <c r="F45" s="71"/>
      <c r="G45" s="71"/>
    </row>
    <row r="46" spans="1:7" ht="15">
      <c r="A46" s="72"/>
      <c r="B46" s="72"/>
      <c r="C46" s="70"/>
      <c r="D46" s="70"/>
      <c r="E46" s="70"/>
      <c r="F46" s="71"/>
      <c r="G46" s="71"/>
    </row>
    <row r="47" spans="1:7" ht="15">
      <c r="A47" s="72"/>
      <c r="B47" s="72"/>
      <c r="C47" s="72"/>
      <c r="D47" s="72"/>
      <c r="E47" s="72"/>
      <c r="F47" s="71"/>
      <c r="G47" s="71"/>
    </row>
    <row r="48" spans="1:7" ht="15">
      <c r="A48" s="73"/>
      <c r="B48" s="74" t="s">
        <v>69</v>
      </c>
      <c r="C48" s="75">
        <f>AVERAGE(C10:C29,C15:C19)</f>
        <v>0.1005783859908131</v>
      </c>
      <c r="D48" s="76">
        <f>AVERAGE(D10:D20)</f>
        <v>5</v>
      </c>
      <c r="E48" s="76" t="e">
        <f>AVERAGE(E10:E20)</f>
        <v>#DIV/0!</v>
      </c>
      <c r="F48" s="71"/>
      <c r="G48" s="71"/>
    </row>
    <row r="49" spans="1:7" ht="15">
      <c r="A49" s="73"/>
      <c r="B49" s="74" t="s">
        <v>70</v>
      </c>
      <c r="C49" s="75">
        <f>MEDIAN(C10:C29,C15:C19)</f>
        <v>0.09850181743478564</v>
      </c>
      <c r="D49" s="76">
        <f>MEDIAN(D10:D20)</f>
        <v>5</v>
      </c>
      <c r="E49" s="76">
        <f>MEDIAN(E10:E20)</f>
        <v>0</v>
      </c>
      <c r="F49" s="71"/>
      <c r="G49" s="71"/>
    </row>
    <row r="50" spans="1:7" ht="15">
      <c r="A50" s="73"/>
      <c r="B50" s="77"/>
      <c r="C50" s="73"/>
      <c r="D50" s="72"/>
      <c r="E50" s="76"/>
      <c r="F50" s="71"/>
      <c r="G50" s="71"/>
    </row>
    <row r="51" spans="1:7" ht="15">
      <c r="A51" s="73"/>
      <c r="B51" s="71"/>
      <c r="C51" s="73"/>
      <c r="D51" s="73"/>
      <c r="E51" s="73"/>
      <c r="F51" s="71"/>
      <c r="G51" s="71"/>
    </row>
    <row r="52" spans="1:7" ht="15">
      <c r="A52" s="73"/>
      <c r="B52" s="71"/>
      <c r="C52" s="73"/>
      <c r="D52" s="73"/>
      <c r="E52" s="73"/>
      <c r="F52" s="71"/>
      <c r="G52" s="71"/>
    </row>
    <row r="53" spans="1:7" ht="15">
      <c r="A53" s="73"/>
      <c r="B53" s="71"/>
      <c r="C53" s="73"/>
      <c r="D53" s="73"/>
      <c r="E53" s="73"/>
      <c r="F53" s="71"/>
      <c r="G53" s="71"/>
    </row>
    <row r="54" spans="1:7" ht="15">
      <c r="A54" s="73"/>
      <c r="B54" s="71"/>
      <c r="C54" s="71"/>
      <c r="D54" s="71"/>
      <c r="E54" s="71"/>
      <c r="F54" s="71"/>
      <c r="G54" s="71"/>
    </row>
    <row r="55" spans="1:7" ht="15">
      <c r="A55" s="78"/>
      <c r="B55" s="71"/>
      <c r="C55" s="71"/>
      <c r="D55" s="71"/>
      <c r="E55" s="71"/>
      <c r="F55" s="71"/>
      <c r="G55" s="71"/>
    </row>
    <row r="56" spans="2:7" ht="15">
      <c r="B56" s="71"/>
      <c r="C56" s="71"/>
      <c r="D56" s="71"/>
      <c r="E56" s="71"/>
      <c r="F56" s="71"/>
      <c r="G56" s="71"/>
    </row>
    <row r="57" spans="2:7" ht="15">
      <c r="B57" s="71"/>
      <c r="C57" s="71"/>
      <c r="D57" s="71"/>
      <c r="E57" s="71"/>
      <c r="F57" s="71"/>
      <c r="G57" s="71"/>
    </row>
    <row r="58" spans="2:7" ht="15">
      <c r="B58" s="71"/>
      <c r="C58" s="71"/>
      <c r="D58" s="71"/>
      <c r="E58" s="71"/>
      <c r="F58" s="71"/>
      <c r="G58" s="71"/>
    </row>
    <row r="59" spans="2:7" ht="15">
      <c r="B59" s="71"/>
      <c r="C59" s="71"/>
      <c r="D59" s="71"/>
      <c r="E59" s="71"/>
      <c r="F59" s="71"/>
      <c r="G59" s="71"/>
    </row>
    <row r="60" spans="2:7" ht="15">
      <c r="B60" s="71"/>
      <c r="C60" s="71"/>
      <c r="D60" s="71"/>
      <c r="E60" s="71"/>
      <c r="F60" s="71"/>
      <c r="G60" s="71"/>
    </row>
    <row r="61" spans="2:7" ht="15">
      <c r="B61" s="71"/>
      <c r="C61" s="71"/>
      <c r="D61" s="71"/>
      <c r="E61" s="71"/>
      <c r="F61" s="71"/>
      <c r="G61" s="71"/>
    </row>
    <row r="62" spans="2:7" ht="15">
      <c r="B62" s="71"/>
      <c r="C62" s="71"/>
      <c r="D62" s="71"/>
      <c r="E62" s="71"/>
      <c r="F62" s="71"/>
      <c r="G62" s="71"/>
    </row>
    <row r="63" spans="2:7" ht="15">
      <c r="B63" s="71"/>
      <c r="C63" s="71"/>
      <c r="D63" s="71"/>
      <c r="E63" s="71"/>
      <c r="F63" s="71"/>
      <c r="G63" s="71"/>
    </row>
    <row r="64" spans="2:7" ht="15">
      <c r="B64" s="71"/>
      <c r="C64" s="71"/>
      <c r="D64" s="71"/>
      <c r="E64" s="71"/>
      <c r="F64" s="71"/>
      <c r="G64" s="71"/>
    </row>
    <row r="65" spans="2:7" ht="15">
      <c r="B65" s="71"/>
      <c r="C65" s="71"/>
      <c r="D65" s="71"/>
      <c r="E65" s="71"/>
      <c r="F65" s="71"/>
      <c r="G65" s="71"/>
    </row>
  </sheetData>
  <sheetProtection/>
  <mergeCells count="10">
    <mergeCell ref="D9:E9"/>
    <mergeCell ref="A23:B23"/>
    <mergeCell ref="A24:B24"/>
    <mergeCell ref="A3:F3"/>
    <mergeCell ref="A4:F4"/>
    <mergeCell ref="A5:F5"/>
    <mergeCell ref="A7:B7"/>
    <mergeCell ref="D7:E7"/>
    <mergeCell ref="A8:B8"/>
    <mergeCell ref="D8:E8"/>
  </mergeCells>
  <printOptions horizontalCentered="1"/>
  <pageMargins left="0.75" right="0.5" top="0.7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TSilva</dc:creator>
  <cp:keywords/>
  <dc:description/>
  <cp:lastModifiedBy>Melissa Robyn Paschal</cp:lastModifiedBy>
  <cp:lastPrinted>2011-06-22T17:22:12Z</cp:lastPrinted>
  <dcterms:created xsi:type="dcterms:W3CDTF">2008-03-31T16:12:17Z</dcterms:created>
  <dcterms:modified xsi:type="dcterms:W3CDTF">2011-07-11T18:07:49Z</dcterms:modified>
  <cp:category/>
  <cp:version/>
  <cp:contentType/>
  <cp:contentStatus/>
</cp:coreProperties>
</file>