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>
    <definedName name="_xlnm.Print_Area" localSheetId="0">'Sheet1'!$A$1:$M$35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<sst xmlns="http://schemas.openxmlformats.org/spreadsheetml/2006/main" count="75" uniqueCount="62">
  <si>
    <t>Shares</t>
  </si>
  <si>
    <t xml:space="preserve">Cost of </t>
  </si>
  <si>
    <t>Line</t>
  </si>
  <si>
    <t>Issuance</t>
  </si>
  <si>
    <t>Dividend</t>
  </si>
  <si>
    <t>No.</t>
  </si>
  <si>
    <t>Description of Issue</t>
  </si>
  <si>
    <t>Date</t>
  </si>
  <si>
    <t>Value</t>
  </si>
  <si>
    <t>to Company</t>
  </si>
  <si>
    <t>Cost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</si>
  <si>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</si>
  <si>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</si>
  <si>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</si>
  <si>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</si>
  <si>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</si>
  <si>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</si>
  <si>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</si>
  <si>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</si>
  <si>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</si>
  <si>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</si>
  <si>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</si>
  <si>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5% Preferred Stock, $100 Par Value</t>
  </si>
  <si>
    <t>(a)</t>
  </si>
  <si>
    <t>Serial Preferred, $100 Par Value</t>
  </si>
  <si>
    <t>(b)</t>
  </si>
  <si>
    <t>(c)</t>
  </si>
  <si>
    <t xml:space="preserve">  (a) Issue replaced 6% and 7% preferred stock of Pacific Power &amp; Light Company and Northwestern Electric Company</t>
  </si>
  <si>
    <t xml:space="preserve">       and 5% preferred stock of Mountain States Power Company, most of which sold in the 1920's and 1930's.</t>
  </si>
  <si>
    <t xml:space="preserve">  (b) These issues replaced an issue of The California Oregon Power Company as a result of the merger of that Company into Pacific Power &amp; Light Co.</t>
  </si>
  <si>
    <t>PACIFICORP</t>
  </si>
  <si>
    <t>Electric Operations</t>
  </si>
  <si>
    <t xml:space="preserve">  (c) Original issue expense/premium has been fully amortized or expensed.</t>
  </si>
  <si>
    <t>Total Par</t>
  </si>
  <si>
    <t>or Stated</t>
  </si>
  <si>
    <t>Call</t>
  </si>
  <si>
    <t>Price</t>
  </si>
  <si>
    <t>Annual</t>
  </si>
  <si>
    <t>Rate</t>
  </si>
  <si>
    <t>Net</t>
  </si>
  <si>
    <t>O/S</t>
  </si>
  <si>
    <t>None</t>
  </si>
  <si>
    <t>Premium &amp;</t>
  </si>
  <si>
    <t xml:space="preserve">(Expense) </t>
  </si>
  <si>
    <t>(e)</t>
  </si>
  <si>
    <t>Money</t>
  </si>
  <si>
    <t>% of</t>
  </si>
  <si>
    <t>Gross</t>
  </si>
  <si>
    <t>Proceeds</t>
  </si>
  <si>
    <t xml:space="preserve">  4.52% Series</t>
  </si>
  <si>
    <t xml:space="preserve">  7.00% Series</t>
  </si>
  <si>
    <t xml:space="preserve">  6.00% Series</t>
  </si>
  <si>
    <t xml:space="preserve">  5.00% Series</t>
  </si>
  <si>
    <t xml:space="preserve">  5.40% Series</t>
  </si>
  <si>
    <t xml:space="preserve">  4.72% Series</t>
  </si>
  <si>
    <t xml:space="preserve">  4.56% Series</t>
  </si>
  <si>
    <t>Total Cost of Preferred Stock</t>
  </si>
  <si>
    <t>(d)</t>
  </si>
  <si>
    <t xml:space="preserve">  (d) Column 11 is the after-tax annual amortization of expenses related to the 8.375% QUIDS due 6/30/35 which were redeemed 11/20/00.</t>
  </si>
  <si>
    <t xml:space="preserve">  (e) Column 11 is the annual amortization of expenses related to the 8.55% QUIDS due 12/31/25 which were redeemed 11/20/00.</t>
  </si>
  <si>
    <t>Pro Forma Cost of Preferred Stock</t>
  </si>
  <si>
    <t>Fiscal Year Ending June 30,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</si>
</sst>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-0_)"/>
    <numFmt numFmtId="165" formatCode="0.00%;[Red]\-0.00%"/>
    <numFmt numFmtId="166" formatCode="0.000%"/>
    <numFmt numFmtId="167" formatCode="mmm\-yy_);[Red]mmm\-yy_)"/>
    <numFmt numFmtId="168" formatCode="0.000%;[Red]\-0.000%"/>
    <numFmt numFmtId="169" formatCode="_(* #,##0_);_(* \(#,##0\);_(* &quot;-&quot;??_);_(@_)"/>
    <numFmt numFmtId="170" formatCode="[$-409]mmm\-yy;@"/>
    <numFmt numFmtId="171" formatCode="0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CG Times (WN)"/>
      <family val="1"/>
    </font>
    <font>
      <sz val="10"/>
      <color indexed="12"/>
      <name val="CG Times (WN)"/>
      <family val="1"/>
    </font>
    <font>
      <sz val="10"/>
      <color indexed="12"/>
      <name val="Courier"/>
      <family val="3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3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/>
      <top style="thin"/>
      <bottom style="double"/>
    </border>
    <border>
      <left/>
      <right/>
      <top/>
      <bottom style="medium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4" fillId="0" borderId="10" xfId="0" applyNumberFormat="1" applyFont="1" applyBorder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9" fontId="0" fillId="0" borderId="0" xfId="42" applyNumberFormat="1" applyAlignment="1">
      <alignment/>
    </xf>
    <xf numFmtId="10" fontId="6" fillId="0" borderId="0" xfId="57" applyNumberFormat="1" applyFont="1" applyFill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 quotePrefix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37" fontId="8" fillId="0" borderId="0" xfId="0" applyNumberFormat="1" applyFont="1" applyFill="1" applyBorder="1" applyAlignment="1" applyProtection="1">
      <alignment/>
      <protection locked="0"/>
    </xf>
    <xf numFmtId="6" fontId="6" fillId="0" borderId="0" xfId="0" applyNumberFormat="1" applyFont="1" applyFill="1" applyBorder="1" applyAlignment="1" applyProtection="1">
      <alignment/>
      <protection/>
    </xf>
    <xf numFmtId="166" fontId="6" fillId="0" borderId="0" xfId="57" applyNumberFormat="1" applyFont="1" applyFill="1" applyBorder="1" applyAlignment="1" applyProtection="1">
      <alignment horizontal="right"/>
      <protection/>
    </xf>
    <xf numFmtId="168" fontId="6" fillId="0" borderId="0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167" fontId="6" fillId="0" borderId="0" xfId="0" applyNumberFormat="1" applyFont="1" applyFill="1" applyBorder="1" applyAlignment="1" applyProtection="1">
      <alignment horizontal="center"/>
      <protection/>
    </xf>
    <xf numFmtId="6" fontId="6" fillId="0" borderId="0" xfId="0" applyNumberFormat="1" applyFont="1" applyFill="1" applyBorder="1" applyAlignment="1" applyProtection="1" quotePrefix="1">
      <alignment horizontal="right"/>
      <protection/>
    </xf>
    <xf numFmtId="167" fontId="6" fillId="0" borderId="0" xfId="0" applyNumberFormat="1" applyFont="1" applyFill="1" applyBorder="1" applyAlignment="1" applyProtection="1" quotePrefix="1">
      <alignment horizontal="center"/>
      <protection/>
    </xf>
    <xf numFmtId="169" fontId="6" fillId="0" borderId="0" xfId="42" applyNumberFormat="1" applyFont="1" applyFill="1" applyBorder="1" applyAlignment="1" applyProtection="1">
      <alignment/>
      <protection/>
    </xf>
    <xf numFmtId="167" fontId="6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37" fontId="10" fillId="0" borderId="0" xfId="0" applyNumberFormat="1" applyFont="1" applyFill="1" applyBorder="1" applyAlignment="1" applyProtection="1">
      <alignment/>
      <protection locked="0"/>
    </xf>
    <xf numFmtId="6" fontId="9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Fill="1" applyBorder="1" applyAlignment="1" applyProtection="1" quotePrefix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37" fontId="7" fillId="0" borderId="14" xfId="0" applyNumberFormat="1" applyFont="1" applyFill="1" applyBorder="1" applyAlignment="1" applyProtection="1">
      <alignment/>
      <protection/>
    </xf>
    <xf numFmtId="6" fontId="7" fillId="0" borderId="14" xfId="0" applyNumberFormat="1" applyFont="1" applyFill="1" applyBorder="1" applyAlignment="1" applyProtection="1">
      <alignment/>
      <protection/>
    </xf>
    <xf numFmtId="6" fontId="7" fillId="0" borderId="0" xfId="0" applyNumberFormat="1" applyFont="1" applyFill="1" applyBorder="1" applyAlignment="1" applyProtection="1">
      <alignment/>
      <protection/>
    </xf>
    <xf numFmtId="166" fontId="7" fillId="0" borderId="14" xfId="57" applyNumberFormat="1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10" fontId="6" fillId="0" borderId="0" xfId="57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/>
    </xf>
    <xf numFmtId="169" fontId="6" fillId="0" borderId="16" xfId="42" applyNumberFormat="1" applyFont="1" applyFill="1" applyBorder="1" applyAlignment="1" applyProtection="1">
      <alignment/>
      <protection/>
    </xf>
    <xf numFmtId="166" fontId="6" fillId="0" borderId="0" xfId="57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 quotePrefix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164" fontId="6" fillId="0" borderId="11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5" fontId="6" fillId="0" borderId="0" xfId="0" applyNumberFormat="1" applyFont="1" applyFill="1" applyBorder="1" applyAlignment="1" applyProtection="1">
      <alignment/>
      <protection/>
    </xf>
    <xf numFmtId="5" fontId="7" fillId="0" borderId="14" xfId="0" applyNumberFormat="1" applyFont="1" applyFill="1" applyBorder="1" applyAlignment="1" applyProtection="1">
      <alignment/>
      <protection/>
    </xf>
    <xf numFmtId="0" fontId="11" fillId="33" borderId="2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15" fontId="11" fillId="33" borderId="20" xfId="0" applyNumberFormat="1" applyFont="1" applyFill="1" applyBorder="1" applyAlignment="1" applyProtection="1" quotePrefix="1">
      <alignment horizontal="center"/>
      <protection locked="0"/>
    </xf>
    <xf numFmtId="15" fontId="11" fillId="33" borderId="0" xfId="0" applyNumberFormat="1" applyFont="1" applyFill="1" applyBorder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76200</xdr:rowOff>
    </xdr:from>
    <xdr:to>
      <xdr:col>13</xdr:col>
      <xdr:colOff>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04900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Layout" zoomScaleNormal="75" workbookViewId="0" topLeftCell="C20">
      <selection activeCell="H26" sqref="H26"/>
    </sheetView>
  </sheetViews>
  <sheetFormatPr defaultColWidth="9.140625" defaultRowHeight="12.75"/>
  <cols>
    <col min="1" max="1" width="5.7109375" style="0" bestFit="1" customWidth="1"/>
    <col min="2" max="2" width="42.421875" style="0" customWidth="1"/>
    <col min="3" max="3" width="9.140625" style="1" customWidth="1"/>
    <col min="5" max="5" width="10.00390625" style="0" bestFit="1" customWidth="1"/>
    <col min="6" max="6" width="9.8515625" style="0" bestFit="1" customWidth="1"/>
    <col min="7" max="7" width="14.28125" style="0" bestFit="1" customWidth="1"/>
    <col min="8" max="8" width="12.140625" style="0" bestFit="1" customWidth="1"/>
    <col min="9" max="9" width="13.421875" style="0" bestFit="1" customWidth="1"/>
    <col min="10" max="10" width="11.00390625" style="0" bestFit="1" customWidth="1"/>
    <col min="11" max="11" width="9.7109375" style="0" bestFit="1" customWidth="1"/>
    <col min="12" max="12" width="13.140625" style="0" bestFit="1" customWidth="1"/>
    <col min="13" max="13" width="5.7109375" style="0" bestFit="1" customWidth="1"/>
    <col min="15" max="15" width="3.421875" style="0" bestFit="1" customWidth="1"/>
  </cols>
  <sheetData>
    <row r="1" spans="1:13" s="8" customFormat="1" ht="15.75" customHeight="1">
      <c r="A1" s="67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s="8" customFormat="1" ht="15.75" customHeight="1">
      <c r="A2" s="67" t="s">
        <v>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8" customFormat="1" ht="15.75" customHeight="1">
      <c r="A3" s="67" t="s">
        <v>60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8" customFormat="1" ht="15.75" customHeight="1">
      <c r="A4" s="69" t="s">
        <v>61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8" customFormat="1" ht="13.5" customHeight="1">
      <c r="A5" s="9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2"/>
    </row>
    <row r="6" spans="1:13" s="8" customFormat="1" ht="13.5" customHeight="1">
      <c r="A6" s="9"/>
      <c r="B6" s="10"/>
      <c r="C6" s="11"/>
      <c r="D6" s="10"/>
      <c r="E6" s="10"/>
      <c r="F6" s="10"/>
      <c r="G6" s="13" t="s">
        <v>33</v>
      </c>
      <c r="H6" s="10"/>
      <c r="I6" s="10"/>
      <c r="J6" s="10"/>
      <c r="K6" s="10"/>
      <c r="L6" s="10"/>
      <c r="M6" s="12"/>
    </row>
    <row r="7" spans="1:13" s="8" customFormat="1" ht="12.75" customHeight="1">
      <c r="A7" s="14"/>
      <c r="B7" s="15"/>
      <c r="C7" s="13"/>
      <c r="D7" s="15"/>
      <c r="E7" s="13" t="s">
        <v>37</v>
      </c>
      <c r="F7" s="13"/>
      <c r="G7" s="16" t="s">
        <v>34</v>
      </c>
      <c r="H7" s="13" t="s">
        <v>39</v>
      </c>
      <c r="I7" s="13" t="s">
        <v>39</v>
      </c>
      <c r="J7" s="13" t="s">
        <v>46</v>
      </c>
      <c r="K7" s="13"/>
      <c r="L7" s="15"/>
      <c r="M7" s="17"/>
    </row>
    <row r="8" spans="1:13" s="8" customFormat="1" ht="12.75">
      <c r="A8" s="18" t="s">
        <v>2</v>
      </c>
      <c r="B8" s="19"/>
      <c r="C8" s="16" t="s">
        <v>3</v>
      </c>
      <c r="D8" s="16" t="s">
        <v>35</v>
      </c>
      <c r="E8" s="16" t="s">
        <v>4</v>
      </c>
      <c r="F8" s="16" t="s">
        <v>0</v>
      </c>
      <c r="G8" s="13" t="s">
        <v>8</v>
      </c>
      <c r="H8" s="16" t="s">
        <v>42</v>
      </c>
      <c r="I8" s="16" t="s">
        <v>48</v>
      </c>
      <c r="J8" s="16" t="s">
        <v>47</v>
      </c>
      <c r="K8" s="13" t="s">
        <v>1</v>
      </c>
      <c r="L8" s="16" t="s">
        <v>37</v>
      </c>
      <c r="M8" s="20" t="s">
        <v>2</v>
      </c>
    </row>
    <row r="9" spans="1:13" s="8" customFormat="1" ht="12.75">
      <c r="A9" s="18" t="s">
        <v>5</v>
      </c>
      <c r="B9" s="13" t="s">
        <v>6</v>
      </c>
      <c r="C9" s="13" t="s">
        <v>7</v>
      </c>
      <c r="D9" s="13" t="s">
        <v>36</v>
      </c>
      <c r="E9" s="13" t="s">
        <v>38</v>
      </c>
      <c r="F9" s="13" t="s">
        <v>40</v>
      </c>
      <c r="G9" s="13" t="s">
        <v>40</v>
      </c>
      <c r="H9" s="13" t="s">
        <v>43</v>
      </c>
      <c r="I9" s="13" t="s">
        <v>9</v>
      </c>
      <c r="J9" s="13" t="s">
        <v>48</v>
      </c>
      <c r="K9" s="13" t="s">
        <v>45</v>
      </c>
      <c r="L9" s="13" t="s">
        <v>10</v>
      </c>
      <c r="M9" s="20" t="s">
        <v>5</v>
      </c>
    </row>
    <row r="10" spans="1:13" s="8" customFormat="1" ht="12.75">
      <c r="A10" s="21"/>
      <c r="B10" s="22" t="s">
        <v>11</v>
      </c>
      <c r="C10" s="22" t="s">
        <v>12</v>
      </c>
      <c r="D10" s="22" t="s">
        <v>13</v>
      </c>
      <c r="E10" s="22" t="s">
        <v>14</v>
      </c>
      <c r="F10" s="22" t="s">
        <v>15</v>
      </c>
      <c r="G10" s="22" t="s">
        <v>16</v>
      </c>
      <c r="H10" s="22" t="s">
        <v>17</v>
      </c>
      <c r="I10" s="22" t="s">
        <v>18</v>
      </c>
      <c r="J10" s="22" t="s">
        <v>19</v>
      </c>
      <c r="K10" s="22" t="s">
        <v>20</v>
      </c>
      <c r="L10" s="22" t="s">
        <v>21</v>
      </c>
      <c r="M10" s="59"/>
    </row>
    <row r="11" spans="1:13" s="8" customFormat="1" ht="12.75">
      <c r="A11" s="23"/>
      <c r="B11" s="24"/>
      <c r="C11" s="25"/>
      <c r="D11" s="24"/>
      <c r="E11" s="24"/>
      <c r="F11" s="24"/>
      <c r="G11" s="24"/>
      <c r="H11" s="24"/>
      <c r="I11" s="24"/>
      <c r="J11" s="24"/>
      <c r="K11" s="25"/>
      <c r="L11" s="24"/>
      <c r="M11" s="26"/>
    </row>
    <row r="12" spans="1:13" s="8" customFormat="1" ht="12.75">
      <c r="A12" s="60">
        <v>1</v>
      </c>
      <c r="B12" s="27" t="s">
        <v>22</v>
      </c>
      <c r="C12" s="25" t="s">
        <v>23</v>
      </c>
      <c r="D12" s="6">
        <v>1.1</v>
      </c>
      <c r="E12" s="57">
        <v>0.05</v>
      </c>
      <c r="F12" s="62">
        <f>126533-70-220</f>
        <v>126243</v>
      </c>
      <c r="G12" s="29">
        <f>F12*100</f>
        <v>12624300</v>
      </c>
      <c r="H12" s="65">
        <v>-98049.35</v>
      </c>
      <c r="I12" s="29">
        <f>G12+H12</f>
        <v>12526250.65</v>
      </c>
      <c r="J12" s="30">
        <f>I12/G12</f>
        <v>0.9922332842216994</v>
      </c>
      <c r="K12" s="31">
        <f>E12/J12</f>
        <v>0.05039137549111713</v>
      </c>
      <c r="L12" s="29">
        <f>G12*K12</f>
        <v>636155.8416125099</v>
      </c>
      <c r="M12" s="63">
        <f>A12</f>
        <v>1</v>
      </c>
    </row>
    <row r="13" spans="1:13" s="8" customFormat="1" ht="12.75">
      <c r="A13" s="60">
        <f>A12+1</f>
        <v>2</v>
      </c>
      <c r="B13" s="24"/>
      <c r="C13" s="25"/>
      <c r="D13" s="24"/>
      <c r="E13" s="58"/>
      <c r="F13" s="62"/>
      <c r="G13" s="24"/>
      <c r="H13" s="24"/>
      <c r="I13" s="24"/>
      <c r="J13" s="32"/>
      <c r="K13" s="31"/>
      <c r="L13" s="24"/>
      <c r="M13" s="63">
        <f aca="true" t="shared" si="0" ref="M13:M35">A13</f>
        <v>2</v>
      </c>
    </row>
    <row r="14" spans="1:13" s="8" customFormat="1" ht="12.75">
      <c r="A14" s="60">
        <f aca="true" t="shared" si="1" ref="A14:A35">A13+1</f>
        <v>3</v>
      </c>
      <c r="B14" s="27" t="s">
        <v>24</v>
      </c>
      <c r="C14" s="25"/>
      <c r="D14" s="24"/>
      <c r="E14" s="58"/>
      <c r="F14" s="62"/>
      <c r="G14" s="24"/>
      <c r="H14" s="24"/>
      <c r="I14" s="24"/>
      <c r="J14" s="32"/>
      <c r="K14" s="31"/>
      <c r="L14" s="24"/>
      <c r="M14" s="63">
        <f t="shared" si="0"/>
        <v>3</v>
      </c>
    </row>
    <row r="15" spans="1:13" s="8" customFormat="1" ht="12.75">
      <c r="A15" s="60">
        <f t="shared" si="1"/>
        <v>4</v>
      </c>
      <c r="B15" s="33" t="s">
        <v>49</v>
      </c>
      <c r="C15" s="34">
        <f>DATE(1955,10,10)</f>
        <v>20372</v>
      </c>
      <c r="D15" s="6">
        <v>1.035</v>
      </c>
      <c r="E15" s="57">
        <v>0.0452</v>
      </c>
      <c r="F15" s="62">
        <v>2065</v>
      </c>
      <c r="G15" s="29">
        <f aca="true" t="shared" si="2" ref="G15:G21">F15*100</f>
        <v>206500</v>
      </c>
      <c r="H15" s="65">
        <v>-9676.33</v>
      </c>
      <c r="I15" s="29">
        <f>G15+H15</f>
        <v>196823.67</v>
      </c>
      <c r="J15" s="30">
        <f aca="true" t="shared" si="3" ref="J15:J21">I15/G15</f>
        <v>0.9531412590799032</v>
      </c>
      <c r="K15" s="31">
        <f aca="true" t="shared" si="4" ref="K15:K21">E15/J15</f>
        <v>0.047422141859259095</v>
      </c>
      <c r="L15" s="29">
        <f aca="true" t="shared" si="5" ref="L15:L21">G15*K15</f>
        <v>9792.672293937003</v>
      </c>
      <c r="M15" s="63">
        <f t="shared" si="0"/>
        <v>4</v>
      </c>
    </row>
    <row r="16" spans="1:13" s="8" customFormat="1" ht="12.75">
      <c r="A16" s="60">
        <f t="shared" si="1"/>
        <v>5</v>
      </c>
      <c r="B16" s="33" t="s">
        <v>50</v>
      </c>
      <c r="C16" s="34" t="s">
        <v>25</v>
      </c>
      <c r="D16" s="34" t="s">
        <v>41</v>
      </c>
      <c r="E16" s="57">
        <v>0.07</v>
      </c>
      <c r="F16" s="62">
        <f>18060-14</f>
        <v>18046</v>
      </c>
      <c r="G16" s="29">
        <f t="shared" si="2"/>
        <v>1804600</v>
      </c>
      <c r="H16" s="35" t="s">
        <v>26</v>
      </c>
      <c r="I16" s="29">
        <f>G16</f>
        <v>1804600</v>
      </c>
      <c r="J16" s="30">
        <f t="shared" si="3"/>
        <v>1</v>
      </c>
      <c r="K16" s="31">
        <f t="shared" si="4"/>
        <v>0.07</v>
      </c>
      <c r="L16" s="29">
        <f t="shared" si="5"/>
        <v>126322.00000000001</v>
      </c>
      <c r="M16" s="63">
        <f t="shared" si="0"/>
        <v>5</v>
      </c>
    </row>
    <row r="17" spans="1:13" s="8" customFormat="1" ht="12.75">
      <c r="A17" s="60">
        <f t="shared" si="1"/>
        <v>6</v>
      </c>
      <c r="B17" s="33" t="s">
        <v>51</v>
      </c>
      <c r="C17" s="34" t="s">
        <v>25</v>
      </c>
      <c r="D17" s="34" t="s">
        <v>41</v>
      </c>
      <c r="E17" s="57">
        <v>0.06</v>
      </c>
      <c r="F17" s="62">
        <f>5932-2</f>
        <v>5930</v>
      </c>
      <c r="G17" s="29">
        <f t="shared" si="2"/>
        <v>593000</v>
      </c>
      <c r="H17" s="35" t="s">
        <v>26</v>
      </c>
      <c r="I17" s="29">
        <f>G17</f>
        <v>593000</v>
      </c>
      <c r="J17" s="30">
        <f t="shared" si="3"/>
        <v>1</v>
      </c>
      <c r="K17" s="31">
        <f t="shared" si="4"/>
        <v>0.06</v>
      </c>
      <c r="L17" s="29">
        <f t="shared" si="5"/>
        <v>35580</v>
      </c>
      <c r="M17" s="63">
        <f t="shared" si="0"/>
        <v>6</v>
      </c>
    </row>
    <row r="18" spans="1:13" s="8" customFormat="1" ht="12.75">
      <c r="A18" s="60">
        <f t="shared" si="1"/>
        <v>7</v>
      </c>
      <c r="B18" s="33" t="s">
        <v>52</v>
      </c>
      <c r="C18" s="34" t="s">
        <v>25</v>
      </c>
      <c r="D18" s="6">
        <v>1</v>
      </c>
      <c r="E18" s="57">
        <v>0.05</v>
      </c>
      <c r="F18" s="62">
        <f>42000-30-62</f>
        <v>41908</v>
      </c>
      <c r="G18" s="29">
        <f t="shared" si="2"/>
        <v>4190800</v>
      </c>
      <c r="H18" s="35" t="s">
        <v>26</v>
      </c>
      <c r="I18" s="29">
        <f>G18</f>
        <v>4190800</v>
      </c>
      <c r="J18" s="30">
        <f t="shared" si="3"/>
        <v>1</v>
      </c>
      <c r="K18" s="31">
        <f t="shared" si="4"/>
        <v>0.05</v>
      </c>
      <c r="L18" s="29">
        <f t="shared" si="5"/>
        <v>209540</v>
      </c>
      <c r="M18" s="63">
        <f t="shared" si="0"/>
        <v>7</v>
      </c>
    </row>
    <row r="19" spans="1:13" s="8" customFormat="1" ht="12.75">
      <c r="A19" s="60">
        <f t="shared" si="1"/>
        <v>8</v>
      </c>
      <c r="B19" s="33" t="s">
        <v>53</v>
      </c>
      <c r="C19" s="34" t="s">
        <v>25</v>
      </c>
      <c r="D19" s="6">
        <v>1.01</v>
      </c>
      <c r="E19" s="57">
        <v>0.054</v>
      </c>
      <c r="F19" s="62">
        <f>65960-1</f>
        <v>65959</v>
      </c>
      <c r="G19" s="29">
        <f t="shared" si="2"/>
        <v>6595900</v>
      </c>
      <c r="H19" s="35" t="s">
        <v>26</v>
      </c>
      <c r="I19" s="29">
        <f>G19</f>
        <v>6595900</v>
      </c>
      <c r="J19" s="30">
        <f t="shared" si="3"/>
        <v>1</v>
      </c>
      <c r="K19" s="31">
        <f t="shared" si="4"/>
        <v>0.054</v>
      </c>
      <c r="L19" s="29">
        <f t="shared" si="5"/>
        <v>356178.6</v>
      </c>
      <c r="M19" s="63">
        <f t="shared" si="0"/>
        <v>8</v>
      </c>
    </row>
    <row r="20" spans="1:13" s="8" customFormat="1" ht="12.75">
      <c r="A20" s="60">
        <f t="shared" si="1"/>
        <v>9</v>
      </c>
      <c r="B20" s="33" t="s">
        <v>54</v>
      </c>
      <c r="C20" s="34">
        <f>DATE(1963,8,7)</f>
        <v>23230</v>
      </c>
      <c r="D20" s="6">
        <v>1.035</v>
      </c>
      <c r="E20" s="57">
        <v>0.0472</v>
      </c>
      <c r="F20" s="62">
        <f>69890-4036</f>
        <v>65854</v>
      </c>
      <c r="G20" s="29">
        <f t="shared" si="2"/>
        <v>6585400</v>
      </c>
      <c r="H20" s="65">
        <f>-30348.61+1752.57</f>
        <v>-28596.04</v>
      </c>
      <c r="I20" s="29">
        <f>G20+H20</f>
        <v>6556803.96</v>
      </c>
      <c r="J20" s="30">
        <f t="shared" si="3"/>
        <v>0.9956576608862028</v>
      </c>
      <c r="K20" s="31">
        <f t="shared" si="4"/>
        <v>0.04740585228660703</v>
      </c>
      <c r="L20" s="29">
        <f t="shared" si="5"/>
        <v>312186.49964822194</v>
      </c>
      <c r="M20" s="63">
        <f t="shared" si="0"/>
        <v>9</v>
      </c>
    </row>
    <row r="21" spans="1:13" s="8" customFormat="1" ht="12.75">
      <c r="A21" s="60">
        <f t="shared" si="1"/>
        <v>10</v>
      </c>
      <c r="B21" s="33" t="s">
        <v>55</v>
      </c>
      <c r="C21" s="34">
        <f>DATE(1965,2,3)</f>
        <v>23776</v>
      </c>
      <c r="D21" s="6">
        <v>1.0234</v>
      </c>
      <c r="E21" s="57">
        <v>0.0456</v>
      </c>
      <c r="F21" s="62">
        <f>84592-3266</f>
        <v>81326</v>
      </c>
      <c r="G21" s="29">
        <f t="shared" si="2"/>
        <v>8132600</v>
      </c>
      <c r="H21" s="65">
        <f>-49071.21+1894.58</f>
        <v>-47176.63</v>
      </c>
      <c r="I21" s="29">
        <f>G21+H21</f>
        <v>8085423.37</v>
      </c>
      <c r="J21" s="30">
        <f t="shared" si="3"/>
        <v>0.9941990716376067</v>
      </c>
      <c r="K21" s="31">
        <f t="shared" si="4"/>
        <v>0.045866065761748724</v>
      </c>
      <c r="L21" s="29">
        <f t="shared" si="5"/>
        <v>373010.36641399766</v>
      </c>
      <c r="M21" s="63">
        <f t="shared" si="0"/>
        <v>10</v>
      </c>
    </row>
    <row r="22" spans="1:13" s="8" customFormat="1" ht="12.75">
      <c r="A22" s="60">
        <f t="shared" si="1"/>
        <v>11</v>
      </c>
      <c r="B22" s="24"/>
      <c r="C22" s="25"/>
      <c r="D22" s="24"/>
      <c r="E22" s="58"/>
      <c r="F22" s="28"/>
      <c r="G22" s="24"/>
      <c r="H22" s="24"/>
      <c r="I22" s="29"/>
      <c r="J22" s="32"/>
      <c r="K22" s="31"/>
      <c r="L22" s="24"/>
      <c r="M22" s="63">
        <f t="shared" si="0"/>
        <v>11</v>
      </c>
    </row>
    <row r="23" spans="1:13" s="8" customFormat="1" ht="12.75">
      <c r="A23" s="60">
        <f t="shared" si="1"/>
        <v>12</v>
      </c>
      <c r="B23" s="40"/>
      <c r="C23" s="34">
        <f>DATE(1995,5,31)</f>
        <v>34850</v>
      </c>
      <c r="D23" s="36" t="s">
        <v>57</v>
      </c>
      <c r="E23" s="38"/>
      <c r="F23" s="41"/>
      <c r="G23" s="42"/>
      <c r="H23" s="24"/>
      <c r="I23" s="29"/>
      <c r="J23" s="29"/>
      <c r="K23" s="39"/>
      <c r="L23" s="42">
        <f>((3780000+413399.58+23916.45+57037+49251.09)*0.63)/481*12</f>
        <v>67955.19157422039</v>
      </c>
      <c r="M23" s="63">
        <f t="shared" si="0"/>
        <v>12</v>
      </c>
    </row>
    <row r="24" spans="1:13" s="8" customFormat="1" ht="12.75">
      <c r="A24" s="60">
        <f t="shared" si="1"/>
        <v>13</v>
      </c>
      <c r="B24" s="40"/>
      <c r="C24" s="34">
        <f>DATE(1995,10,5)</f>
        <v>34977</v>
      </c>
      <c r="D24" s="43" t="s">
        <v>44</v>
      </c>
      <c r="E24" s="43"/>
      <c r="F24" s="41"/>
      <c r="G24" s="42"/>
      <c r="H24" s="24"/>
      <c r="I24" s="29"/>
      <c r="J24" s="29"/>
      <c r="K24" s="39"/>
      <c r="L24" s="42">
        <f>(195859.99+1618002.11+33959.89+46700.92+168202.74+36615.33+90278.17+2587.95-11051+271464.54+67935.61)/360*12</f>
        <v>84018.54166666666</v>
      </c>
      <c r="M24" s="63">
        <f t="shared" si="0"/>
        <v>13</v>
      </c>
    </row>
    <row r="25" spans="1:13" s="8" customFormat="1" ht="12.75">
      <c r="A25" s="60">
        <f t="shared" si="1"/>
        <v>14</v>
      </c>
      <c r="B25" s="24"/>
      <c r="C25" s="25"/>
      <c r="D25" s="24"/>
      <c r="E25" s="24"/>
      <c r="F25" s="28"/>
      <c r="G25" s="24"/>
      <c r="H25" s="24"/>
      <c r="I25" s="24"/>
      <c r="J25" s="24"/>
      <c r="K25" s="25"/>
      <c r="L25" s="24"/>
      <c r="M25" s="63">
        <f t="shared" si="0"/>
        <v>14</v>
      </c>
    </row>
    <row r="26" spans="1:13" s="8" customFormat="1" ht="15.75" customHeight="1" thickBot="1">
      <c r="A26" s="60">
        <f t="shared" si="1"/>
        <v>15</v>
      </c>
      <c r="B26" s="27" t="s">
        <v>56</v>
      </c>
      <c r="C26" s="44"/>
      <c r="D26" s="45"/>
      <c r="E26" s="49">
        <f>SUMPRODUCT(E12:E25,G12:G25)/G26</f>
        <v>0.050323860447645766</v>
      </c>
      <c r="F26" s="46">
        <f>SUM(F12:F25)</f>
        <v>407331</v>
      </c>
      <c r="G26" s="47">
        <f>SUM(G12:G25)</f>
        <v>40733100</v>
      </c>
      <c r="H26" s="66">
        <f>SUM(H12:H25)</f>
        <v>-183498.35</v>
      </c>
      <c r="I26" s="47">
        <f>SUM(I12:I25)</f>
        <v>40549601.65</v>
      </c>
      <c r="J26" s="48"/>
      <c r="K26" s="49">
        <f>L26/G26</f>
        <v>0.05427378994502146</v>
      </c>
      <c r="L26" s="47">
        <f>SUM(L12:L25)</f>
        <v>2210739.7132095536</v>
      </c>
      <c r="M26" s="63">
        <f t="shared" si="0"/>
        <v>15</v>
      </c>
    </row>
    <row r="27" spans="1:13" s="8" customFormat="1" ht="13.5" thickTop="1">
      <c r="A27" s="60">
        <f t="shared" si="1"/>
        <v>16</v>
      </c>
      <c r="B27" s="24"/>
      <c r="C27" s="25"/>
      <c r="D27" s="24"/>
      <c r="E27" s="37"/>
      <c r="F27" s="24"/>
      <c r="G27" s="24"/>
      <c r="H27" s="24"/>
      <c r="I27" s="24"/>
      <c r="J27" s="24"/>
      <c r="K27" s="24"/>
      <c r="L27" s="37"/>
      <c r="M27" s="63">
        <f t="shared" si="0"/>
        <v>16</v>
      </c>
    </row>
    <row r="28" spans="1:13" s="8" customFormat="1" ht="13.5" customHeight="1" thickBot="1">
      <c r="A28" s="60">
        <f t="shared" si="1"/>
        <v>17</v>
      </c>
      <c r="B28" s="50"/>
      <c r="C28" s="25"/>
      <c r="D28" s="24"/>
      <c r="E28" s="51"/>
      <c r="F28" s="24"/>
      <c r="G28" s="24"/>
      <c r="H28" s="24"/>
      <c r="I28" s="24"/>
      <c r="J28" s="24"/>
      <c r="K28" s="24"/>
      <c r="L28" s="51"/>
      <c r="M28" s="63">
        <f t="shared" si="0"/>
        <v>17</v>
      </c>
    </row>
    <row r="29" spans="1:13" s="8" customFormat="1" ht="12.75">
      <c r="A29" s="60">
        <f t="shared" si="1"/>
        <v>18</v>
      </c>
      <c r="B29" s="24" t="s">
        <v>27</v>
      </c>
      <c r="C29" s="25"/>
      <c r="D29" s="24"/>
      <c r="E29" s="51"/>
      <c r="F29" s="24"/>
      <c r="G29" s="24"/>
      <c r="H29" s="24"/>
      <c r="I29" s="24"/>
      <c r="J29" s="24"/>
      <c r="K29" s="24"/>
      <c r="L29" s="51"/>
      <c r="M29" s="63">
        <f t="shared" si="0"/>
        <v>18</v>
      </c>
    </row>
    <row r="30" spans="1:13" s="8" customFormat="1" ht="12.75">
      <c r="A30" s="60">
        <f t="shared" si="1"/>
        <v>19</v>
      </c>
      <c r="B30" s="24" t="s">
        <v>28</v>
      </c>
      <c r="C30" s="25"/>
      <c r="D30" s="24"/>
      <c r="E30" s="51"/>
      <c r="F30" s="24"/>
      <c r="G30" s="24"/>
      <c r="H30" s="37"/>
      <c r="I30" s="24"/>
      <c r="J30" s="24"/>
      <c r="K30" s="24"/>
      <c r="L30" s="51"/>
      <c r="M30" s="63">
        <f t="shared" si="0"/>
        <v>19</v>
      </c>
    </row>
    <row r="31" spans="1:13" s="8" customFormat="1" ht="12.75">
      <c r="A31" s="60">
        <f t="shared" si="1"/>
        <v>20</v>
      </c>
      <c r="B31" s="24" t="s">
        <v>29</v>
      </c>
      <c r="C31" s="25"/>
      <c r="D31" s="24"/>
      <c r="E31" s="37"/>
      <c r="F31" s="24"/>
      <c r="G31" s="24"/>
      <c r="H31" s="37"/>
      <c r="I31" s="24"/>
      <c r="J31" s="24"/>
      <c r="K31" s="24"/>
      <c r="L31" s="37"/>
      <c r="M31" s="63">
        <f t="shared" si="0"/>
        <v>20</v>
      </c>
    </row>
    <row r="32" spans="1:13" s="8" customFormat="1" ht="12.75">
      <c r="A32" s="60">
        <f t="shared" si="1"/>
        <v>21</v>
      </c>
      <c r="B32" s="24" t="s">
        <v>32</v>
      </c>
      <c r="C32" s="25"/>
      <c r="D32" s="24"/>
      <c r="E32" s="52"/>
      <c r="F32" s="24"/>
      <c r="G32" s="24"/>
      <c r="H32" s="24"/>
      <c r="I32" s="24"/>
      <c r="J32" s="24"/>
      <c r="K32" s="24"/>
      <c r="L32" s="52"/>
      <c r="M32" s="63">
        <f t="shared" si="0"/>
        <v>21</v>
      </c>
    </row>
    <row r="33" spans="1:13" s="8" customFormat="1" ht="12.75">
      <c r="A33" s="60">
        <f t="shared" si="1"/>
        <v>22</v>
      </c>
      <c r="B33" s="24" t="s">
        <v>58</v>
      </c>
      <c r="C33" s="25"/>
      <c r="D33" s="24"/>
      <c r="E33" s="24"/>
      <c r="F33" s="24"/>
      <c r="G33" s="24"/>
      <c r="H33" s="24"/>
      <c r="I33" s="24"/>
      <c r="J33" s="24"/>
      <c r="K33" s="24"/>
      <c r="L33" s="37"/>
      <c r="M33" s="63">
        <f t="shared" si="0"/>
        <v>22</v>
      </c>
    </row>
    <row r="34" spans="1:13" s="8" customFormat="1" ht="12.75">
      <c r="A34" s="60">
        <f t="shared" si="1"/>
        <v>23</v>
      </c>
      <c r="B34" s="24" t="s">
        <v>59</v>
      </c>
      <c r="C34" s="25"/>
      <c r="D34" s="24"/>
      <c r="E34" s="24"/>
      <c r="F34" s="24"/>
      <c r="G34" s="24"/>
      <c r="H34" s="24"/>
      <c r="I34" s="24"/>
      <c r="J34" s="24"/>
      <c r="K34" s="24"/>
      <c r="L34" s="37"/>
      <c r="M34" s="63">
        <f t="shared" si="0"/>
        <v>23</v>
      </c>
    </row>
    <row r="35" spans="1:13" s="8" customFormat="1" ht="12.75">
      <c r="A35" s="61">
        <f t="shared" si="1"/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6"/>
      <c r="M35" s="64">
        <f t="shared" si="0"/>
        <v>24</v>
      </c>
    </row>
    <row r="36" spans="1:12" ht="12.75">
      <c r="A36" s="4"/>
      <c r="L36" s="5"/>
    </row>
    <row r="37" spans="1:12" ht="12.75">
      <c r="A37" s="2"/>
      <c r="L37" s="5"/>
    </row>
    <row r="38" spans="4:5" ht="12.75">
      <c r="D38" s="7"/>
      <c r="E38" s="7"/>
    </row>
    <row r="40" ht="12.75">
      <c r="C40" s="3"/>
    </row>
  </sheetData>
  <sheetProtection/>
  <mergeCells count="4"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landscape" scale="74" r:id="rId2"/>
  <ignoredErrors>
    <ignoredError sqref="B10:L10" numberStoredAsText="1"/>
    <ignoredError sqref="F12 M12:M18 A13:A19 F16:F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Fechner</dc:creator>
  <cp:keywords/>
  <dc:description/>
  <cp:lastModifiedBy>Sheri Bintz</cp:lastModifiedBy>
  <cp:lastPrinted>2011-01-19T00:48:21Z</cp:lastPrinted>
  <dcterms:created xsi:type="dcterms:W3CDTF">2001-03-29T22:44:10Z</dcterms:created>
  <dcterms:modified xsi:type="dcterms:W3CDTF">2011-01-26T00:55:56Z</dcterms:modified>
  <cp:category/>
  <cp:version/>
  <cp:contentType/>
  <cp:contentStatus/>
</cp:coreProperties>
</file>