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105" windowWidth="9660" windowHeight="11640" tabRatio="925" activeTab="0"/>
  </bookViews>
  <sheets>
    <sheet name="Summary" sheetId="1" r:id="rId1"/>
    <sheet name="Leadsheet - Transmission" sheetId="2" r:id="rId2"/>
    <sheet name="Transmission - Detail" sheetId="3" r:id="rId3"/>
    <sheet name="Transmission - O&amp;M" sheetId="4" r:id="rId4"/>
    <sheet name="Transmission - Property Tax " sheetId="5" r:id="rId5"/>
    <sheet name="Net Power Cost Adjustment" sheetId="6" r:id="rId6"/>
    <sheet name="Leadsheet - Dunlap l" sheetId="7" r:id="rId7"/>
    <sheet name="Dunlap l - Detail" sheetId="8" r:id="rId8"/>
    <sheet name="Dunlap l - O&amp;M" sheetId="9" r:id="rId9"/>
    <sheet name="Dunlap l - REC Revenues" sheetId="10" r:id="rId10"/>
    <sheet name="Dunlap l - Property Tax" sheetId="11" r:id="rId11"/>
    <sheet name="Dunlap l - Tax Credit" sheetId="12" r:id="rId12"/>
    <sheet name="Allocation Factors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'[1]Inputs'!#REF!</definedName>
    <definedName name="__123Graph_B" hidden="1">'[1]Inputs'!#REF!</definedName>
    <definedName name="__123Graph_D" hidden="1">'[1]Inputs'!#REF!</definedName>
    <definedName name="__123Graph_E" hidden="1">'[2]Input'!$E$22:$E$37</definedName>
    <definedName name="__123Graph_F" hidden="1">'[2]Input'!$D$22:$D$37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Fill" localSheetId="11" hidden="1">#REF!</definedName>
    <definedName name="_Fill" hidden="1">#REF!</definedName>
    <definedName name="_j1" localSheetId="5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5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5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5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5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a" hidden="1">'[3]DSM Output'!$J$21:$J$23</definedName>
    <definedName name="Access_Button1" hidden="1">"Headcount_Workbook_Schedules_List"</definedName>
    <definedName name="AccessDatabase" hidden="1">"P:\HR\SharonPlummer\Headcount Workbook.mdb"</definedName>
    <definedName name="Adjs2avg" localSheetId="11">'[4]Inputs'!$V$255:'[4]Inputs'!$AD$505</definedName>
    <definedName name="Adjs2avg" localSheetId="5">'[5]Inputs'!$L$255:'[5]Inputs'!$T$505</definedName>
    <definedName name="Adjs2avg">'[6]Inputs'!$L$255:'[6]Inputs'!$T$505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gf" localSheetId="11" hidden="1">{"PRINT",#N/A,TRUE,"APPA";"PRINT",#N/A,TRUE,"APS";"PRINT",#N/A,TRUE,"BHPL";"PRINT",#N/A,TRUE,"BHPL2";"PRINT",#N/A,TRUE,"CDWR";"PRINT",#N/A,TRUE,"EWEB";"PRINT",#N/A,TRUE,"LADWP";"PRINT",#N/A,TRUE,"NEVBASE"}</definedName>
    <definedName name="cgf" localSheetId="5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11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DispatchSum">"GRID Thermal Generation!R2C1:R4C2"</definedName>
    <definedName name="DUDE" hidden="1">#REF!</definedName>
    <definedName name="energy" localSheetId="1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oo" localSheetId="1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11" hidden="1">{"PRINT",#N/A,TRUE,"APPA";"PRINT",#N/A,TRUE,"APS";"PRINT",#N/A,TRUE,"BHPL";"PRINT",#N/A,TRUE,"BHPL2";"PRINT",#N/A,TRUE,"CDWR";"PRINT",#N/A,TRUE,"EWEB";"PRINT",#N/A,TRUE,"LADWP";"PRINT",#N/A,TRUE,"NEVBASE"}</definedName>
    <definedName name="friend" localSheetId="5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localSheetId="11" hidden="1">{"PRINT",#N/A,TRUE,"APPA";"PRINT",#N/A,TRUE,"APS";"PRINT",#N/A,TRUE,"BHPL";"PRINT",#N/A,TRUE,"BHPL2";"PRINT",#N/A,TRUE,"CDWR";"PRINT",#N/A,TRUE,"EWEB";"PRINT",#N/A,TRUE,"LADWP";"PRINT",#N/A,TRUE,"NEVBASE"}</definedName>
    <definedName name="junk" localSheetId="5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11" hidden="1">{"PRINT",#N/A,TRUE,"APPA";"PRINT",#N/A,TRUE,"APS";"PRINT",#N/A,TRUE,"BHPL";"PRINT",#N/A,TRUE,"BHPL2";"PRINT",#N/A,TRUE,"CDWR";"PRINT",#N/A,TRUE,"EWEB";"PRINT",#N/A,TRUE,"LADWP";"PRINT",#N/A,TRUE,"NEVBASE"}</definedName>
    <definedName name="junk2" localSheetId="5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11" hidden="1">{"PRINT",#N/A,TRUE,"APPA";"PRINT",#N/A,TRUE,"APS";"PRINT",#N/A,TRUE,"BHPL";"PRINT",#N/A,TRUE,"BHPL2";"PRINT",#N/A,TRUE,"CDWR";"PRINT",#N/A,TRUE,"EWEB";"PRINT",#N/A,TRUE,"LADWP";"PRINT",#N/A,TRUE,"NEVBASE"}</definedName>
    <definedName name="junk3" localSheetId="5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11" hidden="1">{"PRINT",#N/A,TRUE,"APPA";"PRINT",#N/A,TRUE,"APS";"PRINT",#N/A,TRUE,"BHPL";"PRINT",#N/A,TRUE,"BHPL2";"PRINT",#N/A,TRUE,"CDWR";"PRINT",#N/A,TRUE,"EWEB";"PRINT",#N/A,TRUE,"LADWP";"PRINT",#N/A,TRUE,"NEVBASE"}</definedName>
    <definedName name="junk4" localSheetId="5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9" hidden="1">{"PRINT",#N/A,TRUE,"APPA";"PRINT",#N/A,TRUE,"APS";"PRINT",#N/A,TRUE,"BHPL";"PRINT",#N/A,TRUE,"BHPL2";"PRINT",#N/A,TRUE,"CDWR";"PRINT",#N/A,TRUE,"EWEB";"PRINT",#N/A,TRUE,"LADWP";"PRINT",#N/A,TRUE,"NEVBASE"}</definedName>
    <definedName name="Keep" localSheetId="11" hidden="1">{"PRINT",#N/A,TRUE,"APPA";"PRINT",#N/A,TRUE,"APS";"PRINT",#N/A,TRUE,"BHPL";"PRINT",#N/A,TRUE,"BHPL2";"PRINT",#N/A,TRUE,"CDWR";"PRINT",#N/A,TRUE,"EWEB";"PRINT",#N/A,TRUE,"LADWP";"PRINT",#N/A,TRUE,"NEVBASE"}</definedName>
    <definedName name="Keep" localSheetId="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9" hidden="1">{"PRINT",#N/A,TRUE,"APPA";"PRINT",#N/A,TRUE,"APS";"PRINT",#N/A,TRUE,"BHPL";"PRINT",#N/A,TRUE,"BHPL2";"PRINT",#N/A,TRUE,"CDWR";"PRINT",#N/A,TRUE,"EWEB";"PRINT",#N/A,TRUE,"LADWP";"PRINT",#N/A,TRUE,"NEVBASE"}</definedName>
    <definedName name="keep2" localSheetId="11" hidden="1">{"PRINT",#N/A,TRUE,"APPA";"PRINT",#N/A,TRUE,"APS";"PRINT",#N/A,TRUE,"BHPL";"PRINT",#N/A,TRUE,"BHPL2";"PRINT",#N/A,TRUE,"CDWR";"PRINT",#N/A,TRUE,"EWEB";"PRINT",#N/A,TRUE,"LADWP";"PRINT",#N/A,TRUE,"NEVBASE"}</definedName>
    <definedName name="keep2" localSheetId="5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Master" localSheetId="11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11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1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'[7]Inputs'!#REF!</definedName>
    <definedName name="_xlnm.Print_Area" localSheetId="10">'Dunlap l - Property Tax'!$A$1:$H$9</definedName>
    <definedName name="_xlnm.Print_Area" localSheetId="9">'Dunlap l - REC Revenues'!$A$1:$L$34</definedName>
    <definedName name="_xlnm.Print_Area" localSheetId="11">'Dunlap l - Tax Credit'!$A$1:$C$14</definedName>
    <definedName name="_xlnm.Print_Area" localSheetId="6">'Leadsheet - Dunlap l'!$A$1:$K$67</definedName>
    <definedName name="_xlnm.Print_Area" localSheetId="1">'Leadsheet - Transmission'!$A$1:$K$64</definedName>
    <definedName name="_xlnm.Print_Area" localSheetId="5">'Net Power Cost Adjustment'!$A$1:$K$47</definedName>
    <definedName name="_xlnm.Print_Titles" localSheetId="12">'Allocation Factors'!$1:$7</definedName>
    <definedName name="_xlnm.Print_Titles" localSheetId="7">'Dunlap l - Detail'!$A:$C,'Dunlap l - Detail'!$1:$16</definedName>
    <definedName name="_xlnm.Print_Titles" localSheetId="0">'Summary'!$1:$7</definedName>
    <definedName name="_xlnm.Print_Titles" localSheetId="2">'Transmission - Detail'!$A:$C,'Transmission - Detail'!$1:$13</definedName>
    <definedName name="retail" localSheetId="1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9" hidden="1">{#N/A,#N/A,FALSE,"Loans";#N/A,#N/A,FALSE,"Program Costs";#N/A,#N/A,FALSE,"Measures";#N/A,#N/A,FALSE,"Net Lost Rev";#N/A,#N/A,FALSE,"Incentive"}</definedName>
    <definedName name="retail_CC" localSheetId="1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9" hidden="1">{#N/A,#N/A,FALSE,"Loans";#N/A,#N/A,FALSE,"Program Costs";#N/A,#N/A,FALSE,"Measures";#N/A,#N/A,FALSE,"Net Lost Rev";#N/A,#N/A,FALSE,"Incentive"}</definedName>
    <definedName name="retail_CC1" localSheetId="1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rr" localSheetId="11" hidden="1">{"PRINT",#N/A,TRUE,"APPA";"PRINT",#N/A,TRUE,"APS";"PRINT",#N/A,TRUE,"BHPL";"PRINT",#N/A,TRUE,"BHPL2";"PRINT",#N/A,TRUE,"CDWR";"PRINT",#N/A,TRUE,"EWEB";"PRINT",#N/A,TRUE,"LADWP";"PRINT",#N/A,TRUE,"NEVBASE"}</definedName>
    <definedName name="rrr" localSheetId="5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localSheetId="11" hidden="1">"45E0HSXTFNPZNJBTUASVO6FBF"</definedName>
    <definedName name="SAPBEXwbID" localSheetId="5" hidden="1">"45E0HSXTFNPZNJBTUASVO6FBF"</definedName>
    <definedName name="SAPBEXwbID" hidden="1">"45EQYSCWE9WJMGB34OOD1BOQZ"</definedName>
    <definedName name="shit" localSheetId="9" hidden="1">{"PRINT",#N/A,TRUE,"APPA";"PRINT",#N/A,TRUE,"APS";"PRINT",#N/A,TRUE,"BHPL";"PRINT",#N/A,TRUE,"BHPL2";"PRINT",#N/A,TRUE,"CDWR";"PRINT",#N/A,TRUE,"EWEB";"PRINT",#N/A,TRUE,"LADWP";"PRINT",#N/A,TRUE,"NEVBASE"}</definedName>
    <definedName name="shit" localSheetId="11" hidden="1">{"PRINT",#N/A,TRUE,"APPA";"PRINT",#N/A,TRUE,"APS";"PRINT",#N/A,TRUE,"BHPL";"PRINT",#N/A,TRUE,"BHPL2";"PRINT",#N/A,TRUE,"CDWR";"PRINT",#N/A,TRUE,"EWEB";"PRINT",#N/A,TRUE,"LADWP";"PRINT",#N/A,TRUE,"NEVBASE"}</definedName>
    <definedName name="shit" localSheetId="5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localSheetId="11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andard1" localSheetId="11" hidden="1">{"YTD-Total",#N/A,FALSE,"Provision"}</definedName>
    <definedName name="standard1" hidden="1">{"YTD-Total",#N/A,FALSE,"Provision"}</definedName>
    <definedName name="TRANSM_2">'[8]Transm2'!$A$1:$M$461:'[8]10 Yr FC'!$M$47</definedName>
    <definedName name="w" hidden="1">'[1]Inputs'!#REF!</definedName>
    <definedName name="WinterPeak">'[9]Load Data'!$D$9:$H$12,'[9]Load Data'!$D$20:$H$22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localSheetId="11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9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localSheetId="11" hidden="1">{#N/A,#N/A,FALSE,"Summary 1";#N/A,#N/A,FALSE,"Domestic";#N/A,#N/A,FALSE,"Australia";#N/A,#N/A,FALSE,"Other"}</definedName>
    <definedName name="wrn.All._.Pages." localSheetId="5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hidden="1">{#N/A,#N/A,FALSE,"Cover";#N/A,#N/A,FALSE,"Lead Sheet";#N/A,#N/A,FALSE,"T-Accounts";#N/A,#N/A,FALSE,"Ins &amp; Prem ActualEstimates"}</definedName>
    <definedName name="wrn.BUS._.RPT." localSheetId="1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11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11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Factors._.Tab._.10." localSheetId="9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5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11" hidden="1">{"FullView",#N/A,FALSE,"Consltd-For contngcy"}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11" hidden="1">{"Open issues Only",#N/A,FALSE,"TIMELINE"}</definedName>
    <definedName name="wrn.Open._.Issues._.Only." hidden="1">{"Open issues Only",#N/A,FALSE,"TIMELINE"}</definedName>
    <definedName name="wrn.OR._.Carrying._.Charge._.JV." localSheetId="9" hidden="1">{#N/A,#N/A,FALSE,"Loans";#N/A,#N/A,FALSE,"Program Costs";#N/A,#N/A,FALSE,"Measures";#N/A,#N/A,FALSE,"Net Lost Rev";#N/A,#N/A,FALSE,"Incentive"}</definedName>
    <definedName name="wrn.OR._.Carrying._.Charge._.JV." localSheetId="1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9" hidden="1">{#N/A,#N/A,FALSE,"Loans";#N/A,#N/A,FALSE,"Program Costs";#N/A,#N/A,FALSE,"Measures";#N/A,#N/A,FALSE,"Net Lost Rev";#N/A,#N/A,FALSE,"Incentive"}</definedName>
    <definedName name="wrn.OR._.Carrying._.Charge._.JV.1" localSheetId="1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1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11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11" hidden="1">{"PFS recon view",#N/A,FALSE,"Hyperion Proof"}</definedName>
    <definedName name="wrn.PFSreconview." hidden="1">{"PFS recon view",#N/A,FALSE,"Hyperion Proof"}</definedName>
    <definedName name="wrn.PGHCreconview." localSheetId="11" hidden="1">{"PGHC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localSheetId="11" hidden="1">{"PPM Co Code View",#N/A,FALSE,"Comp Codes"}</definedName>
    <definedName name="wrn.PPMCoCodeView." hidden="1">{"PPM Co Code View",#N/A,FALSE,"Comp Codes"}</definedName>
    <definedName name="wrn.PPMreconview." localSheetId="11" hidden="1">{"PPM Recon View",#N/A,FALSE,"Hyperion Proof"}</definedName>
    <definedName name="wrn.PPMreconview." hidden="1">{"PPM Recon View",#N/A,FALSE,"Hyperion Proof"}</definedName>
    <definedName name="wrn.ProofElectricOnly." localSheetId="11" hidden="1">{"Electric Only",#N/A,FALSE,"Hyperion Proof"}</definedName>
    <definedName name="wrn.ProofElectricOnly." hidden="1">{"Electric Only",#N/A,FALSE,"Hyperion Proof"}</definedName>
    <definedName name="wrn.ProofTotal." localSheetId="11" hidden="1">{"Proof Total",#N/A,FALSE,"Hyperion Proof"}</definedName>
    <definedName name="wrn.ProofTotal." hidden="1">{"Proof Total",#N/A,FALSE,"Hyperion Proof"}</definedName>
    <definedName name="wrn.Reformat._.only." localSheetId="11" hidden="1">{#N/A,#N/A,FALSE,"Dec 1999 mapping"}</definedName>
    <definedName name="wrn.Reformat._.only." hidden="1">{#N/A,#N/A,FALSE,"Dec 1999 mapping"}</definedName>
    <definedName name="wrn.SALES._.VAR._.95._.BUDGET." localSheetId="9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5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11" hidden="1">{"YTD-Total",#N/A,FALSE,"Provision"}</definedName>
    <definedName name="wrn.Standard." hidden="1">{"YTD-Total",#N/A,FALSE,"Provision"}</definedName>
    <definedName name="wrn.Standard._.NonUtility._.Only." localSheetId="11" hidden="1">{"YTD-NonUtility",#N/A,FALSE,"Prov NonUtility"}</definedName>
    <definedName name="wrn.Standard._.NonUtility._.Only." hidden="1">{"YTD-NonUtility",#N/A,FALSE,"Prov NonUtility"}</definedName>
    <definedName name="wrn.Standard._.Utility._.Only." localSheetId="11" hidden="1">{"YTD-Utility",#N/A,FALSE,"Prov Utility"}</definedName>
    <definedName name="wrn.Standard._.Utility._.Only." hidden="1">{"YTD-Utility",#N/A,FALSE,"Prov Utility"}</definedName>
    <definedName name="wrn.Summary._.View." localSheetId="11" hidden="1">{#N/A,#N/A,FALSE,"Consltd-For contngcy"}</definedName>
    <definedName name="wrn.Summary._.View." hidden="1">{#N/A,#N/A,FALSE,"Consltd-For contngcy"}</definedName>
    <definedName name="wrn.UK._.Conversion._.Only." localSheetId="11" hidden="1">{#N/A,#N/A,FALSE,"Dec 1999 UK Continuing Ops"}</definedName>
    <definedName name="wrn.UK._.Conversion._.Only." hidden="1">{#N/A,#N/A,FALSE,"Dec 1999 UK Continuing Ops"}</definedName>
    <definedName name="wrn.YearEnd." localSheetId="9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5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z" hidden="1">'[3]DSM Output'!$G$21:$G$23</definedName>
    <definedName name="Z_01844156_6462_4A28_9785_1A86F4D0C834_.wvu.PrintTitles" localSheetId="11" hidden="1">#REF!</definedName>
    <definedName name="Z_01844156_6462_4A28_9785_1A86F4D0C834_.wvu.PrintTitles" hidden="1">#REF!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<sst xmlns="http://schemas.openxmlformats.org/spreadsheetml/2006/main" count="1352" uniqueCount="520">
  <si>
    <t xml:space="preserve"> </t>
  </si>
  <si>
    <t>Estimated Cost:</t>
  </si>
  <si>
    <t>Non-Land</t>
  </si>
  <si>
    <t>Land Rights</t>
  </si>
  <si>
    <t>SG</t>
  </si>
  <si>
    <t>Description</t>
  </si>
  <si>
    <t>Factor</t>
  </si>
  <si>
    <t>Type</t>
  </si>
  <si>
    <t>DGP</t>
  </si>
  <si>
    <t>DGU</t>
  </si>
  <si>
    <t>Transmission Plant:</t>
  </si>
  <si>
    <t xml:space="preserve">  Total Transmission Plant</t>
  </si>
  <si>
    <t xml:space="preserve">Land </t>
  </si>
  <si>
    <t>Rocky Mountain Power</t>
  </si>
  <si>
    <t>TOTAL</t>
  </si>
  <si>
    <t>ACCOUNT</t>
  </si>
  <si>
    <t>COMPANY</t>
  </si>
  <si>
    <t>FACTOR</t>
  </si>
  <si>
    <t>FACTOR %</t>
  </si>
  <si>
    <t>ALLOCATED</t>
  </si>
  <si>
    <t>REF#</t>
  </si>
  <si>
    <t>SSGCH</t>
  </si>
  <si>
    <t>SG-P</t>
  </si>
  <si>
    <t>SG-U</t>
  </si>
  <si>
    <t>SSGCT</t>
  </si>
  <si>
    <t>SO</t>
  </si>
  <si>
    <t>CN</t>
  </si>
  <si>
    <t>SE</t>
  </si>
  <si>
    <t>Description of Adjustment:</t>
  </si>
  <si>
    <t>SC</t>
  </si>
  <si>
    <t>SE-P</t>
  </si>
  <si>
    <t>SE-U</t>
  </si>
  <si>
    <t>DEP</t>
  </si>
  <si>
    <t>DEU</t>
  </si>
  <si>
    <t>SO-P</t>
  </si>
  <si>
    <t>SO-U</t>
  </si>
  <si>
    <t>DOP</t>
  </si>
  <si>
    <t>DOU</t>
  </si>
  <si>
    <t>GPS</t>
  </si>
  <si>
    <t>SGPP</t>
  </si>
  <si>
    <t>SGPU</t>
  </si>
  <si>
    <t>SNP</t>
  </si>
  <si>
    <t>SNPD</t>
  </si>
  <si>
    <t>DNPGMP</t>
  </si>
  <si>
    <t>DNPGMU</t>
  </si>
  <si>
    <t>DNPIP</t>
  </si>
  <si>
    <t>DNPIU</t>
  </si>
  <si>
    <t>DNPPSP</t>
  </si>
  <si>
    <t>DNPPSU</t>
  </si>
  <si>
    <t>DNPPHP</t>
  </si>
  <si>
    <t>DNPPHU</t>
  </si>
  <si>
    <t>CNP</t>
  </si>
  <si>
    <t>CNU</t>
  </si>
  <si>
    <t>WBTAX</t>
  </si>
  <si>
    <t>OPRVWY</t>
  </si>
  <si>
    <t>EXCTAX</t>
  </si>
  <si>
    <t>INT</t>
  </si>
  <si>
    <t>CIAC</t>
  </si>
  <si>
    <t>IDSIT</t>
  </si>
  <si>
    <t>TAXDEPR</t>
  </si>
  <si>
    <t>BADDEBT</t>
  </si>
  <si>
    <t>DITEXP</t>
  </si>
  <si>
    <t>DITBAL</t>
  </si>
  <si>
    <t>ITC84</t>
  </si>
  <si>
    <t>ITC85</t>
  </si>
  <si>
    <t>ITC86</t>
  </si>
  <si>
    <t>ITC88</t>
  </si>
  <si>
    <t>ITC89</t>
  </si>
  <si>
    <t>ITC90</t>
  </si>
  <si>
    <t>OTHER</t>
  </si>
  <si>
    <t>NUTIL</t>
  </si>
  <si>
    <t>SNPPS</t>
  </si>
  <si>
    <t>SNPT</t>
  </si>
  <si>
    <t>SNPP</t>
  </si>
  <si>
    <t>SNPPH</t>
  </si>
  <si>
    <t>SNPPN</t>
  </si>
  <si>
    <t>SNPPO</t>
  </si>
  <si>
    <t>SNPG</t>
  </si>
  <si>
    <t>SNPI</t>
  </si>
  <si>
    <t>TROJP</t>
  </si>
  <si>
    <t>TROJD</t>
  </si>
  <si>
    <t>IBT</t>
  </si>
  <si>
    <t>SCHMDEXP</t>
  </si>
  <si>
    <t>SCHMAEXP</t>
  </si>
  <si>
    <t>SGCT</t>
  </si>
  <si>
    <t>108TP</t>
  </si>
  <si>
    <t>403TP</t>
  </si>
  <si>
    <t>SCHMAT</t>
  </si>
  <si>
    <t>SCHMDT</t>
  </si>
  <si>
    <t>DESCRIPTION</t>
  </si>
  <si>
    <t xml:space="preserve">   California</t>
  </si>
  <si>
    <t xml:space="preserve">      Oregon</t>
  </si>
  <si>
    <t>Washington</t>
  </si>
  <si>
    <t xml:space="preserve">     Montana</t>
  </si>
  <si>
    <t>Wyo-PPL</t>
  </si>
  <si>
    <t xml:space="preserve">     Utah</t>
  </si>
  <si>
    <t>Idaho</t>
  </si>
  <si>
    <t xml:space="preserve"> Wyo-UPL</t>
  </si>
  <si>
    <t>FERC-UPL</t>
  </si>
  <si>
    <t>NON-UTILITY</t>
  </si>
  <si>
    <t>Situs</t>
  </si>
  <si>
    <t>S</t>
  </si>
  <si>
    <t>System Generation</t>
  </si>
  <si>
    <t>System Generation (Pac. Power Costs on SG)</t>
  </si>
  <si>
    <t>System Generation (R.M.P. Costs on SG)</t>
  </si>
  <si>
    <t>Divisional Generation - Pac. Power</t>
  </si>
  <si>
    <t>Divisional Generation - R.M.P.</t>
  </si>
  <si>
    <t>System Capacity</t>
  </si>
  <si>
    <t>System Energy</t>
  </si>
  <si>
    <t>System Energy (Pac. Power Costs on SE)</t>
  </si>
  <si>
    <t>System Energy (R.M.P. Costs on SE)</t>
  </si>
  <si>
    <t>Divisional Energy - Pac. Power</t>
  </si>
  <si>
    <t>Divisional Energy - R.M.P.</t>
  </si>
  <si>
    <t>System Overhead</t>
  </si>
  <si>
    <t>System Overhead (Pac. Power Costs on SO)</t>
  </si>
  <si>
    <t>System Overhead (R.M.P. Costs on SO)</t>
  </si>
  <si>
    <t>Divisional Overhead - Pac. Power</t>
  </si>
  <si>
    <t>Gross Plant-System</t>
  </si>
  <si>
    <t>System Gross Plant - Pac. Power</t>
  </si>
  <si>
    <t>System Gross Plant - R.M.P.</t>
  </si>
  <si>
    <t>System Net Plant</t>
  </si>
  <si>
    <t>Seasonal System Capacity Combustion Turbine</t>
  </si>
  <si>
    <t>SSCCT</t>
  </si>
  <si>
    <t>Seasonal System Energy Combustion Turbine</t>
  </si>
  <si>
    <t>SSECT</t>
  </si>
  <si>
    <t>Seasonal System Capacity Cholla</t>
  </si>
  <si>
    <t>SSCCH</t>
  </si>
  <si>
    <t>Seasonal System Energy Cholla</t>
  </si>
  <si>
    <t>SSECH</t>
  </si>
  <si>
    <t>Seasonal System Generation Cholla</t>
  </si>
  <si>
    <t>Seasonal System Capacity Purchases</t>
  </si>
  <si>
    <t>SSCP</t>
  </si>
  <si>
    <t>Seasonal System Energy Purchases</t>
  </si>
  <si>
    <t>SSEP</t>
  </si>
  <si>
    <t>Seasonal System Generation Contracts</t>
  </si>
  <si>
    <t>SSGC</t>
  </si>
  <si>
    <t>Seasonal System Generation Combustion Turbine</t>
  </si>
  <si>
    <t xml:space="preserve">Mid-Columbia </t>
  </si>
  <si>
    <t>MC</t>
  </si>
  <si>
    <t>Division Net Plant Distribution</t>
  </si>
  <si>
    <t>Divisional Generation - Huntington</t>
  </si>
  <si>
    <t>DGUH</t>
  </si>
  <si>
    <t>Divisional Energy - Huntington</t>
  </si>
  <si>
    <t>DEUH</t>
  </si>
  <si>
    <t>Division Net Plant General-Mine - Pac. Power</t>
  </si>
  <si>
    <t>Division Net Plant General-Mine - R.M.P.</t>
  </si>
  <si>
    <t>Division Net Plant Intangible - Pac. Power</t>
  </si>
  <si>
    <t>Division Net Plant Intangible - R.M.P.</t>
  </si>
  <si>
    <t>Division Net Plant Steam - Pac. Power</t>
  </si>
  <si>
    <t>Division Net Plant Steam - R.M.P.</t>
  </si>
  <si>
    <t>Division Net Plant Hydro - Pac. Power</t>
  </si>
  <si>
    <t>Division Net Plant Hydro - R.M.P.</t>
  </si>
  <si>
    <t>System Net Hydro Plant-Pac. Power</t>
  </si>
  <si>
    <t>SNPPH-P</t>
  </si>
  <si>
    <t>System Net Hydro Plant-R.M.P.</t>
  </si>
  <si>
    <t>SNPPH-U</t>
  </si>
  <si>
    <t>Customer - System</t>
  </si>
  <si>
    <t>Customer - Pac. Power</t>
  </si>
  <si>
    <t>Customer - R.M.P.</t>
  </si>
  <si>
    <t>Washington Business Tax</t>
  </si>
  <si>
    <t>Operating Revenue - Idaho</t>
  </si>
  <si>
    <t>OPRV-ID</t>
  </si>
  <si>
    <t>Operating Revenue - Wyoming</t>
  </si>
  <si>
    <t>Excise Tax - superfund</t>
  </si>
  <si>
    <t>Interest</t>
  </si>
  <si>
    <t>Idaho State Income Tax</t>
  </si>
  <si>
    <t>Blank</t>
  </si>
  <si>
    <t>DONOTUSE</t>
  </si>
  <si>
    <t>Bad Debt Expense</t>
  </si>
  <si>
    <t>Accumulated Investment Tax Credit 1984</t>
  </si>
  <si>
    <t>Accumulated Investment Tax Credit 1985</t>
  </si>
  <si>
    <t>Accumulated Investment Tax Credit 1986</t>
  </si>
  <si>
    <t>Accumulated Investment Tax Credit 1988</t>
  </si>
  <si>
    <t>Accumulated Investment Tax Credit 1989</t>
  </si>
  <si>
    <t>Accumulated Investment Tax Credit 1990</t>
  </si>
  <si>
    <t>Other Electric</t>
  </si>
  <si>
    <t>Non-Utility</t>
  </si>
  <si>
    <t>System Net Steam Plant</t>
  </si>
  <si>
    <t>System Net Transmission Plant</t>
  </si>
  <si>
    <t>System Net Production Plant</t>
  </si>
  <si>
    <t>System Net Hydro Plant</t>
  </si>
  <si>
    <t>System Net Nuclear Plant</t>
  </si>
  <si>
    <t>System Net Other Production Plant</t>
  </si>
  <si>
    <t>System Net General Plant</t>
  </si>
  <si>
    <t>System Net Intangible Plant</t>
  </si>
  <si>
    <t>Trojan Plant Allocator</t>
  </si>
  <si>
    <t>Trojan Decommissioning Allocator</t>
  </si>
  <si>
    <t>Income Before Taxes</t>
  </si>
  <si>
    <t>DIT Expense</t>
  </si>
  <si>
    <t>DIT Balance</t>
  </si>
  <si>
    <t>Tax Depreciation</t>
  </si>
  <si>
    <t>SCHMAT Depreciation Expense</t>
  </si>
  <si>
    <t>SCHMDT Amortization Expense</t>
  </si>
  <si>
    <t>System Generation Cholla Transaction</t>
  </si>
  <si>
    <t>BEGINNING/ENDING AVERAGE FACTORS</t>
  </si>
  <si>
    <t>Divisional Overhead - R.M.P.</t>
  </si>
  <si>
    <t>UTAH</t>
  </si>
  <si>
    <t>Depreciation Rate</t>
  </si>
  <si>
    <t>Depreciation Expense:</t>
  </si>
  <si>
    <t xml:space="preserve">  Total Depreciation Expense</t>
  </si>
  <si>
    <t>13 M Average</t>
  </si>
  <si>
    <t>Depreciation Reserve:</t>
  </si>
  <si>
    <t>PLANT ADDITIONS:</t>
  </si>
  <si>
    <t xml:space="preserve">  Total Depreciation Reserve</t>
  </si>
  <si>
    <t xml:space="preserve">AFUDC included </t>
  </si>
  <si>
    <t>Property Tax</t>
  </si>
  <si>
    <t>Non-Firm Wheeling</t>
  </si>
  <si>
    <t>Post-Merger Firm - Sales for Resale</t>
  </si>
  <si>
    <t>Post-merger Firm - Purchased Power</t>
  </si>
  <si>
    <t>Fuel Consumed - Coal</t>
  </si>
  <si>
    <t>Fuel Consumed - Gas</t>
  </si>
  <si>
    <t>Natural Gas Consumed</t>
  </si>
  <si>
    <t>Simple Cycle Combustion Turbines</t>
  </si>
  <si>
    <t>Cholla / APS Exchange</t>
  </si>
  <si>
    <t>Removal Costs</t>
  </si>
  <si>
    <t>Book Schedule M Addition</t>
  </si>
  <si>
    <t>Tax Schedule M Deduction</t>
  </si>
  <si>
    <t>Deferred Tax Expense</t>
  </si>
  <si>
    <t>Beg/End Avg Accum Def Inc Tax Bal</t>
  </si>
  <si>
    <t>Divisional Overhead - R.M.P. Power</t>
  </si>
  <si>
    <t>Utah Major Plant Addition Filing</t>
  </si>
  <si>
    <t xml:space="preserve">   Operating Revenues:</t>
  </si>
  <si>
    <t>General Business Revenues</t>
  </si>
  <si>
    <t>Interdepartmental</t>
  </si>
  <si>
    <t>Special Sales</t>
  </si>
  <si>
    <t>Other Operating Revenues</t>
  </si>
  <si>
    <t xml:space="preserve">   Total Operating Revenues</t>
  </si>
  <si>
    <t xml:space="preserve">   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</si>
  <si>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</si>
  <si>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</si>
  <si>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</si>
  <si>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</si>
  <si>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</si>
  <si>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</si>
  <si>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</si>
  <si>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</t>
  </si>
  <si>
    <t>Sales</t>
  </si>
  <si>
    <t>Administrative &amp; General</t>
  </si>
  <si>
    <t xml:space="preserve">   Total O&amp;M Expenses</t>
  </si>
  <si>
    <t>Depreciation</t>
  </si>
  <si>
    <t xml:space="preserve">Amortization </t>
  </si>
  <si>
    <t>Taxes Other Than Income</t>
  </si>
  <si>
    <t>Income Taxes - Federal</t>
  </si>
  <si>
    <t>Income Taxes - State</t>
  </si>
  <si>
    <t>Income Taxes - Def Net</t>
  </si>
  <si>
    <t>Investment Tax Credit Adj.</t>
  </si>
  <si>
    <t>Misc Revenue &amp; Expense</t>
  </si>
  <si>
    <t xml:space="preserve">   Total Operating Expenses:</t>
  </si>
  <si>
    <t xml:space="preserve">   Operating Rev For Return:</t>
  </si>
  <si>
    <t xml:space="preserve">   Rate Base:</t>
  </si>
  <si>
    <t>Electric Plant In Service</t>
  </si>
  <si>
    <t>Plant Held for Future Use</t>
  </si>
  <si>
    <t>Misc Deferred Debits</t>
  </si>
  <si>
    <t>Elec Plant Acq Adj</t>
  </si>
  <si>
    <t>Nuclear Fuel</t>
  </si>
  <si>
    <t>Prepayments</t>
  </si>
  <si>
    <t>Fuel Stock</t>
  </si>
  <si>
    <t>Material &amp; Supplies</t>
  </si>
  <si>
    <t>Working Capital</t>
  </si>
  <si>
    <t>Weatherization Loans</t>
  </si>
  <si>
    <t xml:space="preserve">Misc Rate Base </t>
  </si>
  <si>
    <t xml:space="preserve">   Total Electric Plant:</t>
  </si>
  <si>
    <t>Rate Base Deductions:</t>
  </si>
  <si>
    <t>Accum Prov For Deprec</t>
  </si>
  <si>
    <t>Accum Prov For Amort</t>
  </si>
  <si>
    <t>Accum Def Income Tax</t>
  </si>
  <si>
    <t>Unamortized ITC</t>
  </si>
  <si>
    <t>Customer Adv For Const</t>
  </si>
  <si>
    <t>Customer Service Deposits</t>
  </si>
  <si>
    <t>Misc Rate Base Deductions</t>
  </si>
  <si>
    <t xml:space="preserve">     Total Rate Base Deductions</t>
  </si>
  <si>
    <t xml:space="preserve">   Total Rate Base:</t>
  </si>
  <si>
    <t>Return on Rate Base</t>
  </si>
  <si>
    <t>Return on Equity</t>
  </si>
  <si>
    <t>Net Power Cost Adjustment</t>
  </si>
  <si>
    <t>(1)</t>
  </si>
  <si>
    <t>(2)</t>
  </si>
  <si>
    <t>(3)</t>
  </si>
  <si>
    <t>Total</t>
  </si>
  <si>
    <t>Account</t>
  </si>
  <si>
    <t>Adjustment</t>
  </si>
  <si>
    <t>Sales for Resale  (Account 447)</t>
  </si>
  <si>
    <t>Existing Firm Sales PPL</t>
  </si>
  <si>
    <t>Existing Firm Sales UPL</t>
  </si>
  <si>
    <t>Post-merger Firm Sales</t>
  </si>
  <si>
    <t>447.13, 447.14, 447.2, 447.61, 447.62</t>
  </si>
  <si>
    <t>Non-firm Sales</t>
  </si>
  <si>
    <t>Total Revenue Adjustments</t>
  </si>
  <si>
    <t>Purchased Power (Account 555)</t>
  </si>
  <si>
    <t>Existing Firm Demand PPL</t>
  </si>
  <si>
    <t>Existing Firm Demand UPL</t>
  </si>
  <si>
    <t>Existing Firm Energy</t>
  </si>
  <si>
    <t>555.65, 555.69</t>
  </si>
  <si>
    <t>Post-merger Firm</t>
  </si>
  <si>
    <t>555, 555.55,555.61,555.62, 555.67</t>
  </si>
  <si>
    <t>Seasonal Contracts</t>
  </si>
  <si>
    <t>Other Generation</t>
  </si>
  <si>
    <t>Total Purchased Power Adjustment</t>
  </si>
  <si>
    <t>Wheeling (Account 565)</t>
  </si>
  <si>
    <t>Existing Firm PPL</t>
  </si>
  <si>
    <t>Existing Firm UPL</t>
  </si>
  <si>
    <t>565.0, 565.46, 565.1</t>
  </si>
  <si>
    <t>Non-firm</t>
  </si>
  <si>
    <t>Total Wheeling Expense Adjustment</t>
  </si>
  <si>
    <t>Fuel Expense (Accounts 501, 503 and 547)</t>
  </si>
  <si>
    <t>501.1, 501.11</t>
  </si>
  <si>
    <t>Steam From Other Sources</t>
  </si>
  <si>
    <t>Cholla/APS Exchange</t>
  </si>
  <si>
    <t>501,501.1,501.2,501.45</t>
  </si>
  <si>
    <t>Total Fuel Expense</t>
  </si>
  <si>
    <t>Net Power Cost</t>
  </si>
  <si>
    <t>(2) - (1)</t>
  </si>
  <si>
    <t>Property Tax Allocable to Transmission Segments</t>
  </si>
  <si>
    <t>Annual tax associated with project (rounded)</t>
  </si>
  <si>
    <t>Allocation Factor Comparison</t>
  </si>
  <si>
    <t>Incremental O&amp;M:</t>
  </si>
  <si>
    <t>Revenue Requirement Summary</t>
  </si>
  <si>
    <t>Docket No. 09-035-23</t>
  </si>
  <si>
    <t>TOTAL COMPANY
JUNE 2010</t>
  </si>
  <si>
    <t>OTHER ADJUSTMENTS:</t>
  </si>
  <si>
    <t>Net Power Costs:</t>
  </si>
  <si>
    <t>Revised NPC</t>
  </si>
  <si>
    <t>Transmission Plant in Service</t>
  </si>
  <si>
    <t>Transmission Plant Depreciation Reserve</t>
  </si>
  <si>
    <t>Transmission Plant Depreciation Expense</t>
  </si>
  <si>
    <t>ROLLED IN</t>
  </si>
  <si>
    <t>Page 2.0</t>
  </si>
  <si>
    <t>Ref 2.0</t>
  </si>
  <si>
    <t>Page 3.0</t>
  </si>
  <si>
    <t>Ref 3.0</t>
  </si>
  <si>
    <t>Commission Ordered Position Docket No. 09-035-23</t>
  </si>
  <si>
    <t>Utah Allocated Results
June 2010
Rolled In Method</t>
  </si>
  <si>
    <t>Page 4.1</t>
  </si>
  <si>
    <t>Page 4.2</t>
  </si>
  <si>
    <t>Page 4.3</t>
  </si>
  <si>
    <t>Populus to Ben Lomond Transmission Line</t>
  </si>
  <si>
    <t>Dunlap I Wind Plant</t>
  </si>
  <si>
    <t>Ordered Results</t>
  </si>
  <si>
    <t>MPA 1 Projects</t>
  </si>
  <si>
    <t>Docket No. 10-035-13</t>
  </si>
  <si>
    <t>GRC Price Increase and MPA 1 Modeling Changes</t>
  </si>
  <si>
    <t>MPA 1 Cumulative Revenue Requirement
Rolled In Method</t>
  </si>
  <si>
    <t>TAX CALCULATION:</t>
  </si>
  <si>
    <t>Operating Revenue</t>
  </si>
  <si>
    <t>Other Deductions</t>
  </si>
  <si>
    <t>Interest (AFUDC)</t>
  </si>
  <si>
    <t>Schedule "M" Additions</t>
  </si>
  <si>
    <t>Schedule "M" Deductions</t>
  </si>
  <si>
    <t>Income Before Tax</t>
  </si>
  <si>
    <t>State Income Taxes</t>
  </si>
  <si>
    <t>Taxable Income</t>
  </si>
  <si>
    <t>Federal Income Taxes + Other</t>
  </si>
  <si>
    <t>MPA 2 Cumulative Revenue Requirement
Rolled In Method</t>
  </si>
  <si>
    <t>INCREMENTAL IMPACT - ROLLED IN ALLOCATION</t>
  </si>
  <si>
    <t>MPA 1 AND MPA 2 COMBINED IMPACT</t>
  </si>
  <si>
    <t>Major Plant Addition Rate Case</t>
  </si>
  <si>
    <t>OTHER ADJUSTMENTS EXPENSE:</t>
  </si>
  <si>
    <t>Transmission Expense (O&amp;M)</t>
  </si>
  <si>
    <t>OTHER ADJUSTMENTS REVENUE:</t>
  </si>
  <si>
    <t>Other Electric Revenues (Wheeling)</t>
  </si>
  <si>
    <t>TAX ADJUSTMENTS:</t>
  </si>
  <si>
    <t>Tax Additions:</t>
  </si>
  <si>
    <t>FACTS:</t>
  </si>
  <si>
    <t>Oct.10 &amp; Nov.10</t>
  </si>
  <si>
    <t>12 M Ending 12/2011</t>
  </si>
  <si>
    <t>Populus</t>
  </si>
  <si>
    <t>Stateline</t>
  </si>
  <si>
    <t>to Stateline</t>
  </si>
  <si>
    <t>Investment in lines portion</t>
  </si>
  <si>
    <t>(a)</t>
  </si>
  <si>
    <t>assessment ratio</t>
  </si>
  <si>
    <t>(b)</t>
  </si>
  <si>
    <t>assessed value</t>
  </si>
  <si>
    <t>tax rate</t>
  </si>
  <si>
    <t>(d)</t>
  </si>
  <si>
    <t>Populus Substation cost</t>
  </si>
  <si>
    <t>Borah Substation cost</t>
  </si>
  <si>
    <t>Tax Associated with Rate Effective Period</t>
  </si>
  <si>
    <t>(i)</t>
  </si>
  <si>
    <t>2009 average</t>
  </si>
  <si>
    <t>weighted average</t>
  </si>
  <si>
    <t>county rates</t>
  </si>
  <si>
    <t>Box Elder 54.33 m</t>
  </si>
  <si>
    <t>(f)</t>
  </si>
  <si>
    <t>(j) = (f)/(h)*(i)</t>
  </si>
  <si>
    <t>Weber .23 m</t>
  </si>
  <si>
    <t>(g)</t>
  </si>
  <si>
    <t>(k) = (g)/(h)*(i)</t>
  </si>
  <si>
    <t>Total UT mileage 54.56 m</t>
  </si>
  <si>
    <t>(h)</t>
  </si>
  <si>
    <t>Composite tax rate</t>
  </si>
  <si>
    <t>(l)</t>
  </si>
  <si>
    <t>Bannock 6.31 m</t>
  </si>
  <si>
    <t>(m)</t>
  </si>
  <si>
    <t>(p) =(m)/(o)*(l)</t>
  </si>
  <si>
    <t>Oneida 24.81 m</t>
  </si>
  <si>
    <t>(n)</t>
  </si>
  <si>
    <t>(q)=(n)/(o)*(l)</t>
  </si>
  <si>
    <t>Total ID mileage 31.12 m</t>
  </si>
  <si>
    <t>(o)</t>
  </si>
  <si>
    <t>Other Wind Plant in Service</t>
  </si>
  <si>
    <t>Other Wind Plant Depreciation Reserve</t>
  </si>
  <si>
    <t>108OP</t>
  </si>
  <si>
    <t>Other Wind Depreciation Expense</t>
  </si>
  <si>
    <t>403OP</t>
  </si>
  <si>
    <t>Transmission Depreciation Expense</t>
  </si>
  <si>
    <t>Other Wind Expense (O&amp;M)</t>
  </si>
  <si>
    <t>Other Generation - Purchased Power</t>
  </si>
  <si>
    <t>Incremental Dunlap I REC Revenues</t>
  </si>
  <si>
    <t>Adjustment for CA RPS Banking</t>
  </si>
  <si>
    <t>CA</t>
  </si>
  <si>
    <t>Adjustment for OR RPS Banking</t>
  </si>
  <si>
    <t>OR</t>
  </si>
  <si>
    <t>Estimated Cost: Interconnect Project</t>
  </si>
  <si>
    <t>Oct. 1, 2010</t>
  </si>
  <si>
    <t>In-Service date: Interconnect Project</t>
  </si>
  <si>
    <t>Aug. 31, 2010</t>
  </si>
  <si>
    <t>AFUDC included: Interconnect Project</t>
  </si>
  <si>
    <t>Other Wind Plant:</t>
  </si>
  <si>
    <t>Transmission Non-Land</t>
  </si>
  <si>
    <t xml:space="preserve">  Total Plant</t>
  </si>
  <si>
    <t xml:space="preserve">Assessment </t>
  </si>
  <si>
    <t>(g) = (e) * (f)</t>
  </si>
  <si>
    <t>cost</t>
  </si>
  <si>
    <t>Est. Market Value</t>
  </si>
  <si>
    <t>Ratio</t>
  </si>
  <si>
    <t>Assessed Value</t>
  </si>
  <si>
    <t>Levy Rate</t>
  </si>
  <si>
    <t>Tax Estimate</t>
  </si>
  <si>
    <t>Dunlap Project</t>
  </si>
  <si>
    <t>Major Plant Addition Filing</t>
  </si>
  <si>
    <t>Transmission Line</t>
  </si>
  <si>
    <t>Populus Substation</t>
  </si>
  <si>
    <t>minor corrections of conditions found.</t>
  </si>
  <si>
    <r>
      <t xml:space="preserve">– Transmission </t>
    </r>
    <r>
      <rPr>
        <sz val="10"/>
        <color indexed="8"/>
        <rFont val="Arial"/>
        <family val="2"/>
      </rPr>
      <t xml:space="preserve">Line O&amp;M includes aerial safety patrols, detail ground patrol, and miscellaneous </t>
    </r>
  </si>
  <si>
    <t>operational expenses.</t>
  </si>
  <si>
    <t>Dunlap l Wind Project</t>
  </si>
  <si>
    <t>Property Tax Allocable to Dunlap l Wind Project</t>
  </si>
  <si>
    <t>Labor</t>
  </si>
  <si>
    <t>Employee Expenses</t>
  </si>
  <si>
    <t>Materials</t>
  </si>
  <si>
    <t>Contracts</t>
  </si>
  <si>
    <t>Other (Land leases and utilities)</t>
  </si>
  <si>
    <t>Transmission Expense</t>
  </si>
  <si>
    <t>operational and maintenance expense.</t>
  </si>
  <si>
    <r>
      <t xml:space="preserve">– Transmission </t>
    </r>
    <r>
      <rPr>
        <sz val="10"/>
        <color indexed="8"/>
        <rFont val="Arial"/>
        <family val="2"/>
      </rPr>
      <t>O&amp;M includes equipment preventative maintenance, and miscellaneous</t>
    </r>
  </si>
  <si>
    <t>RPS Reallocation Adjustment</t>
  </si>
  <si>
    <t>California</t>
  </si>
  <si>
    <t>Oregon</t>
  </si>
  <si>
    <t>Wyoming</t>
  </si>
  <si>
    <t>Utah</t>
  </si>
  <si>
    <t>FERC</t>
  </si>
  <si>
    <t>Incremental REC Revenues</t>
  </si>
  <si>
    <t>Adjustment for RPS/Commission Order</t>
  </si>
  <si>
    <t>Incremental REC Revenues - Reallocated totals</t>
  </si>
  <si>
    <t>ID/WA/UT/WY/FERC - SG Factor Allocated Portion</t>
  </si>
  <si>
    <t>Wind MWH Available for Sale</t>
  </si>
  <si>
    <t>Percent Sold in Test Period</t>
  </si>
  <si>
    <t>MWH Sold in Test Period</t>
  </si>
  <si>
    <t>Green Tag Revenues</t>
  </si>
  <si>
    <t>Dunlap l Wind Project O&amp;M</t>
  </si>
  <si>
    <t xml:space="preserve">             Ref 3.0</t>
  </si>
  <si>
    <t>Renewable Energy Tax Credit Calculation</t>
  </si>
  <si>
    <t>Amount</t>
  </si>
  <si>
    <t>Dunlap I Wind KWh</t>
  </si>
  <si>
    <t>Factor (inflated tax per unit)</t>
  </si>
  <si>
    <t>(4)</t>
  </si>
  <si>
    <t>(5)</t>
  </si>
  <si>
    <t>(6)</t>
  </si>
  <si>
    <t>(7)</t>
  </si>
  <si>
    <t>(8)</t>
  </si>
  <si>
    <t>Commission</t>
  </si>
  <si>
    <t>Normalized</t>
  </si>
  <si>
    <t>MPA #1</t>
  </si>
  <si>
    <t>Populus to Terminal</t>
  </si>
  <si>
    <t xml:space="preserve">Revised NPC </t>
  </si>
  <si>
    <t>Ordered NPC</t>
  </si>
  <si>
    <t>Costs From</t>
  </si>
  <si>
    <t xml:space="preserve">Including </t>
  </si>
  <si>
    <t>Including Populus to Terminal</t>
  </si>
  <si>
    <t>Docket 09-035-13</t>
  </si>
  <si>
    <t>MPA Filing #1</t>
  </si>
  <si>
    <t>(4) - (2)</t>
  </si>
  <si>
    <t>(6) - (4)</t>
  </si>
  <si>
    <t>(3) + (5) + (7)</t>
  </si>
  <si>
    <t>Transmission Services</t>
  </si>
  <si>
    <t>On-system Wholesale Sales</t>
  </si>
  <si>
    <t>Secondary Purchases</t>
  </si>
  <si>
    <t>555.7, 555.25</t>
  </si>
  <si>
    <t>BPA Regional Adjustments</t>
  </si>
  <si>
    <t>555.11, 555.12, 555.133</t>
  </si>
  <si>
    <t>Miscellaneous Fuel Costs</t>
  </si>
  <si>
    <t>501,501.15,501.2,501.3, 501.4, 501.45</t>
  </si>
  <si>
    <t>Ref JAM Model</t>
  </si>
  <si>
    <t>Populus to Ben Lomond Project &amp; Dunlap l Wind Project</t>
  </si>
  <si>
    <t>In-Service date(s):</t>
  </si>
  <si>
    <t>to Ben Lomond</t>
  </si>
  <si>
    <t>Estimated Cost: Dunlap l Wind Plant</t>
  </si>
  <si>
    <t>In-Service date: Dunlap l Wind Plant</t>
  </si>
  <si>
    <t>AFUDC included: Dunlap l Wind Plant</t>
  </si>
  <si>
    <t>Total Incremental Dunlap l Green Tag Revenues</t>
  </si>
  <si>
    <t>State Income Tax Adjustment</t>
  </si>
  <si>
    <t>Populus to Ben Lomond O&amp;M</t>
  </si>
  <si>
    <r>
      <t xml:space="preserve">– </t>
    </r>
    <r>
      <rPr>
        <sz val="10"/>
        <color indexed="8"/>
        <rFont val="Arial"/>
        <family val="2"/>
      </rPr>
      <t xml:space="preserve">Populus Substation O&amp;M includes preventative maintenance, corrective maintenance and other </t>
    </r>
  </si>
  <si>
    <t>(c) = (a) * (b)</t>
  </si>
  <si>
    <t>(e) = (c) * (d)</t>
  </si>
  <si>
    <t>and Dunlap l Wind Project</t>
  </si>
  <si>
    <t>REC REVENUE:</t>
  </si>
  <si>
    <t>Re-allocation for Non-RPS States</t>
  </si>
  <si>
    <t>Federal Renewable Energy Tax Credit</t>
  </si>
  <si>
    <t>Federal Production Tax Credit</t>
  </si>
  <si>
    <t xml:space="preserve">SG Factor </t>
  </si>
  <si>
    <t>Total Dunlap l Generation from GRID - MWH</t>
  </si>
  <si>
    <t>Available RECs Sold @ $7.00 per MWH</t>
  </si>
  <si>
    <t>Renewable Energy Credits</t>
  </si>
  <si>
    <t>Page 4.4</t>
  </si>
  <si>
    <t>Utah GRC Major Plant Addition Filing 1</t>
  </si>
  <si>
    <t>Utah GRC Major Plant Addition Filing 2</t>
  </si>
  <si>
    <t>Difference (MPA 2 - MPA 1)</t>
  </si>
  <si>
    <t>Docket No. 10-035-89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</si>
</sst>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m\ yyyy"/>
    <numFmt numFmtId="167" formatCode="0.0000%"/>
    <numFmt numFmtId="168" formatCode="_-* #,##0\ &quot;F&quot;_-;\-* #,##0\ &quot;F&quot;_-;_-* &quot;-&quot;\ &quot;F&quot;_-;_-@_-"/>
    <numFmt numFmtId="169" formatCode="&quot;$&quot;###0;[Red]\(&quot;$&quot;###0\)"/>
    <numFmt numFmtId="170" formatCode="&quot;$&quot;#,##0\ ;\(&quot;$&quot;#,##0\)"/>
    <numFmt numFmtId="171" formatCode="0.0"/>
    <numFmt numFmtId="172" formatCode="#,##0.000;[Red]\-#,##0.000"/>
    <numFmt numFmtId="173" formatCode="mmm\ dd\,\ yyyy"/>
    <numFmt numFmtId="174" formatCode="0.000%"/>
    <numFmt numFmtId="175" formatCode="########\-###\-###"/>
    <numFmt numFmtId="176" formatCode="General_)"/>
    <numFmt numFmtId="177" formatCode="#,##0.0_);\(#,##0.0\);\-\ ;"/>
    <numFmt numFmtId="178" formatCode="#,##0.0000"/>
    <numFmt numFmtId="179" formatCode="_(* #,##0.00000_);_(* \(#,##0.00000\);_(* &quot;-&quot;??_);_(@_)"/>
    <numFmt numFmtId="180" formatCode="0.0%"/>
    <numFmt numFmtId="181" formatCode="_(* #,##0.000_);_(* \(#,##0.000\);_(* &quot;-&quot;??_);_(@_)"/>
    <numFmt numFmtId="182" formatCode="_(* #,##0.00_);[Red]_(* \(#,##0.00\);_(* &quot;-&quot;??_);_(@_)"/>
    <numFmt numFmtId="183" formatCode="mmmm\ d\,\ yyyy"/>
    <numFmt numFmtId="184" formatCode="_(* #,##0_);[Red]_(* \(#,##0\);_(* &quot;-&quot;_);_(@_)"/>
    <numFmt numFmtId="185" formatCode="_(* #,##0.000_);_(* \(#,##0.000\);_(* &quot;-&quot;_);_(@_)"/>
    <numFmt numFmtId="186" formatCode="_(&quot;$&quot;* #,##0.000_);_(&quot;$&quot;* \(#,##0.000\);_(&quot;$&quot;* &quot;-&quot;??_);_(@_)"/>
  </numFmts>
  <fonts count="60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0"/>
      <color indexed="24"/>
      <name val="Courier New"/>
      <family val="3"/>
    </font>
    <font>
      <sz val="8"/>
      <name val="Helv"/>
      <family val="0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TimesNewRomanPS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u val="single"/>
      <sz val="10"/>
      <name val="Arial"/>
      <family val="2"/>
    </font>
    <font>
      <sz val="10"/>
      <name val="Courier"/>
      <family val="3"/>
    </font>
    <font>
      <sz val="10"/>
      <color indexed="8"/>
      <name val="Helv"/>
      <family val="0"/>
    </font>
    <font>
      <sz val="10"/>
      <name val="Helv"/>
      <family val="0"/>
    </font>
    <font>
      <sz val="7"/>
      <name val="Arial"/>
      <family val="2"/>
    </font>
    <font>
      <sz val="10"/>
      <color indexed="11"/>
      <name val="Geneva"/>
      <family val="0"/>
    </font>
    <font>
      <sz val="12"/>
      <name val="Arial MT"/>
      <family val="0"/>
    </font>
    <font>
      <sz val="10"/>
      <name val="LinePrinter"/>
      <family val="0"/>
    </font>
    <font>
      <sz val="12"/>
      <name val="Arial"/>
      <family val="2"/>
    </font>
    <font>
      <b/>
      <i/>
      <sz val="9"/>
      <name val="Arial"/>
      <family val="2"/>
    </font>
    <font>
      <sz val="11"/>
      <name val="Calibri"/>
      <family val="2"/>
    </font>
    <font>
      <sz val="16"/>
      <color indexed="8"/>
      <name val="Arial"/>
      <family val="2"/>
    </font>
    <font>
      <sz val="10"/>
      <color indexed="8"/>
      <name val="Times New Roman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i/>
      <sz val="10"/>
      <name val="Arial"/>
      <family val="2"/>
    </font>
    <font>
      <b/>
      <u val="single"/>
      <sz val="10"/>
      <color indexed="3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solid">
        <fgColor indexed="14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/>
      <top style="thin"/>
      <bottom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48"/>
      </left>
      <right style="thin">
        <color indexed="48"/>
      </right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>
        <color indexed="8"/>
      </bottom>
    </border>
    <border>
      <left/>
      <right/>
      <top/>
      <bottom style="thin">
        <color indexed="8"/>
      </bottom>
    </border>
    <border>
      <left style="double"/>
      <right style="double"/>
      <top style="double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double"/>
    </border>
    <border>
      <left style="thin"/>
      <right style="thin"/>
      <top style="thin"/>
      <bottom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 style="medium"/>
      <bottom style="medium"/>
    </border>
  </borders>
  <cellStyleXfs count="2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0" fontId="49" fillId="3" borderId="0" applyNumberFormat="0" applyBorder="0" applyAlignment="0" applyProtection="0"/>
    <xf numFmtId="0" fontId="53" fillId="20" borderId="1" applyNumberFormat="0" applyAlignment="0" applyProtection="0"/>
    <xf numFmtId="0" fontId="55" fillId="21" borderId="2" applyNumberFormat="0" applyAlignment="0" applyProtection="0"/>
    <xf numFmtId="0" fontId="25" fillId="0" borderId="0">
      <alignment/>
      <protection/>
    </xf>
    <xf numFmtId="43" fontId="0" fillId="0" borderId="0" applyFont="0" applyFill="0" applyBorder="0" applyAlignment="0" applyProtection="0"/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" fontId="26" fillId="0" borderId="0">
      <alignment/>
      <protection/>
    </xf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37" fontId="2" fillId="0" borderId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9" fillId="0" borderId="0" applyFont="0" applyFill="0" applyBorder="0" applyProtection="0">
      <alignment horizontal="right"/>
    </xf>
    <xf numFmtId="5" fontId="27" fillId="0" borderId="0">
      <alignment/>
      <protection/>
    </xf>
    <xf numFmtId="17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183" fontId="2" fillId="0" borderId="0" applyFill="0" applyBorder="0" applyAlignment="0" applyProtection="0"/>
    <xf numFmtId="0" fontId="57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27" fillId="0" borderId="0">
      <alignment/>
      <protection/>
    </xf>
    <xf numFmtId="0" fontId="28" fillId="0" borderId="0" applyFont="0" applyFill="0" applyBorder="0" applyAlignment="0" applyProtection="0"/>
    <xf numFmtId="0" fontId="48" fillId="4" borderId="0" applyNumberFormat="0" applyBorder="0" applyAlignment="0" applyProtection="0"/>
    <xf numFmtId="38" fontId="10" fillId="20" borderId="0" applyNumberFormat="0" applyBorder="0" applyAlignment="0" applyProtection="0"/>
    <xf numFmtId="0" fontId="11" fillId="0" borderId="0">
      <alignment/>
      <protection/>
    </xf>
    <xf numFmtId="0" fontId="12" fillId="0" borderId="3" applyNumberFormat="0" applyAlignment="0" applyProtection="0"/>
    <xf numFmtId="0" fontId="12" fillId="0" borderId="4">
      <alignment horizontal="left" vertical="center"/>
      <protection/>
    </xf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174" fontId="2" fillId="0" borderId="0">
      <alignment/>
      <protection locked="0"/>
    </xf>
    <xf numFmtId="174" fontId="2" fillId="0" borderId="0">
      <alignment/>
      <protection locked="0"/>
    </xf>
    <xf numFmtId="0" fontId="51" fillId="7" borderId="1" applyNumberFormat="0" applyAlignment="0" applyProtection="0"/>
    <xf numFmtId="10" fontId="10" fillId="22" borderId="8" applyNumberFormat="0" applyBorder="0" applyAlignment="0" applyProtection="0"/>
    <xf numFmtId="38" fontId="42" fillId="0" borderId="0">
      <alignment horizontal="left" wrapText="1"/>
      <protection/>
    </xf>
    <xf numFmtId="38" fontId="43" fillId="0" borderId="0">
      <alignment horizontal="left" wrapText="1"/>
      <protection/>
    </xf>
    <xf numFmtId="0" fontId="54" fillId="0" borderId="9" applyNumberFormat="0" applyFill="0" applyAlignment="0" applyProtection="0"/>
    <xf numFmtId="175" fontId="2" fillId="0" borderId="0">
      <alignment/>
      <protection/>
    </xf>
    <xf numFmtId="171" fontId="13" fillId="0" borderId="0" applyNumberFormat="0" applyFill="0" applyBorder="0" applyAlignment="0" applyProtection="0"/>
    <xf numFmtId="0" fontId="50" fillId="23" borderId="0" applyNumberFormat="0" applyBorder="0" applyAlignment="0" applyProtection="0"/>
    <xf numFmtId="37" fontId="14" fillId="0" borderId="0" applyNumberFormat="0" applyFill="0" applyBorder="0">
      <alignment/>
      <protection/>
    </xf>
    <xf numFmtId="0" fontId="10" fillId="0" borderId="10" applyNumberFormat="0" applyBorder="0" applyAlignment="0">
      <protection/>
    </xf>
    <xf numFmtId="17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4" fillId="0" borderId="0" applyFill="0" applyBorder="0" applyProtection="0">
      <alignment/>
    </xf>
    <xf numFmtId="37" fontId="2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2" borderId="11" applyNumberFormat="0" applyFont="0" applyAlignment="0" applyProtection="0"/>
    <xf numFmtId="177" fontId="4" fillId="0" borderId="0" applyFont="0" applyFill="0" applyBorder="0" applyProtection="0">
      <alignment/>
    </xf>
    <xf numFmtId="0" fontId="52" fillId="20" borderId="12" applyNumberFormat="0" applyAlignment="0" applyProtection="0"/>
    <xf numFmtId="12" fontId="12" fillId="21" borderId="13">
      <alignment horizontal="left"/>
      <protection/>
    </xf>
    <xf numFmtId="0" fontId="27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>
      <alignment/>
      <protection/>
    </xf>
    <xf numFmtId="4" fontId="15" fillId="23" borderId="14" applyNumberFormat="0" applyProtection="0">
      <alignment vertical="center"/>
    </xf>
    <xf numFmtId="4" fontId="16" fillId="23" borderId="14" applyNumberFormat="0" applyProtection="0">
      <alignment vertical="center"/>
    </xf>
    <xf numFmtId="4" fontId="15" fillId="23" borderId="14" applyNumberFormat="0" applyProtection="0">
      <alignment vertical="center"/>
    </xf>
    <xf numFmtId="0" fontId="15" fillId="23" borderId="14" applyNumberFormat="0" applyProtection="0">
      <alignment horizontal="left" vertical="top" indent="1"/>
    </xf>
    <xf numFmtId="4" fontId="15" fillId="24" borderId="15" applyNumberFormat="0" applyProtection="0">
      <alignment vertical="center"/>
    </xf>
    <xf numFmtId="4" fontId="0" fillId="3" borderId="14" applyNumberFormat="0" applyProtection="0">
      <alignment horizontal="right" vertical="center"/>
    </xf>
    <xf numFmtId="4" fontId="0" fillId="9" borderId="14" applyNumberFormat="0" applyProtection="0">
      <alignment horizontal="right" vertical="center"/>
    </xf>
    <xf numFmtId="4" fontId="0" fillId="17" borderId="14" applyNumberFormat="0" applyProtection="0">
      <alignment horizontal="right" vertical="center"/>
    </xf>
    <xf numFmtId="4" fontId="0" fillId="11" borderId="14" applyNumberFormat="0" applyProtection="0">
      <alignment horizontal="right" vertical="center"/>
    </xf>
    <xf numFmtId="4" fontId="0" fillId="15" borderId="14" applyNumberFormat="0" applyProtection="0">
      <alignment horizontal="right" vertical="center"/>
    </xf>
    <xf numFmtId="4" fontId="0" fillId="19" borderId="14" applyNumberFormat="0" applyProtection="0">
      <alignment horizontal="right" vertical="center"/>
    </xf>
    <xf numFmtId="4" fontId="0" fillId="18" borderId="14" applyNumberFormat="0" applyProtection="0">
      <alignment horizontal="right" vertical="center"/>
    </xf>
    <xf numFmtId="4" fontId="0" fillId="25" borderId="14" applyNumberFormat="0" applyProtection="0">
      <alignment horizontal="right" vertical="center"/>
    </xf>
    <xf numFmtId="4" fontId="0" fillId="10" borderId="14" applyNumberFormat="0" applyProtection="0">
      <alignment horizontal="right" vertical="center"/>
    </xf>
    <xf numFmtId="4" fontId="15" fillId="26" borderId="16" applyNumberFormat="0" applyProtection="0">
      <alignment horizontal="left" vertical="center" indent="1"/>
    </xf>
    <xf numFmtId="4" fontId="0" fillId="27" borderId="0" applyNumberFormat="0" applyProtection="0">
      <alignment horizontal="left" vertical="center" indent="1"/>
    </xf>
    <xf numFmtId="4" fontId="17" fillId="28" borderId="0" applyNumberFormat="0" applyProtection="0">
      <alignment horizontal="left" vertical="center" indent="1"/>
    </xf>
    <xf numFmtId="4" fontId="0" fillId="24" borderId="14" applyNumberFormat="0" applyProtection="0">
      <alignment horizontal="right" vertical="center"/>
    </xf>
    <xf numFmtId="4" fontId="18" fillId="0" borderId="0" applyNumberFormat="0" applyProtection="0">
      <alignment horizontal="left" vertical="center" indent="1"/>
    </xf>
    <xf numFmtId="4" fontId="19" fillId="0" borderId="0" applyNumberFormat="0" applyProtection="0">
      <alignment horizontal="left" vertical="center" indent="1"/>
    </xf>
    <xf numFmtId="0" fontId="2" fillId="28" borderId="14" applyNumberFormat="0" applyProtection="0">
      <alignment horizontal="left" vertical="center" indent="1"/>
    </xf>
    <xf numFmtId="0" fontId="2" fillId="28" borderId="14" applyNumberFormat="0" applyProtection="0">
      <alignment horizontal="left" vertical="top" indent="1"/>
    </xf>
    <xf numFmtId="0" fontId="2" fillId="24" borderId="14" applyNumberFormat="0" applyProtection="0">
      <alignment horizontal="left" vertical="center" indent="1"/>
    </xf>
    <xf numFmtId="0" fontId="2" fillId="24" borderId="14" applyNumberFormat="0" applyProtection="0">
      <alignment horizontal="left" vertical="top" indent="1"/>
    </xf>
    <xf numFmtId="0" fontId="2" fillId="8" borderId="14" applyNumberFormat="0" applyProtection="0">
      <alignment horizontal="left" vertical="center" indent="1"/>
    </xf>
    <xf numFmtId="0" fontId="2" fillId="8" borderId="14" applyNumberFormat="0" applyProtection="0">
      <alignment horizontal="left" vertical="top" indent="1"/>
    </xf>
    <xf numFmtId="0" fontId="2" fillId="27" borderId="14" applyNumberFormat="0" applyProtection="0">
      <alignment horizontal="left" vertical="center" indent="1"/>
    </xf>
    <xf numFmtId="0" fontId="2" fillId="27" borderId="14" applyNumberFormat="0" applyProtection="0">
      <alignment horizontal="left" vertical="top" indent="1"/>
    </xf>
    <xf numFmtId="4" fontId="0" fillId="22" borderId="14" applyNumberFormat="0" applyProtection="0">
      <alignment vertical="center"/>
    </xf>
    <xf numFmtId="4" fontId="20" fillId="22" borderId="14" applyNumberFormat="0" applyProtection="0">
      <alignment vertical="center"/>
    </xf>
    <xf numFmtId="4" fontId="0" fillId="22" borderId="14" applyNumberFormat="0" applyProtection="0">
      <alignment horizontal="left" vertical="center" indent="1"/>
    </xf>
    <xf numFmtId="0" fontId="0" fillId="22" borderId="14" applyNumberFormat="0" applyProtection="0">
      <alignment horizontal="left" vertical="top" indent="1"/>
    </xf>
    <xf numFmtId="4" fontId="0" fillId="29" borderId="17" applyNumberFormat="0" applyProtection="0">
      <alignment horizontal="right" vertical="center"/>
    </xf>
    <xf numFmtId="4" fontId="20" fillId="27" borderId="14" applyNumberFormat="0" applyProtection="0">
      <alignment horizontal="right" vertical="center"/>
    </xf>
    <xf numFmtId="4" fontId="0" fillId="29" borderId="14" applyNumberFormat="0" applyProtection="0">
      <alignment horizontal="left" vertical="center" indent="1"/>
    </xf>
    <xf numFmtId="0" fontId="0" fillId="24" borderId="14" applyNumberFormat="0" applyProtection="0">
      <alignment horizontal="center" vertical="top"/>
    </xf>
    <xf numFmtId="4" fontId="21" fillId="0" borderId="0" applyNumberFormat="0" applyProtection="0">
      <alignment horizontal="left" vertical="center"/>
    </xf>
    <xf numFmtId="4" fontId="37" fillId="30" borderId="0" applyNumberFormat="0" applyProtection="0">
      <alignment horizontal="left"/>
    </xf>
    <xf numFmtId="4" fontId="22" fillId="27" borderId="14" applyNumberFormat="0" applyProtection="0">
      <alignment horizontal="right" vertical="center"/>
    </xf>
    <xf numFmtId="37" fontId="30" fillId="31" borderId="0" applyNumberFormat="0" applyFont="0" applyBorder="0" applyAlignment="0" applyProtection="0"/>
    <xf numFmtId="178" fontId="2" fillId="0" borderId="18">
      <alignment horizontal="justify" vertical="top" wrapText="1"/>
      <protection/>
    </xf>
    <xf numFmtId="0" fontId="2" fillId="0" borderId="0">
      <alignment horizontal="left" wrapText="1"/>
      <protection/>
    </xf>
    <xf numFmtId="173" fontId="2" fillId="0" borderId="0" applyFill="0" applyBorder="0" applyAlignment="0" applyProtection="0"/>
    <xf numFmtId="0" fontId="3" fillId="0" borderId="0" applyNumberFormat="0" applyFill="0" applyBorder="0">
      <alignment horizontal="center" wrapText="1"/>
      <protection/>
    </xf>
    <xf numFmtId="0" fontId="3" fillId="0" borderId="0" applyNumberFormat="0" applyFill="0" applyBorder="0">
      <alignment horizontal="center" wrapText="1"/>
      <protection/>
    </xf>
    <xf numFmtId="38" fontId="2" fillId="0" borderId="0">
      <alignment horizontal="left" wrapText="1"/>
      <protection/>
    </xf>
    <xf numFmtId="0" fontId="44" fillId="0" borderId="0" applyNumberFormat="0" applyFill="0" applyBorder="0" applyAlignment="0" applyProtection="0"/>
    <xf numFmtId="0" fontId="3" fillId="0" borderId="8">
      <alignment horizontal="center" vertical="center" wrapText="1"/>
      <protection/>
    </xf>
    <xf numFmtId="0" fontId="58" fillId="0" borderId="19" applyNumberFormat="0" applyFill="0" applyAlignment="0" applyProtection="0"/>
    <xf numFmtId="0" fontId="27" fillId="0" borderId="20">
      <alignment/>
      <protection/>
    </xf>
    <xf numFmtId="176" fontId="31" fillId="0" borderId="0">
      <alignment horizontal="left"/>
      <protection/>
    </xf>
    <xf numFmtId="0" fontId="27" fillId="0" borderId="21">
      <alignment/>
      <protection/>
    </xf>
    <xf numFmtId="37" fontId="10" fillId="23" borderId="0" applyNumberFormat="0" applyBorder="0" applyAlignment="0" applyProtection="0"/>
    <xf numFmtId="37" fontId="10" fillId="0" borderId="0">
      <alignment/>
      <protection/>
    </xf>
    <xf numFmtId="3" fontId="23" fillId="32" borderId="22" applyProtection="0">
      <alignment/>
    </xf>
    <xf numFmtId="0" fontId="56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134" applyFont="1">
      <alignment/>
      <protection/>
    </xf>
    <xf numFmtId="0" fontId="5" fillId="0" borderId="0" xfId="134" applyFont="1" applyAlignment="1">
      <alignment horizontal="center"/>
      <protection/>
    </xf>
    <xf numFmtId="0" fontId="5" fillId="0" borderId="0" xfId="134" applyNumberFormat="1" applyFont="1" applyAlignment="1">
      <alignment horizontal="center"/>
      <protection/>
    </xf>
    <xf numFmtId="0" fontId="6" fillId="0" borderId="0" xfId="134" applyFont="1">
      <alignment/>
      <protection/>
    </xf>
    <xf numFmtId="0" fontId="7" fillId="0" borderId="0" xfId="134" applyFont="1" applyAlignment="1">
      <alignment horizontal="center"/>
      <protection/>
    </xf>
    <xf numFmtId="0" fontId="7" fillId="0" borderId="0" xfId="134" applyNumberFormat="1" applyFont="1" applyAlignment="1">
      <alignment horizontal="center"/>
      <protection/>
    </xf>
    <xf numFmtId="0" fontId="5" fillId="0" borderId="0" xfId="134" applyFont="1" applyBorder="1">
      <alignment/>
      <protection/>
    </xf>
    <xf numFmtId="0" fontId="5" fillId="0" borderId="0" xfId="134" applyFont="1" applyBorder="1" applyAlignment="1">
      <alignment horizontal="center"/>
      <protection/>
    </xf>
    <xf numFmtId="0" fontId="5" fillId="0" borderId="0" xfId="134" applyNumberFormat="1" applyFont="1" applyBorder="1" applyAlignment="1">
      <alignment horizontal="center"/>
      <protection/>
    </xf>
    <xf numFmtId="0" fontId="5" fillId="0" borderId="0" xfId="134" applyFont="1" applyBorder="1" applyAlignment="1">
      <alignment/>
      <protection/>
    </xf>
    <xf numFmtId="0" fontId="5" fillId="0" borderId="0" xfId="134" applyFont="1" applyFill="1" applyBorder="1" applyAlignment="1">
      <alignment/>
      <protection/>
    </xf>
    <xf numFmtId="0" fontId="5" fillId="0" borderId="0" xfId="134" applyFont="1" applyFill="1" applyBorder="1" applyAlignment="1">
      <alignment horizontal="center"/>
      <protection/>
    </xf>
    <xf numFmtId="0" fontId="5" fillId="0" borderId="0" xfId="134" applyFont="1" applyAlignment="1">
      <alignment horizontal="left"/>
      <protection/>
    </xf>
    <xf numFmtId="0" fontId="5" fillId="0" borderId="0" xfId="134" applyNumberFormat="1" applyFont="1" applyFill="1" applyBorder="1" applyAlignment="1">
      <alignment horizontal="center"/>
      <protection/>
    </xf>
    <xf numFmtId="0" fontId="6" fillId="0" borderId="0" xfId="134" applyFont="1" applyFill="1" applyBorder="1" applyAlignment="1">
      <alignment/>
      <protection/>
    </xf>
    <xf numFmtId="0" fontId="5" fillId="0" borderId="0" xfId="134" applyFont="1" applyBorder="1" applyAlignment="1" quotePrefix="1">
      <alignment horizontal="left"/>
      <protection/>
    </xf>
    <xf numFmtId="0" fontId="6" fillId="0" borderId="0" xfId="134" applyFont="1" applyBorder="1">
      <alignment/>
      <protection/>
    </xf>
    <xf numFmtId="0" fontId="5" fillId="0" borderId="23" xfId="134" applyFont="1" applyBorder="1">
      <alignment/>
      <protection/>
    </xf>
    <xf numFmtId="0" fontId="5" fillId="0" borderId="24" xfId="134" applyFont="1" applyBorder="1" applyAlignment="1" quotePrefix="1">
      <alignment horizontal="left"/>
      <protection/>
    </xf>
    <xf numFmtId="0" fontId="5" fillId="0" borderId="24" xfId="134" applyFont="1" applyBorder="1">
      <alignment/>
      <protection/>
    </xf>
    <xf numFmtId="0" fontId="5" fillId="0" borderId="24" xfId="134" applyFont="1" applyBorder="1" applyAlignment="1">
      <alignment horizontal="center"/>
      <protection/>
    </xf>
    <xf numFmtId="0" fontId="5" fillId="0" borderId="25" xfId="134" applyNumberFormat="1" applyFont="1" applyBorder="1" applyAlignment="1">
      <alignment horizontal="center"/>
      <protection/>
    </xf>
    <xf numFmtId="0" fontId="5" fillId="0" borderId="26" xfId="134" applyFont="1" applyBorder="1">
      <alignment/>
      <protection/>
    </xf>
    <xf numFmtId="3" fontId="5" fillId="0" borderId="0" xfId="134" applyNumberFormat="1" applyFont="1" applyBorder="1" applyAlignment="1">
      <alignment horizontal="center"/>
      <protection/>
    </xf>
    <xf numFmtId="0" fontId="5" fillId="0" borderId="27" xfId="134" applyNumberFormat="1" applyFont="1" applyBorder="1" applyAlignment="1">
      <alignment horizontal="center"/>
      <protection/>
    </xf>
    <xf numFmtId="0" fontId="5" fillId="0" borderId="27" xfId="134" applyFont="1" applyBorder="1" applyAlignment="1">
      <alignment horizontal="center"/>
      <protection/>
    </xf>
    <xf numFmtId="0" fontId="5" fillId="0" borderId="28" xfId="134" applyFont="1" applyBorder="1">
      <alignment/>
      <protection/>
    </xf>
    <xf numFmtId="0" fontId="5" fillId="0" borderId="13" xfId="134" applyFont="1" applyBorder="1">
      <alignment/>
      <protection/>
    </xf>
    <xf numFmtId="0" fontId="5" fillId="0" borderId="13" xfId="134" applyFont="1" applyBorder="1" applyAlignment="1">
      <alignment horizontal="center"/>
      <protection/>
    </xf>
    <xf numFmtId="0" fontId="5" fillId="0" borderId="29" xfId="134" applyFont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6" fillId="0" borderId="0" xfId="134" applyFont="1" applyFill="1">
      <alignment/>
      <protection/>
    </xf>
    <xf numFmtId="0" fontId="5" fillId="0" borderId="0" xfId="134" applyFont="1" applyFill="1" applyBorder="1">
      <alignment/>
      <protection/>
    </xf>
    <xf numFmtId="0" fontId="5" fillId="0" borderId="0" xfId="134" applyFont="1" applyFill="1" applyBorder="1" applyAlignment="1">
      <alignment horizontal="left" indent="1"/>
      <protection/>
    </xf>
    <xf numFmtId="0" fontId="2" fillId="0" borderId="0" xfId="133" applyFont="1" applyFill="1" applyBorder="1" applyAlignment="1">
      <alignment horizontal="center"/>
      <protection/>
    </xf>
    <xf numFmtId="41" fontId="5" fillId="0" borderId="0" xfId="55" applyNumberFormat="1" applyFont="1" applyFill="1" applyBorder="1" applyAlignment="1">
      <alignment horizontal="center"/>
    </xf>
    <xf numFmtId="0" fontId="5" fillId="0" borderId="0" xfId="134" applyFont="1" applyFill="1" applyBorder="1" applyAlignment="1">
      <alignment horizontal="left"/>
      <protection/>
    </xf>
    <xf numFmtId="0" fontId="5" fillId="0" borderId="0" xfId="134" applyFont="1" applyFill="1">
      <alignment/>
      <protection/>
    </xf>
    <xf numFmtId="165" fontId="5" fillId="0" borderId="0" xfId="55" applyNumberFormat="1" applyFont="1" applyFill="1" applyBorder="1" applyAlignment="1">
      <alignment horizontal="center"/>
    </xf>
    <xf numFmtId="0" fontId="5" fillId="0" borderId="0" xfId="119" applyFont="1" applyFill="1" applyBorder="1" applyAlignment="1">
      <alignment horizontal="center"/>
      <protection/>
    </xf>
    <xf numFmtId="167" fontId="5" fillId="0" borderId="0" xfId="144" applyNumberFormat="1" applyFont="1" applyFill="1" applyBorder="1" applyAlignment="1">
      <alignment horizontal="center"/>
    </xf>
    <xf numFmtId="165" fontId="2" fillId="0" borderId="0" xfId="54" applyNumberFormat="1" applyFont="1" applyFill="1" applyBorder="1" applyAlignment="1">
      <alignment/>
    </xf>
    <xf numFmtId="164" fontId="2" fillId="0" borderId="0" xfId="76" applyNumberFormat="1" applyFont="1" applyAlignment="1">
      <alignment/>
    </xf>
    <xf numFmtId="0" fontId="12" fillId="0" borderId="0" xfId="0" applyFont="1" applyAlignment="1">
      <alignment/>
    </xf>
    <xf numFmtId="165" fontId="10" fillId="0" borderId="0" xfId="54" applyNumberFormat="1" applyFont="1" applyAlignment="1">
      <alignment vertical="center"/>
    </xf>
    <xf numFmtId="0" fontId="10" fillId="0" borderId="0" xfId="0" applyFont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10" fillId="0" borderId="0" xfId="0" applyFont="1" applyAlignment="1">
      <alignment vertical="center"/>
    </xf>
    <xf numFmtId="165" fontId="10" fillId="0" borderId="0" xfId="54" applyNumberFormat="1" applyFont="1" applyAlignment="1" applyProtection="1">
      <alignment vertical="center"/>
      <protection/>
    </xf>
    <xf numFmtId="165" fontId="10" fillId="0" borderId="4" xfId="54" applyNumberFormat="1" applyFont="1" applyBorder="1" applyAlignment="1" applyProtection="1">
      <alignment vertical="center"/>
      <protection/>
    </xf>
    <xf numFmtId="165" fontId="10" fillId="0" borderId="30" xfId="54" applyNumberFormat="1" applyFont="1" applyBorder="1" applyAlignment="1" applyProtection="1">
      <alignment vertical="center"/>
      <protection/>
    </xf>
    <xf numFmtId="165" fontId="10" fillId="0" borderId="0" xfId="54" applyNumberFormat="1" applyFont="1" applyBorder="1" applyAlignment="1" applyProtection="1">
      <alignment vertical="center"/>
      <protection/>
    </xf>
    <xf numFmtId="165" fontId="10" fillId="0" borderId="31" xfId="54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174" fontId="10" fillId="0" borderId="0" xfId="0" applyNumberFormat="1" applyFont="1" applyAlignment="1" applyProtection="1">
      <alignment vertical="center"/>
      <protection/>
    </xf>
    <xf numFmtId="165" fontId="13" fillId="0" borderId="0" xfId="54" applyNumberFormat="1" applyFont="1" applyFill="1" applyAlignment="1" applyProtection="1">
      <alignment vertical="center"/>
      <protection/>
    </xf>
    <xf numFmtId="165" fontId="10" fillId="0" borderId="0" xfId="54" applyNumberFormat="1" applyFont="1" applyFill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left" indent="1"/>
    </xf>
    <xf numFmtId="165" fontId="0" fillId="0" borderId="0" xfId="54" applyNumberFormat="1" applyFont="1" applyAlignment="1">
      <alignment/>
    </xf>
    <xf numFmtId="43" fontId="0" fillId="0" borderId="0" xfId="54" applyFont="1" applyAlignment="1">
      <alignment/>
    </xf>
    <xf numFmtId="43" fontId="0" fillId="0" borderId="0" xfId="54" applyFont="1" applyFill="1" applyAlignment="1">
      <alignment/>
    </xf>
    <xf numFmtId="165" fontId="0" fillId="0" borderId="0" xfId="54" applyNumberFormat="1" applyFont="1" applyFill="1" applyAlignment="1">
      <alignment/>
    </xf>
    <xf numFmtId="165" fontId="15" fillId="0" borderId="0" xfId="43" applyNumberFormat="1" applyFont="1" applyAlignment="1">
      <alignment/>
    </xf>
    <xf numFmtId="165" fontId="2" fillId="0" borderId="0" xfId="43" applyNumberFormat="1" applyFont="1" applyAlignment="1">
      <alignment/>
    </xf>
    <xf numFmtId="165" fontId="2" fillId="0" borderId="30" xfId="43" applyNumberFormat="1" applyFont="1" applyBorder="1" applyAlignment="1">
      <alignment/>
    </xf>
    <xf numFmtId="0" fontId="15" fillId="0" borderId="0" xfId="0" applyFont="1" applyAlignment="1">
      <alignment horizontal="right"/>
    </xf>
    <xf numFmtId="164" fontId="3" fillId="0" borderId="0" xfId="76" applyNumberFormat="1" applyFont="1" applyAlignment="1">
      <alignment/>
    </xf>
    <xf numFmtId="0" fontId="3" fillId="0" borderId="0" xfId="0" applyFont="1" applyFill="1" applyAlignment="1">
      <alignment horizontal="right"/>
    </xf>
    <xf numFmtId="0" fontId="15" fillId="0" borderId="0" xfId="0" applyFont="1" applyAlignment="1">
      <alignment/>
    </xf>
    <xf numFmtId="165" fontId="15" fillId="0" borderId="0" xfId="43" applyNumberFormat="1" applyFont="1" applyAlignment="1">
      <alignment horizontal="right"/>
    </xf>
    <xf numFmtId="0" fontId="10" fillId="0" borderId="0" xfId="0" applyFont="1" applyBorder="1" applyAlignment="1">
      <alignment horizontal="center"/>
    </xf>
    <xf numFmtId="165" fontId="2" fillId="0" borderId="0" xfId="54" applyNumberFormat="1" applyFont="1" applyBorder="1" applyAlignment="1">
      <alignment horizontal="center" vertical="center"/>
    </xf>
    <xf numFmtId="165" fontId="10" fillId="0" borderId="0" xfId="54" applyNumberFormat="1" applyFont="1" applyBorder="1" applyAlignment="1">
      <alignment vertical="center"/>
    </xf>
    <xf numFmtId="0" fontId="10" fillId="0" borderId="0" xfId="0" applyFont="1" applyBorder="1" applyAlignment="1" applyProtection="1">
      <alignment vertical="center"/>
      <protection/>
    </xf>
    <xf numFmtId="174" fontId="1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165" fontId="10" fillId="0" borderId="0" xfId="54" applyNumberFormat="1" applyFont="1" applyFill="1" applyBorder="1" applyAlignment="1" applyProtection="1">
      <alignment vertical="center"/>
      <protection/>
    </xf>
    <xf numFmtId="165" fontId="5" fillId="0" borderId="4" xfId="134" applyNumberFormat="1" applyFont="1" applyBorder="1">
      <alignment/>
      <protection/>
    </xf>
    <xf numFmtId="165" fontId="10" fillId="0" borderId="0" xfId="43" applyNumberFormat="1" applyFont="1" applyAlignment="1" applyProtection="1">
      <alignment vertical="center"/>
      <protection/>
    </xf>
    <xf numFmtId="0" fontId="15" fillId="0" borderId="0" xfId="0" applyFont="1" applyBorder="1" applyAlignment="1">
      <alignment/>
    </xf>
    <xf numFmtId="0" fontId="3" fillId="0" borderId="0" xfId="118" applyFont="1" applyFill="1">
      <alignment/>
      <protection/>
    </xf>
    <xf numFmtId="0" fontId="2" fillId="0" borderId="0" xfId="121" applyFont="1" applyFill="1">
      <alignment/>
      <protection/>
    </xf>
    <xf numFmtId="0" fontId="3" fillId="0" borderId="0" xfId="134" applyFont="1" applyFill="1">
      <alignment/>
      <protection/>
    </xf>
    <xf numFmtId="0" fontId="3" fillId="0" borderId="0" xfId="121" applyFont="1" applyFill="1">
      <alignment/>
      <protection/>
    </xf>
    <xf numFmtId="0" fontId="24" fillId="0" borderId="0" xfId="121" applyFont="1" applyFill="1">
      <alignment/>
      <protection/>
    </xf>
    <xf numFmtId="0" fontId="3" fillId="0" borderId="30" xfId="121" applyFont="1" applyFill="1" applyBorder="1">
      <alignment/>
      <protection/>
    </xf>
    <xf numFmtId="0" fontId="3" fillId="0" borderId="30" xfId="121" applyFont="1" applyFill="1" applyBorder="1" applyAlignment="1">
      <alignment horizontal="center"/>
      <protection/>
    </xf>
    <xf numFmtId="0" fontId="3" fillId="0" borderId="0" xfId="121" applyFont="1" applyFill="1" applyBorder="1">
      <alignment/>
      <protection/>
    </xf>
    <xf numFmtId="0" fontId="3" fillId="0" borderId="0" xfId="121" applyFont="1" applyFill="1" applyBorder="1" applyAlignment="1">
      <alignment horizontal="center"/>
      <protection/>
    </xf>
    <xf numFmtId="0" fontId="2" fillId="0" borderId="32" xfId="121" applyFont="1" applyFill="1" applyBorder="1">
      <alignment/>
      <protection/>
    </xf>
    <xf numFmtId="167" fontId="2" fillId="0" borderId="32" xfId="147" applyNumberFormat="1" applyFont="1" applyFill="1" applyBorder="1" applyAlignment="1">
      <alignment/>
    </xf>
    <xf numFmtId="0" fontId="2" fillId="0" borderId="33" xfId="121" applyFont="1" applyFill="1" applyBorder="1">
      <alignment/>
      <protection/>
    </xf>
    <xf numFmtId="167" fontId="2" fillId="0" borderId="33" xfId="147" applyNumberFormat="1" applyFont="1" applyFill="1" applyBorder="1" applyAlignment="1">
      <alignment/>
    </xf>
    <xf numFmtId="0" fontId="2" fillId="0" borderId="33" xfId="121" applyFont="1" applyFill="1" applyBorder="1" applyAlignment="1" quotePrefix="1">
      <alignment horizontal="left"/>
      <protection/>
    </xf>
    <xf numFmtId="0" fontId="2" fillId="0" borderId="33" xfId="121" applyFont="1" applyFill="1" applyBorder="1" applyAlignment="1">
      <alignment horizontal="left"/>
      <protection/>
    </xf>
    <xf numFmtId="167" fontId="2" fillId="0" borderId="0" xfId="147" applyNumberFormat="1" applyFont="1" applyFill="1" applyAlignment="1">
      <alignment/>
    </xf>
    <xf numFmtId="0" fontId="3" fillId="0" borderId="30" xfId="121" applyFont="1" applyFill="1" applyBorder="1" applyAlignment="1">
      <alignment horizontal="right"/>
      <protection/>
    </xf>
    <xf numFmtId="0" fontId="2" fillId="0" borderId="0" xfId="121" applyFont="1" applyFill="1" applyBorder="1">
      <alignment/>
      <protection/>
    </xf>
    <xf numFmtId="167" fontId="2" fillId="0" borderId="0" xfId="147" applyNumberFormat="1" applyFont="1" applyFill="1" applyBorder="1" applyAlignment="1">
      <alignment/>
    </xf>
    <xf numFmtId="167" fontId="2" fillId="0" borderId="0" xfId="147" applyNumberFormat="1" applyFont="1" applyFill="1" applyBorder="1" applyAlignment="1">
      <alignment horizontal="center"/>
    </xf>
    <xf numFmtId="165" fontId="10" fillId="0" borderId="0" xfId="43" applyNumberFormat="1" applyFont="1" applyBorder="1" applyAlignment="1" applyProtection="1">
      <alignment vertical="center"/>
      <protection/>
    </xf>
    <xf numFmtId="165" fontId="0" fillId="0" borderId="0" xfId="0" applyNumberFormat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Border="1" applyAlignment="1">
      <alignment/>
    </xf>
    <xf numFmtId="165" fontId="10" fillId="0" borderId="4" xfId="54" applyNumberFormat="1" applyFont="1" applyFill="1" applyBorder="1" applyAlignment="1" applyProtection="1">
      <alignment vertical="center"/>
      <protection/>
    </xf>
    <xf numFmtId="165" fontId="10" fillId="0" borderId="30" xfId="54" applyNumberFormat="1" applyFont="1" applyFill="1" applyBorder="1" applyAlignment="1" applyProtection="1">
      <alignment vertical="center"/>
      <protection/>
    </xf>
    <xf numFmtId="165" fontId="10" fillId="0" borderId="31" xfId="54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174" fontId="10" fillId="0" borderId="0" xfId="0" applyNumberFormat="1" applyFont="1" applyFill="1" applyAlignment="1" applyProtection="1">
      <alignment vertical="center"/>
      <protection/>
    </xf>
    <xf numFmtId="165" fontId="10" fillId="0" borderId="34" xfId="54" applyNumberFormat="1" applyFont="1" applyFill="1" applyBorder="1" applyAlignment="1" applyProtection="1">
      <alignment vertical="center"/>
      <protection/>
    </xf>
    <xf numFmtId="0" fontId="10" fillId="0" borderId="0" xfId="0" applyFont="1" applyAlignment="1" quotePrefix="1">
      <alignment horizontal="left" vertical="center"/>
    </xf>
    <xf numFmtId="0" fontId="2" fillId="0" borderId="0" xfId="0" applyFont="1" applyFill="1" applyAlignment="1" applyProtection="1">
      <alignment/>
      <protection/>
    </xf>
    <xf numFmtId="0" fontId="13" fillId="0" borderId="0" xfId="0" applyFont="1" applyFill="1" applyAlignment="1">
      <alignment vertical="center"/>
    </xf>
    <xf numFmtId="165" fontId="13" fillId="0" borderId="4" xfId="43" applyNumberFormat="1" applyFont="1" applyBorder="1" applyAlignment="1" applyProtection="1">
      <alignment vertical="center"/>
      <protection/>
    </xf>
    <xf numFmtId="164" fontId="13" fillId="0" borderId="34" xfId="76" applyNumberFormat="1" applyFont="1" applyBorder="1" applyAlignment="1" applyProtection="1">
      <alignment vertical="center"/>
      <protection/>
    </xf>
    <xf numFmtId="0" fontId="2" fillId="0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119" applyFont="1">
      <alignment/>
      <protection/>
    </xf>
    <xf numFmtId="0" fontId="33" fillId="0" borderId="0" xfId="134" applyFont="1">
      <alignment/>
      <protection/>
    </xf>
    <xf numFmtId="0" fontId="5" fillId="0" borderId="0" xfId="134" applyFont="1" applyBorder="1" applyAlignment="1">
      <alignment horizontal="left"/>
      <protection/>
    </xf>
    <xf numFmtId="0" fontId="5" fillId="0" borderId="0" xfId="119" applyFont="1" applyBorder="1" applyAlignment="1">
      <alignment horizontal="center"/>
      <protection/>
    </xf>
    <xf numFmtId="41" fontId="5" fillId="0" borderId="0" xfId="55" applyNumberFormat="1" applyFont="1" applyBorder="1" applyAlignment="1">
      <alignment horizontal="center"/>
    </xf>
    <xf numFmtId="0" fontId="5" fillId="0" borderId="0" xfId="119" applyFont="1" applyAlignment="1">
      <alignment horizontal="left"/>
      <protection/>
    </xf>
    <xf numFmtId="0" fontId="5" fillId="0" borderId="0" xfId="119" applyFont="1">
      <alignment/>
      <protection/>
    </xf>
    <xf numFmtId="165" fontId="5" fillId="0" borderId="4" xfId="55" applyNumberFormat="1" applyFont="1" applyFill="1" applyBorder="1" applyAlignment="1">
      <alignment horizontal="center"/>
    </xf>
    <xf numFmtId="41" fontId="5" fillId="0" borderId="4" xfId="55" applyNumberFormat="1" applyFont="1" applyFill="1" applyBorder="1" applyAlignment="1">
      <alignment horizontal="center"/>
    </xf>
    <xf numFmtId="0" fontId="5" fillId="0" borderId="0" xfId="119" applyFont="1" applyFill="1" applyBorder="1" applyAlignment="1">
      <alignment horizontal="left"/>
      <protection/>
    </xf>
    <xf numFmtId="0" fontId="5" fillId="0" borderId="0" xfId="119" applyFont="1" applyBorder="1" applyAlignment="1">
      <alignment horizontal="left"/>
      <protection/>
    </xf>
    <xf numFmtId="165" fontId="5" fillId="0" borderId="0" xfId="55" applyNumberFormat="1" applyFont="1" applyBorder="1" applyAlignment="1">
      <alignment horizontal="center"/>
    </xf>
    <xf numFmtId="165" fontId="5" fillId="0" borderId="0" xfId="58" applyNumberFormat="1" applyFont="1" applyFill="1" applyAlignment="1">
      <alignment/>
    </xf>
    <xf numFmtId="0" fontId="6" fillId="0" borderId="0" xfId="134" applyFont="1" applyBorder="1" applyAlignment="1">
      <alignment horizontal="left"/>
      <protection/>
    </xf>
    <xf numFmtId="167" fontId="5" fillId="0" borderId="0" xfId="149" applyNumberFormat="1" applyFont="1" applyFill="1" applyBorder="1" applyAlignment="1">
      <alignment horizontal="center"/>
    </xf>
    <xf numFmtId="165" fontId="5" fillId="0" borderId="0" xfId="134" applyNumberFormat="1" applyFont="1">
      <alignment/>
      <protection/>
    </xf>
    <xf numFmtId="0" fontId="1" fillId="0" borderId="0" xfId="124">
      <alignment/>
      <protection/>
    </xf>
    <xf numFmtId="0" fontId="15" fillId="20" borderId="23" xfId="124" applyFont="1" applyFill="1" applyBorder="1">
      <alignment/>
      <protection/>
    </xf>
    <xf numFmtId="0" fontId="1" fillId="20" borderId="24" xfId="124" applyFill="1" applyBorder="1">
      <alignment/>
      <protection/>
    </xf>
    <xf numFmtId="0" fontId="1" fillId="20" borderId="25" xfId="124" applyFill="1" applyBorder="1">
      <alignment/>
      <protection/>
    </xf>
    <xf numFmtId="0" fontId="1" fillId="20" borderId="26" xfId="124" applyFill="1" applyBorder="1">
      <alignment/>
      <protection/>
    </xf>
    <xf numFmtId="0" fontId="1" fillId="20" borderId="0" xfId="124" applyFill="1" applyBorder="1">
      <alignment/>
      <protection/>
    </xf>
    <xf numFmtId="6" fontId="2" fillId="20" borderId="27" xfId="124" applyNumberFormat="1" applyFont="1" applyFill="1" applyBorder="1" applyAlignment="1">
      <alignment horizontal="right"/>
      <protection/>
    </xf>
    <xf numFmtId="164" fontId="0" fillId="0" borderId="0" xfId="78" applyNumberFormat="1" applyFont="1" applyAlignment="1">
      <alignment/>
    </xf>
    <xf numFmtId="0" fontId="1" fillId="20" borderId="27" xfId="124" applyFill="1" applyBorder="1" applyAlignment="1">
      <alignment horizontal="right"/>
      <protection/>
    </xf>
    <xf numFmtId="0" fontId="1" fillId="0" borderId="0" xfId="124" quotePrefix="1">
      <alignment/>
      <protection/>
    </xf>
    <xf numFmtId="0" fontId="2" fillId="20" borderId="27" xfId="124" applyFont="1" applyFill="1" applyBorder="1" applyAlignment="1">
      <alignment horizontal="right"/>
      <protection/>
    </xf>
    <xf numFmtId="165" fontId="2" fillId="20" borderId="27" xfId="124" applyNumberFormat="1" applyFont="1" applyFill="1" applyBorder="1" applyAlignment="1">
      <alignment horizontal="right"/>
      <protection/>
    </xf>
    <xf numFmtId="0" fontId="2" fillId="20" borderId="0" xfId="124" applyFont="1" applyFill="1" applyBorder="1">
      <alignment/>
      <protection/>
    </xf>
    <xf numFmtId="0" fontId="1" fillId="20" borderId="28" xfId="124" applyFill="1" applyBorder="1">
      <alignment/>
      <protection/>
    </xf>
    <xf numFmtId="0" fontId="1" fillId="20" borderId="13" xfId="124" applyFill="1" applyBorder="1">
      <alignment/>
      <protection/>
    </xf>
    <xf numFmtId="0" fontId="1" fillId="20" borderId="29" xfId="124" applyFill="1" applyBorder="1" applyAlignment="1" quotePrefix="1">
      <alignment horizontal="right"/>
      <protection/>
    </xf>
    <xf numFmtId="0" fontId="1" fillId="0" borderId="0" xfId="124" applyFill="1">
      <alignment/>
      <protection/>
    </xf>
    <xf numFmtId="0" fontId="3" fillId="0" borderId="30" xfId="124" applyFont="1" applyFill="1" applyBorder="1">
      <alignment/>
      <protection/>
    </xf>
    <xf numFmtId="0" fontId="3" fillId="0" borderId="30" xfId="124" applyFont="1" applyFill="1" applyBorder="1" applyAlignment="1">
      <alignment horizontal="center"/>
      <protection/>
    </xf>
    <xf numFmtId="166" fontId="3" fillId="0" borderId="30" xfId="124" applyNumberFormat="1" applyFont="1" applyFill="1" applyBorder="1" applyAlignment="1">
      <alignment horizontal="center"/>
      <protection/>
    </xf>
    <xf numFmtId="0" fontId="15" fillId="0" borderId="30" xfId="124" applyFont="1" applyFill="1" applyBorder="1" applyAlignment="1">
      <alignment horizontal="center"/>
      <protection/>
    </xf>
    <xf numFmtId="165" fontId="0" fillId="0" borderId="0" xfId="58" applyNumberFormat="1" applyFont="1" applyFill="1" applyAlignment="1">
      <alignment/>
    </xf>
    <xf numFmtId="0" fontId="3" fillId="0" borderId="0" xfId="124" applyFont="1" applyFill="1">
      <alignment/>
      <protection/>
    </xf>
    <xf numFmtId="10" fontId="0" fillId="0" borderId="0" xfId="149" applyNumberFormat="1" applyFont="1" applyFill="1" applyAlignment="1">
      <alignment horizontal="center"/>
    </xf>
    <xf numFmtId="165" fontId="34" fillId="0" borderId="0" xfId="124" applyNumberFormat="1" applyFont="1" applyFill="1">
      <alignment/>
      <protection/>
    </xf>
    <xf numFmtId="165" fontId="0" fillId="0" borderId="4" xfId="58" applyNumberFormat="1" applyFont="1" applyFill="1" applyBorder="1" applyAlignment="1">
      <alignment/>
    </xf>
    <xf numFmtId="0" fontId="15" fillId="0" borderId="0" xfId="124" applyFont="1" applyFill="1">
      <alignment/>
      <protection/>
    </xf>
    <xf numFmtId="165" fontId="1" fillId="0" borderId="0" xfId="124" applyNumberFormat="1" applyFill="1">
      <alignment/>
      <protection/>
    </xf>
    <xf numFmtId="165" fontId="5" fillId="0" borderId="4" xfId="134" applyNumberFormat="1" applyFont="1" applyBorder="1" applyAlignment="1">
      <alignment horizontal="center"/>
      <protection/>
    </xf>
    <xf numFmtId="165" fontId="5" fillId="0" borderId="4" xfId="55" applyNumberFormat="1" applyFont="1" applyBorder="1" applyAlignment="1">
      <alignment horizontal="center"/>
    </xf>
    <xf numFmtId="41" fontId="5" fillId="0" borderId="4" xfId="55" applyNumberFormat="1" applyFont="1" applyBorder="1" applyAlignment="1">
      <alignment horizontal="center"/>
    </xf>
    <xf numFmtId="165" fontId="5" fillId="0" borderId="0" xfId="134" applyNumberFormat="1" applyFont="1" applyAlignment="1">
      <alignment horizontal="left"/>
      <protection/>
    </xf>
    <xf numFmtId="165" fontId="5" fillId="0" borderId="4" xfId="58" applyNumberFormat="1" applyFont="1" applyFill="1" applyBorder="1" applyAlignment="1">
      <alignment horizontal="center"/>
    </xf>
    <xf numFmtId="165" fontId="5" fillId="0" borderId="0" xfId="58" applyNumberFormat="1" applyFont="1" applyFill="1" applyBorder="1" applyAlignment="1">
      <alignment horizontal="center"/>
    </xf>
    <xf numFmtId="0" fontId="1" fillId="0" borderId="0" xfId="124" applyFill="1" applyBorder="1">
      <alignment/>
      <protection/>
    </xf>
    <xf numFmtId="164" fontId="0" fillId="20" borderId="27" xfId="78" applyNumberFormat="1" applyFont="1" applyFill="1" applyBorder="1" applyAlignment="1">
      <alignment/>
    </xf>
    <xf numFmtId="164" fontId="0" fillId="0" borderId="0" xfId="78" applyNumberFormat="1" applyFont="1" applyFill="1" applyBorder="1" applyAlignment="1">
      <alignment/>
    </xf>
    <xf numFmtId="0" fontId="1" fillId="0" borderId="0" xfId="124" applyFill="1" applyBorder="1" applyAlignment="1">
      <alignment horizontal="right"/>
      <protection/>
    </xf>
    <xf numFmtId="5" fontId="2" fillId="20" borderId="27" xfId="124" applyNumberFormat="1" applyFont="1" applyFill="1" applyBorder="1" applyAlignment="1">
      <alignment horizontal="right"/>
      <protection/>
    </xf>
    <xf numFmtId="5" fontId="2" fillId="0" borderId="0" xfId="124" applyNumberFormat="1" applyFont="1" applyFill="1" applyBorder="1" applyAlignment="1">
      <alignment horizontal="right"/>
      <protection/>
    </xf>
    <xf numFmtId="165" fontId="2" fillId="0" borderId="0" xfId="124" applyNumberFormat="1" applyFont="1" applyFill="1" applyBorder="1" applyAlignment="1">
      <alignment horizontal="right"/>
      <protection/>
    </xf>
    <xf numFmtId="0" fontId="1" fillId="0" borderId="0" xfId="124" applyFill="1" applyBorder="1" applyAlignment="1" quotePrefix="1">
      <alignment horizontal="right"/>
      <protection/>
    </xf>
    <xf numFmtId="43" fontId="1" fillId="0" borderId="0" xfId="124" applyNumberFormat="1" applyFill="1">
      <alignment/>
      <protection/>
    </xf>
    <xf numFmtId="0" fontId="3" fillId="0" borderId="0" xfId="119" applyFont="1">
      <alignment/>
      <protection/>
    </xf>
    <xf numFmtId="0" fontId="3" fillId="0" borderId="0" xfId="134" applyFont="1">
      <alignment/>
      <protection/>
    </xf>
    <xf numFmtId="10" fontId="2" fillId="0" borderId="0" xfId="149" applyNumberFormat="1" applyFont="1" applyFill="1" applyAlignment="1">
      <alignment horizontal="center"/>
    </xf>
    <xf numFmtId="0" fontId="0" fillId="0" borderId="0" xfId="120" applyFont="1">
      <alignment/>
      <protection/>
    </xf>
    <xf numFmtId="0" fontId="15" fillId="0" borderId="0" xfId="120" applyFont="1" applyAlignment="1">
      <alignment horizontal="left"/>
      <protection/>
    </xf>
    <xf numFmtId="165" fontId="0" fillId="0" borderId="0" xfId="57" applyNumberFormat="1" applyFont="1" applyAlignment="1">
      <alignment/>
    </xf>
    <xf numFmtId="0" fontId="0" fillId="0" borderId="0" xfId="120" applyFont="1" applyFill="1" applyBorder="1">
      <alignment/>
      <protection/>
    </xf>
    <xf numFmtId="165" fontId="0" fillId="0" borderId="35" xfId="57" applyNumberFormat="1" applyFont="1" applyBorder="1" applyAlignment="1">
      <alignment horizontal="center"/>
    </xf>
    <xf numFmtId="165" fontId="0" fillId="0" borderId="18" xfId="57" applyNumberFormat="1" applyFont="1" applyBorder="1" applyAlignment="1">
      <alignment horizontal="center"/>
    </xf>
    <xf numFmtId="165" fontId="0" fillId="0" borderId="0" xfId="57" applyNumberFormat="1" applyFont="1" applyAlignment="1">
      <alignment horizontal="center"/>
    </xf>
    <xf numFmtId="180" fontId="0" fillId="0" borderId="30" xfId="146" applyNumberFormat="1" applyFont="1" applyBorder="1" applyAlignment="1">
      <alignment/>
    </xf>
    <xf numFmtId="10" fontId="0" fillId="0" borderId="0" xfId="146" applyNumberFormat="1" applyFont="1" applyAlignment="1">
      <alignment/>
    </xf>
    <xf numFmtId="165" fontId="0" fillId="0" borderId="4" xfId="57" applyNumberFormat="1" applyFont="1" applyBorder="1" applyAlignment="1">
      <alignment/>
    </xf>
    <xf numFmtId="165" fontId="15" fillId="0" borderId="0" xfId="57" applyNumberFormat="1" applyFont="1" applyAlignment="1">
      <alignment/>
    </xf>
    <xf numFmtId="167" fontId="0" fillId="0" borderId="0" xfId="146" applyNumberFormat="1" applyFont="1" applyAlignment="1">
      <alignment/>
    </xf>
    <xf numFmtId="174" fontId="0" fillId="0" borderId="0" xfId="146" applyNumberFormat="1" applyFont="1" applyAlignment="1">
      <alignment/>
    </xf>
    <xf numFmtId="0" fontId="0" fillId="0" borderId="0" xfId="120" applyFont="1" applyAlignment="1" quotePrefix="1">
      <alignment horizontal="center"/>
      <protection/>
    </xf>
    <xf numFmtId="165" fontId="0" fillId="0" borderId="0" xfId="57" applyNumberFormat="1" applyFont="1" applyAlignment="1" quotePrefix="1">
      <alignment/>
    </xf>
    <xf numFmtId="10" fontId="0" fillId="0" borderId="0" xfId="146" applyNumberFormat="1" applyFont="1" applyAlignment="1">
      <alignment horizontal="center"/>
    </xf>
    <xf numFmtId="10" fontId="0" fillId="0" borderId="36" xfId="146" applyNumberFormat="1" applyFont="1" applyBorder="1" applyAlignment="1">
      <alignment horizontal="center"/>
    </xf>
    <xf numFmtId="165" fontId="0" fillId="0" borderId="0" xfId="57" applyNumberFormat="1" applyFont="1" applyAlignment="1" quotePrefix="1">
      <alignment horizontal="center"/>
    </xf>
    <xf numFmtId="0" fontId="15" fillId="0" borderId="0" xfId="120" applyFont="1" applyAlignment="1">
      <alignment/>
      <protection/>
    </xf>
    <xf numFmtId="0" fontId="15" fillId="0" borderId="8" xfId="120" applyFont="1" applyFill="1" applyBorder="1" applyAlignment="1">
      <alignment horizontal="center"/>
      <protection/>
    </xf>
    <xf numFmtId="0" fontId="0" fillId="0" borderId="0" xfId="120" applyFont="1" applyFill="1">
      <alignment/>
      <protection/>
    </xf>
    <xf numFmtId="0" fontId="0" fillId="0" borderId="0" xfId="120" applyFont="1" applyFill="1" quotePrefix="1">
      <alignment/>
      <protection/>
    </xf>
    <xf numFmtId="165" fontId="0" fillId="0" borderId="0" xfId="57" applyNumberFormat="1" applyFont="1" applyFill="1" applyAlignment="1">
      <alignment/>
    </xf>
    <xf numFmtId="9" fontId="0" fillId="0" borderId="30" xfId="146" applyFont="1" applyFill="1" applyBorder="1" applyAlignment="1">
      <alignment/>
    </xf>
    <xf numFmtId="10" fontId="0" fillId="0" borderId="0" xfId="146" applyNumberFormat="1" applyFont="1" applyFill="1" applyAlignment="1">
      <alignment/>
    </xf>
    <xf numFmtId="165" fontId="0" fillId="0" borderId="4" xfId="57" applyNumberFormat="1" applyFont="1" applyFill="1" applyBorder="1" applyAlignment="1">
      <alignment/>
    </xf>
    <xf numFmtId="165" fontId="0" fillId="0" borderId="30" xfId="57" applyNumberFormat="1" applyFont="1" applyFill="1" applyBorder="1" applyAlignment="1">
      <alignment/>
    </xf>
    <xf numFmtId="167" fontId="0" fillId="0" borderId="0" xfId="146" applyNumberFormat="1" applyFont="1" applyFill="1" applyAlignment="1">
      <alignment/>
    </xf>
    <xf numFmtId="165" fontId="15" fillId="0" borderId="37" xfId="57" applyNumberFormat="1" applyFont="1" applyFill="1" applyBorder="1" applyAlignment="1">
      <alignment/>
    </xf>
    <xf numFmtId="0" fontId="0" fillId="0" borderId="0" xfId="120" applyFont="1" applyFill="1" applyAlignment="1">
      <alignment horizontal="center"/>
      <protection/>
    </xf>
    <xf numFmtId="0" fontId="0" fillId="0" borderId="0" xfId="120" applyFont="1" applyFill="1" applyAlignment="1" quotePrefix="1">
      <alignment horizontal="center"/>
      <protection/>
    </xf>
    <xf numFmtId="165" fontId="0" fillId="0" borderId="35" xfId="57" applyNumberFormat="1" applyFont="1" applyFill="1" applyBorder="1" applyAlignment="1">
      <alignment horizontal="center"/>
    </xf>
    <xf numFmtId="165" fontId="0" fillId="0" borderId="18" xfId="57" applyNumberFormat="1" applyFont="1" applyFill="1" applyBorder="1" applyAlignment="1">
      <alignment horizontal="center"/>
    </xf>
    <xf numFmtId="167" fontId="0" fillId="0" borderId="0" xfId="146" applyNumberFormat="1" applyFont="1" applyFill="1" applyAlignment="1">
      <alignment horizontal="center"/>
    </xf>
    <xf numFmtId="10" fontId="34" fillId="0" borderId="0" xfId="149" applyNumberFormat="1" applyFont="1" applyFill="1" applyAlignment="1">
      <alignment horizontal="center"/>
    </xf>
    <xf numFmtId="0" fontId="0" fillId="0" borderId="8" xfId="120" applyFont="1" applyBorder="1" applyAlignment="1">
      <alignment horizontal="center"/>
      <protection/>
    </xf>
    <xf numFmtId="0" fontId="0" fillId="0" borderId="38" xfId="120" applyFont="1" applyBorder="1" applyAlignment="1">
      <alignment horizontal="center"/>
      <protection/>
    </xf>
    <xf numFmtId="0" fontId="0" fillId="0" borderId="39" xfId="120" applyFont="1" applyFill="1" applyBorder="1" applyAlignment="1">
      <alignment horizontal="center"/>
      <protection/>
    </xf>
    <xf numFmtId="0" fontId="0" fillId="0" borderId="0" xfId="120" applyFont="1" applyBorder="1" applyAlignment="1">
      <alignment horizontal="center"/>
      <protection/>
    </xf>
    <xf numFmtId="0" fontId="0" fillId="0" borderId="40" xfId="120" applyFont="1" applyFill="1" applyBorder="1" applyAlignment="1">
      <alignment horizontal="center"/>
      <protection/>
    </xf>
    <xf numFmtId="180" fontId="0" fillId="0" borderId="0" xfId="146" applyNumberFormat="1" applyFont="1" applyAlignment="1">
      <alignment/>
    </xf>
    <xf numFmtId="181" fontId="0" fillId="0" borderId="0" xfId="57" applyNumberFormat="1" applyFont="1" applyAlignment="1">
      <alignment/>
    </xf>
    <xf numFmtId="165" fontId="0" fillId="0" borderId="41" xfId="57" applyNumberFormat="1" applyFont="1" applyFill="1" applyBorder="1" applyAlignment="1">
      <alignment/>
    </xf>
    <xf numFmtId="43" fontId="0" fillId="0" borderId="0" xfId="57" applyFont="1" applyAlignment="1">
      <alignment/>
    </xf>
    <xf numFmtId="165" fontId="0" fillId="0" borderId="0" xfId="120" applyNumberFormat="1" applyFont="1">
      <alignment/>
      <protection/>
    </xf>
    <xf numFmtId="0" fontId="0" fillId="0" borderId="0" xfId="0" applyAlignment="1">
      <alignment horizontal="left" vertical="top" readingOrder="1"/>
    </xf>
    <xf numFmtId="0" fontId="35" fillId="0" borderId="0" xfId="0" applyFont="1" applyAlignment="1">
      <alignment horizontal="left" indent="6" readingOrder="1"/>
    </xf>
    <xf numFmtId="0" fontId="2" fillId="0" borderId="0" xfId="126">
      <alignment/>
      <protection/>
    </xf>
    <xf numFmtId="0" fontId="2" fillId="0" borderId="0" xfId="119" applyFont="1">
      <alignment/>
      <protection/>
    </xf>
    <xf numFmtId="174" fontId="2" fillId="0" borderId="0" xfId="145" applyNumberFormat="1" applyFont="1" applyFill="1" applyAlignment="1">
      <alignment/>
    </xf>
    <xf numFmtId="0" fontId="2" fillId="0" borderId="0" xfId="119" applyFont="1" applyFill="1">
      <alignment/>
      <protection/>
    </xf>
    <xf numFmtId="0" fontId="2" fillId="0" borderId="0" xfId="118" applyFont="1">
      <alignment/>
      <protection/>
    </xf>
    <xf numFmtId="0" fontId="3" fillId="0" borderId="0" xfId="126" applyFont="1">
      <alignment/>
      <protection/>
    </xf>
    <xf numFmtId="164" fontId="3" fillId="0" borderId="4" xfId="79" applyNumberFormat="1" applyFont="1" applyBorder="1" applyAlignment="1">
      <alignment/>
    </xf>
    <xf numFmtId="0" fontId="13" fillId="0" borderId="0" xfId="118" applyFont="1" applyFill="1" applyBorder="1" applyAlignment="1">
      <alignment horizontal="left"/>
      <protection/>
    </xf>
    <xf numFmtId="0" fontId="3" fillId="0" borderId="0" xfId="119" applyFont="1" applyFill="1" applyBorder="1" applyAlignment="1">
      <alignment horizontal="left" indent="6"/>
      <protection/>
    </xf>
    <xf numFmtId="0" fontId="2" fillId="0" borderId="0" xfId="119" applyFont="1" applyFill="1" applyBorder="1">
      <alignment/>
      <protection/>
    </xf>
    <xf numFmtId="165" fontId="2" fillId="0" borderId="0" xfId="54" applyNumberFormat="1" applyFont="1" applyAlignment="1">
      <alignment/>
    </xf>
    <xf numFmtId="165" fontId="2" fillId="0" borderId="0" xfId="54" applyNumberFormat="1" applyFont="1" applyBorder="1" applyAlignment="1">
      <alignment/>
    </xf>
    <xf numFmtId="0" fontId="3" fillId="0" borderId="0" xfId="118" applyFont="1">
      <alignment/>
      <protection/>
    </xf>
    <xf numFmtId="164" fontId="3" fillId="0" borderId="0" xfId="80" applyNumberFormat="1" applyFont="1" applyFill="1" applyBorder="1" applyAlignment="1">
      <alignment/>
    </xf>
    <xf numFmtId="0" fontId="3" fillId="0" borderId="0" xfId="119" applyFont="1" applyFill="1">
      <alignment/>
      <protection/>
    </xf>
    <xf numFmtId="0" fontId="13" fillId="0" borderId="0" xfId="126" applyFont="1" applyFill="1" applyBorder="1" applyAlignment="1">
      <alignment horizontal="center"/>
      <protection/>
    </xf>
    <xf numFmtId="0" fontId="3" fillId="0" borderId="30" xfId="119" applyNumberFormat="1" applyFont="1" applyBorder="1" applyAlignment="1">
      <alignment horizontal="center"/>
      <protection/>
    </xf>
    <xf numFmtId="0" fontId="3" fillId="0" borderId="30" xfId="119" applyNumberFormat="1" applyFont="1" applyFill="1" applyBorder="1" applyAlignment="1">
      <alignment horizontal="center"/>
      <protection/>
    </xf>
    <xf numFmtId="165" fontId="3" fillId="0" borderId="30" xfId="56" applyNumberFormat="1" applyFont="1" applyBorder="1" applyAlignment="1">
      <alignment/>
    </xf>
    <xf numFmtId="0" fontId="2" fillId="0" borderId="0" xfId="119" applyNumberFormat="1" applyFont="1" applyFill="1" applyBorder="1" applyAlignment="1">
      <alignment horizontal="center"/>
      <protection/>
    </xf>
    <xf numFmtId="174" fontId="2" fillId="0" borderId="0" xfId="119" applyNumberFormat="1" applyFont="1" applyFill="1" applyBorder="1" applyAlignment="1">
      <alignment horizontal="center"/>
      <protection/>
    </xf>
    <xf numFmtId="0" fontId="2" fillId="0" borderId="0" xfId="119" applyFont="1" applyFill="1" applyAlignment="1">
      <alignment horizontal="center"/>
      <protection/>
    </xf>
    <xf numFmtId="165" fontId="2" fillId="0" borderId="23" xfId="54" applyNumberFormat="1" applyFont="1" applyFill="1" applyBorder="1" applyAlignment="1">
      <alignment/>
    </xf>
    <xf numFmtId="165" fontId="2" fillId="0" borderId="24" xfId="54" applyNumberFormat="1" applyFont="1" applyFill="1" applyBorder="1" applyAlignment="1">
      <alignment horizontal="center"/>
    </xf>
    <xf numFmtId="165" fontId="2" fillId="0" borderId="25" xfId="54" applyNumberFormat="1" applyFont="1" applyFill="1" applyBorder="1" applyAlignment="1">
      <alignment horizontal="center"/>
    </xf>
    <xf numFmtId="165" fontId="2" fillId="0" borderId="42" xfId="54" applyNumberFormat="1" applyFont="1" applyFill="1" applyBorder="1" applyAlignment="1">
      <alignment horizontal="center"/>
    </xf>
    <xf numFmtId="165" fontId="2" fillId="0" borderId="43" xfId="54" applyNumberFormat="1" applyFont="1" applyFill="1" applyBorder="1" applyAlignment="1">
      <alignment horizontal="center"/>
    </xf>
    <xf numFmtId="0" fontId="13" fillId="0" borderId="26" xfId="118" applyFont="1" applyFill="1" applyBorder="1" applyAlignment="1">
      <alignment horizontal="center"/>
      <protection/>
    </xf>
    <xf numFmtId="165" fontId="2" fillId="0" borderId="0" xfId="54" applyNumberFormat="1" applyFont="1" applyFill="1" applyBorder="1" applyAlignment="1">
      <alignment horizontal="center"/>
    </xf>
    <xf numFmtId="165" fontId="2" fillId="0" borderId="27" xfId="54" applyNumberFormat="1" applyFont="1" applyFill="1" applyBorder="1" applyAlignment="1">
      <alignment horizontal="center"/>
    </xf>
    <xf numFmtId="165" fontId="2" fillId="0" borderId="44" xfId="54" applyNumberFormat="1" applyFont="1" applyFill="1" applyBorder="1" applyAlignment="1">
      <alignment horizontal="center"/>
    </xf>
    <xf numFmtId="0" fontId="2" fillId="0" borderId="0" xfId="119" applyNumberFormat="1" applyFont="1" applyFill="1" applyBorder="1">
      <alignment/>
      <protection/>
    </xf>
    <xf numFmtId="0" fontId="2" fillId="0" borderId="0" xfId="119" applyFont="1" applyFill="1" applyBorder="1" applyAlignment="1">
      <alignment horizontal="center"/>
      <protection/>
    </xf>
    <xf numFmtId="165" fontId="3" fillId="0" borderId="26" xfId="54" applyNumberFormat="1" applyFont="1" applyFill="1" applyBorder="1" applyAlignment="1">
      <alignment/>
    </xf>
    <xf numFmtId="165" fontId="2" fillId="0" borderId="45" xfId="54" applyNumberFormat="1" applyFont="1" applyFill="1" applyBorder="1" applyAlignment="1">
      <alignment/>
    </xf>
    <xf numFmtId="165" fontId="3" fillId="0" borderId="30" xfId="54" applyNumberFormat="1" applyFont="1" applyFill="1" applyBorder="1" applyAlignment="1">
      <alignment horizontal="center"/>
    </xf>
    <xf numFmtId="165" fontId="3" fillId="0" borderId="46" xfId="54" applyNumberFormat="1" applyFont="1" applyFill="1" applyBorder="1" applyAlignment="1">
      <alignment horizontal="center"/>
    </xf>
    <xf numFmtId="165" fontId="2" fillId="0" borderId="30" xfId="54" applyNumberFormat="1" applyFont="1" applyFill="1" applyBorder="1" applyAlignment="1">
      <alignment horizontal="center"/>
    </xf>
    <xf numFmtId="165" fontId="2" fillId="0" borderId="30" xfId="54" applyNumberFormat="1" applyFont="1" applyFill="1" applyBorder="1" applyAlignment="1">
      <alignment/>
    </xf>
    <xf numFmtId="165" fontId="2" fillId="0" borderId="47" xfId="54" applyNumberFormat="1" applyFont="1" applyFill="1" applyBorder="1" applyAlignment="1">
      <alignment/>
    </xf>
    <xf numFmtId="0" fontId="13" fillId="0" borderId="0" xfId="118" applyFont="1" applyFill="1" applyBorder="1" applyAlignment="1">
      <alignment horizontal="center"/>
      <protection/>
    </xf>
    <xf numFmtId="0" fontId="13" fillId="0" borderId="27" xfId="118" applyFont="1" applyFill="1" applyBorder="1" applyAlignment="1">
      <alignment horizontal="center"/>
      <protection/>
    </xf>
    <xf numFmtId="165" fontId="2" fillId="0" borderId="44" xfId="54" applyNumberFormat="1" applyFont="1" applyFill="1" applyBorder="1" applyAlignment="1">
      <alignment/>
    </xf>
    <xf numFmtId="0" fontId="3" fillId="0" borderId="0" xfId="119" applyNumberFormat="1" applyFont="1" applyFill="1" applyBorder="1">
      <alignment/>
      <protection/>
    </xf>
    <xf numFmtId="165" fontId="3" fillId="0" borderId="28" xfId="54" applyNumberFormat="1" applyFont="1" applyFill="1" applyBorder="1" applyAlignment="1">
      <alignment/>
    </xf>
    <xf numFmtId="165" fontId="3" fillId="0" borderId="13" xfId="54" applyNumberFormat="1" applyFont="1" applyFill="1" applyBorder="1" applyAlignment="1">
      <alignment/>
    </xf>
    <xf numFmtId="165" fontId="3" fillId="0" borderId="29" xfId="54" applyNumberFormat="1" applyFont="1" applyFill="1" applyBorder="1" applyAlignment="1">
      <alignment/>
    </xf>
    <xf numFmtId="165" fontId="3" fillId="0" borderId="45" xfId="54" applyNumberFormat="1" applyFont="1" applyFill="1" applyBorder="1" applyAlignment="1">
      <alignment/>
    </xf>
    <xf numFmtId="165" fontId="3" fillId="0" borderId="30" xfId="54" applyNumberFormat="1" applyFont="1" applyFill="1" applyBorder="1" applyAlignment="1">
      <alignment/>
    </xf>
    <xf numFmtId="165" fontId="3" fillId="0" borderId="47" xfId="54" applyNumberFormat="1" applyFont="1" applyFill="1" applyBorder="1" applyAlignment="1">
      <alignment/>
    </xf>
    <xf numFmtId="165" fontId="13" fillId="0" borderId="0" xfId="54" applyNumberFormat="1" applyFont="1" applyFill="1" applyBorder="1" applyAlignment="1">
      <alignment horizontal="center"/>
    </xf>
    <xf numFmtId="0" fontId="2" fillId="0" borderId="0" xfId="126" applyFont="1" applyAlignment="1">
      <alignment horizontal="right"/>
      <protection/>
    </xf>
    <xf numFmtId="165" fontId="2" fillId="0" borderId="0" xfId="126" applyNumberFormat="1">
      <alignment/>
      <protection/>
    </xf>
    <xf numFmtId="0" fontId="2" fillId="0" borderId="0" xfId="126" applyFill="1">
      <alignment/>
      <protection/>
    </xf>
    <xf numFmtId="0" fontId="3" fillId="0" borderId="4" xfId="126" applyFont="1" applyFill="1" applyBorder="1">
      <alignment/>
      <protection/>
    </xf>
    <xf numFmtId="0" fontId="2" fillId="0" borderId="4" xfId="126" applyFill="1" applyBorder="1">
      <alignment/>
      <protection/>
    </xf>
    <xf numFmtId="165" fontId="3" fillId="0" borderId="4" xfId="126" applyNumberFormat="1" applyFont="1" applyFill="1" applyBorder="1">
      <alignment/>
      <protection/>
    </xf>
    <xf numFmtId="0" fontId="2" fillId="0" borderId="0" xfId="126" applyFill="1" applyAlignment="1">
      <alignment horizontal="center"/>
      <protection/>
    </xf>
    <xf numFmtId="0" fontId="24" fillId="0" borderId="0" xfId="126" applyFont="1" applyFill="1">
      <alignment/>
      <protection/>
    </xf>
    <xf numFmtId="0" fontId="2" fillId="0" borderId="0" xfId="126" applyFont="1" applyFill="1">
      <alignment/>
      <protection/>
    </xf>
    <xf numFmtId="10" fontId="0" fillId="0" borderId="0" xfId="148" applyNumberFormat="1" applyFont="1" applyFill="1" applyBorder="1" applyAlignment="1">
      <alignment/>
    </xf>
    <xf numFmtId="0" fontId="3" fillId="0" borderId="0" xfId="126" applyFont="1" applyFill="1">
      <alignment/>
      <protection/>
    </xf>
    <xf numFmtId="165" fontId="3" fillId="0" borderId="0" xfId="60" applyNumberFormat="1" applyFont="1" applyFill="1" applyAlignment="1">
      <alignment/>
    </xf>
    <xf numFmtId="10" fontId="2" fillId="0" borderId="0" xfId="148" applyNumberFormat="1" applyFont="1" applyFill="1" applyAlignment="1">
      <alignment/>
    </xf>
    <xf numFmtId="0" fontId="2" fillId="0" borderId="30" xfId="126" applyFill="1" applyBorder="1">
      <alignment/>
      <protection/>
    </xf>
    <xf numFmtId="165" fontId="3" fillId="0" borderId="30" xfId="126" applyNumberFormat="1" applyFont="1" applyFill="1" applyBorder="1">
      <alignment/>
      <protection/>
    </xf>
    <xf numFmtId="5" fontId="2" fillId="0" borderId="0" xfId="126" applyNumberFormat="1" applyFont="1" applyBorder="1">
      <alignment/>
      <protection/>
    </xf>
    <xf numFmtId="0" fontId="38" fillId="0" borderId="0" xfId="131" applyFont="1" applyAlignment="1">
      <alignment horizontal="centerContinuous"/>
    </xf>
    <xf numFmtId="0" fontId="38" fillId="0" borderId="0" xfId="131" applyFont="1">
      <alignment/>
    </xf>
    <xf numFmtId="17" fontId="38" fillId="0" borderId="0" xfId="131" applyNumberFormat="1" applyFont="1" applyAlignment="1" quotePrefix="1">
      <alignment horizontal="center"/>
    </xf>
    <xf numFmtId="0" fontId="4" fillId="0" borderId="0" xfId="131" applyFont="1" applyBorder="1">
      <alignment/>
    </xf>
    <xf numFmtId="0" fontId="40" fillId="0" borderId="48" xfId="131" applyFont="1" applyBorder="1" applyAlignment="1">
      <alignment horizontal="center" wrapText="1"/>
    </xf>
    <xf numFmtId="0" fontId="40" fillId="0" borderId="30" xfId="131" applyFont="1" applyBorder="1" applyAlignment="1">
      <alignment horizontal="center" wrapText="1"/>
    </xf>
    <xf numFmtId="0" fontId="40" fillId="0" borderId="0" xfId="131" applyFont="1" applyBorder="1" applyAlignment="1">
      <alignment horizontal="center" wrapText="1"/>
    </xf>
    <xf numFmtId="0" fontId="4" fillId="0" borderId="49" xfId="131" applyBorder="1">
      <alignment/>
    </xf>
    <xf numFmtId="41" fontId="4" fillId="0" borderId="0" xfId="131" applyNumberFormat="1" applyFont="1" applyBorder="1" applyAlignment="1">
      <alignment horizontal="center"/>
    </xf>
    <xf numFmtId="41" fontId="4" fillId="0" borderId="4" xfId="131" applyNumberFormat="1" applyFont="1" applyBorder="1" applyAlignment="1">
      <alignment horizontal="center"/>
    </xf>
    <xf numFmtId="0" fontId="4" fillId="0" borderId="49" xfId="131" applyFont="1" applyBorder="1" applyAlignment="1">
      <alignment horizontal="left"/>
    </xf>
    <xf numFmtId="0" fontId="4" fillId="0" borderId="0" xfId="131" applyFont="1" applyBorder="1" applyAlignment="1">
      <alignment horizontal="center"/>
    </xf>
    <xf numFmtId="0" fontId="4" fillId="0" borderId="0" xfId="131" applyFont="1">
      <alignment/>
    </xf>
    <xf numFmtId="0" fontId="3" fillId="0" borderId="0" xfId="131" applyFont="1" applyAlignment="1">
      <alignment horizontal="left"/>
    </xf>
    <xf numFmtId="0" fontId="2" fillId="0" borderId="0" xfId="118">
      <alignment/>
      <protection/>
    </xf>
    <xf numFmtId="0" fontId="3" fillId="0" borderId="0" xfId="118" applyFont="1" applyFill="1" applyAlignment="1">
      <alignment horizontal="right"/>
      <protection/>
    </xf>
    <xf numFmtId="0" fontId="3" fillId="0" borderId="0" xfId="118" applyFont="1" applyAlignment="1">
      <alignment horizontal="right"/>
      <protection/>
    </xf>
    <xf numFmtId="0" fontId="2" fillId="0" borderId="0" xfId="118" applyFill="1">
      <alignment/>
      <protection/>
    </xf>
    <xf numFmtId="0" fontId="3" fillId="0" borderId="0" xfId="118" applyFont="1" applyAlignment="1">
      <alignment horizontal="center"/>
      <protection/>
    </xf>
    <xf numFmtId="49" fontId="3" fillId="0" borderId="0" xfId="118" applyNumberFormat="1" applyFont="1" applyFill="1" applyAlignment="1">
      <alignment horizontal="center"/>
      <protection/>
    </xf>
    <xf numFmtId="49" fontId="3" fillId="0" borderId="0" xfId="118" applyNumberFormat="1" applyFont="1" applyAlignment="1">
      <alignment horizontal="center"/>
      <protection/>
    </xf>
    <xf numFmtId="0" fontId="3" fillId="0" borderId="0" xfId="118" applyFont="1" applyFill="1" applyAlignment="1">
      <alignment horizontal="center"/>
      <protection/>
    </xf>
    <xf numFmtId="0" fontId="3" fillId="0" borderId="30" xfId="118" applyFont="1" applyBorder="1" applyAlignment="1">
      <alignment horizontal="center"/>
      <protection/>
    </xf>
    <xf numFmtId="0" fontId="3" fillId="0" borderId="30" xfId="118" applyFont="1" applyFill="1" applyBorder="1" applyAlignment="1">
      <alignment horizontal="center"/>
      <protection/>
    </xf>
    <xf numFmtId="0" fontId="2" fillId="0" borderId="0" xfId="118" applyAlignment="1">
      <alignment horizontal="left" indent="1"/>
      <protection/>
    </xf>
    <xf numFmtId="0" fontId="2" fillId="0" borderId="0" xfId="118" applyAlignment="1">
      <alignment horizontal="right"/>
      <protection/>
    </xf>
    <xf numFmtId="37" fontId="2" fillId="0" borderId="0" xfId="118" applyNumberFormat="1" applyFill="1">
      <alignment/>
      <protection/>
    </xf>
    <xf numFmtId="37" fontId="2" fillId="0" borderId="0" xfId="118" applyNumberFormat="1">
      <alignment/>
      <protection/>
    </xf>
    <xf numFmtId="37" fontId="2" fillId="0" borderId="0" xfId="118" applyNumberFormat="1" applyFont="1">
      <alignment/>
      <protection/>
    </xf>
    <xf numFmtId="0" fontId="2" fillId="0" borderId="0" xfId="118" applyAlignment="1">
      <alignment horizontal="center"/>
      <protection/>
    </xf>
    <xf numFmtId="37" fontId="2" fillId="0" borderId="34" xfId="118" applyNumberFormat="1" applyFill="1" applyBorder="1">
      <alignment/>
      <protection/>
    </xf>
    <xf numFmtId="37" fontId="2" fillId="0" borderId="34" xfId="118" applyNumberFormat="1" applyBorder="1">
      <alignment/>
      <protection/>
    </xf>
    <xf numFmtId="37" fontId="2" fillId="0" borderId="34" xfId="118" applyNumberFormat="1" applyFont="1" applyBorder="1">
      <alignment/>
      <protection/>
    </xf>
    <xf numFmtId="43" fontId="2" fillId="0" borderId="0" xfId="54" applyFont="1" applyAlignment="1">
      <alignment horizontal="center"/>
    </xf>
    <xf numFmtId="37" fontId="2" fillId="0" borderId="0" xfId="118" applyNumberFormat="1" applyFill="1" applyBorder="1">
      <alignment/>
      <protection/>
    </xf>
    <xf numFmtId="37" fontId="2" fillId="0" borderId="0" xfId="118" applyNumberFormat="1" applyBorder="1">
      <alignment/>
      <protection/>
    </xf>
    <xf numFmtId="37" fontId="2" fillId="0" borderId="0" xfId="118" applyNumberFormat="1" applyFont="1" applyBorder="1">
      <alignment/>
      <protection/>
    </xf>
    <xf numFmtId="37" fontId="3" fillId="0" borderId="34" xfId="118" applyNumberFormat="1" applyFont="1" applyFill="1" applyBorder="1">
      <alignment/>
      <protection/>
    </xf>
    <xf numFmtId="37" fontId="3" fillId="0" borderId="34" xfId="118" applyNumberFormat="1" applyFont="1" applyBorder="1">
      <alignment/>
      <protection/>
    </xf>
    <xf numFmtId="37" fontId="3" fillId="0" borderId="0" xfId="118" applyNumberFormat="1" applyFont="1" applyFill="1" applyAlignment="1">
      <alignment horizontal="right"/>
      <protection/>
    </xf>
    <xf numFmtId="37" fontId="3" fillId="0" borderId="0" xfId="118" applyNumberFormat="1" applyFont="1" applyAlignment="1">
      <alignment horizontal="right"/>
      <protection/>
    </xf>
    <xf numFmtId="0" fontId="22" fillId="0" borderId="0" xfId="118" applyFont="1" applyAlignment="1">
      <alignment horizontal="right"/>
      <protection/>
    </xf>
    <xf numFmtId="37" fontId="22" fillId="0" borderId="0" xfId="118" applyNumberFormat="1" applyFont="1" applyFill="1">
      <alignment/>
      <protection/>
    </xf>
    <xf numFmtId="37" fontId="22" fillId="0" borderId="0" xfId="118" applyNumberFormat="1" applyFont="1">
      <alignment/>
      <protection/>
    </xf>
    <xf numFmtId="0" fontId="3" fillId="0" borderId="0" xfId="118" applyFont="1" applyAlignment="1">
      <alignment horizontal="left"/>
      <protection/>
    </xf>
    <xf numFmtId="0" fontId="2" fillId="0" borderId="33" xfId="147" applyNumberFormat="1" applyFont="1" applyFill="1" applyBorder="1" applyAlignment="1">
      <alignment/>
    </xf>
    <xf numFmtId="10" fontId="2" fillId="0" borderId="33" xfId="147" applyNumberFormat="1" applyFont="1" applyFill="1" applyBorder="1" applyAlignment="1">
      <alignment/>
    </xf>
    <xf numFmtId="0" fontId="39" fillId="0" borderId="0" xfId="131" applyFont="1" applyFill="1" applyBorder="1" applyAlignment="1">
      <alignment horizontal="centerContinuous"/>
    </xf>
    <xf numFmtId="0" fontId="41" fillId="0" borderId="0" xfId="131" applyFont="1" applyFill="1" applyBorder="1" applyAlignment="1">
      <alignment horizontal="centerContinuous"/>
    </xf>
    <xf numFmtId="0" fontId="4" fillId="0" borderId="0" xfId="131" applyFont="1" applyFill="1" applyBorder="1">
      <alignment/>
    </xf>
    <xf numFmtId="0" fontId="40" fillId="0" borderId="47" xfId="131" applyFont="1" applyBorder="1" applyAlignment="1">
      <alignment horizontal="center" wrapText="1"/>
    </xf>
    <xf numFmtId="41" fontId="4" fillId="0" borderId="44" xfId="131" applyNumberFormat="1" applyFont="1" applyBorder="1" applyAlignment="1">
      <alignment horizontal="center"/>
    </xf>
    <xf numFmtId="185" fontId="4" fillId="0" borderId="44" xfId="131" applyNumberFormat="1" applyFont="1" applyBorder="1" applyAlignment="1">
      <alignment horizontal="center"/>
    </xf>
    <xf numFmtId="0" fontId="1" fillId="20" borderId="26" xfId="124" applyFont="1" applyFill="1" applyBorder="1">
      <alignment/>
      <protection/>
    </xf>
    <xf numFmtId="165" fontId="0" fillId="0" borderId="18" xfId="57" applyNumberFormat="1" applyFont="1" applyBorder="1" applyAlignment="1">
      <alignment horizontal="center"/>
    </xf>
    <xf numFmtId="165" fontId="15" fillId="0" borderId="47" xfId="43" applyNumberFormat="1" applyFont="1" applyBorder="1" applyAlignment="1">
      <alignment horizontal="left"/>
    </xf>
    <xf numFmtId="0" fontId="0" fillId="0" borderId="0" xfId="120" applyFont="1" applyFill="1" quotePrefix="1">
      <alignment/>
      <protection/>
    </xf>
    <xf numFmtId="0" fontId="0" fillId="0" borderId="0" xfId="120" applyFont="1" applyAlignment="1" quotePrefix="1">
      <alignment horizontal="center"/>
      <protection/>
    </xf>
    <xf numFmtId="0" fontId="39" fillId="0" borderId="15" xfId="131" applyFont="1" applyFill="1" applyBorder="1" applyAlignment="1">
      <alignment horizontal="center"/>
    </xf>
    <xf numFmtId="186" fontId="4" fillId="0" borderId="0" xfId="76" applyNumberFormat="1" applyFont="1" applyBorder="1" applyAlignment="1">
      <alignment horizontal="center"/>
    </xf>
    <xf numFmtId="0" fontId="4" fillId="0" borderId="48" xfId="131" applyFont="1" applyBorder="1" applyAlignment="1">
      <alignment horizontal="left"/>
    </xf>
    <xf numFmtId="41" fontId="4" fillId="0" borderId="42" xfId="131" applyNumberFormat="1" applyFont="1" applyBorder="1" applyAlignment="1">
      <alignment horizontal="center"/>
    </xf>
    <xf numFmtId="41" fontId="4" fillId="0" borderId="43" xfId="131" applyNumberFormat="1" applyFont="1" applyBorder="1" applyAlignment="1">
      <alignment horizontal="center"/>
    </xf>
    <xf numFmtId="0" fontId="4" fillId="0" borderId="15" xfId="131" applyFont="1" applyFill="1" applyBorder="1">
      <alignment/>
    </xf>
    <xf numFmtId="0" fontId="39" fillId="0" borderId="42" xfId="131" applyFont="1" applyFill="1" applyBorder="1" applyAlignment="1">
      <alignment horizontal="center"/>
    </xf>
    <xf numFmtId="0" fontId="39" fillId="0" borderId="43" xfId="131" applyFont="1" applyFill="1" applyBorder="1" applyAlignment="1">
      <alignment horizontal="center"/>
    </xf>
    <xf numFmtId="165" fontId="3" fillId="0" borderId="0" xfId="54" applyNumberFormat="1" applyFont="1" applyAlignment="1">
      <alignment horizontal="center" vertical="center"/>
    </xf>
    <xf numFmtId="165" fontId="3" fillId="0" borderId="30" xfId="54" applyNumberFormat="1" applyFont="1" applyBorder="1" applyAlignment="1">
      <alignment horizontal="center" vertical="center"/>
    </xf>
    <xf numFmtId="171" fontId="3" fillId="0" borderId="30" xfId="0" applyNumberFormat="1" applyFont="1" applyFill="1" applyBorder="1" applyAlignment="1">
      <alignment horizontal="center"/>
    </xf>
    <xf numFmtId="171" fontId="3" fillId="0" borderId="30" xfId="0" applyNumberFormat="1" applyFont="1" applyFill="1" applyBorder="1" applyAlignment="1" quotePrefix="1">
      <alignment horizontal="center"/>
    </xf>
    <xf numFmtId="0" fontId="15" fillId="0" borderId="50" xfId="120" applyFont="1" applyFill="1" applyBorder="1" applyAlignment="1">
      <alignment horizontal="center"/>
      <protection/>
    </xf>
    <xf numFmtId="0" fontId="15" fillId="0" borderId="3" xfId="120" applyFont="1" applyFill="1" applyBorder="1" applyAlignment="1">
      <alignment horizontal="center"/>
      <protection/>
    </xf>
  </cellXfs>
  <cellStyles count="1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total in dollars" xfId="42"/>
    <cellStyle name="Comma" xfId="43"/>
    <cellStyle name="Comma  - Style1" xfId="44"/>
    <cellStyle name="Comma  - Style2" xfId="45"/>
    <cellStyle name="Comma  - Style3" xfId="46"/>
    <cellStyle name="Comma  - Style4" xfId="47"/>
    <cellStyle name="Comma  - Style5" xfId="48"/>
    <cellStyle name="Comma  - Style6" xfId="49"/>
    <cellStyle name="Comma  - Style7" xfId="50"/>
    <cellStyle name="Comma  - Style8" xfId="51"/>
    <cellStyle name="Comma (0)" xfId="52"/>
    <cellStyle name="Comma [0]" xfId="53"/>
    <cellStyle name="Comma 2" xfId="54"/>
    <cellStyle name="Comma 2 2" xfId="55"/>
    <cellStyle name="Comma 2 2 2" xfId="56"/>
    <cellStyle name="Comma 2 3" xfId="57"/>
    <cellStyle name="Comma 3" xfId="58"/>
    <cellStyle name="Comma 3 2" xfId="59"/>
    <cellStyle name="Comma 4" xfId="60"/>
    <cellStyle name="Comma 5" xfId="61"/>
    <cellStyle name="Comma 6" xfId="62"/>
    <cellStyle name="Comma 6 2" xfId="63"/>
    <cellStyle name="Comma 7" xfId="64"/>
    <cellStyle name="Comma 8" xfId="65"/>
    <cellStyle name="Comma 9" xfId="66"/>
    <cellStyle name="Comma0" xfId="67"/>
    <cellStyle name="Comma0 - Style1" xfId="68"/>
    <cellStyle name="Comma0 - Style2" xfId="69"/>
    <cellStyle name="Comma0 - Style3" xfId="70"/>
    <cellStyle name="Comma0 - Style4" xfId="71"/>
    <cellStyle name="Comma0_3Q 2008 Release10-27-08 - USE FOR UT DEC 2009 GRC (5)" xfId="72"/>
    <cellStyle name="Comma1 - Style1" xfId="73"/>
    <cellStyle name="Curren - Style2" xfId="74"/>
    <cellStyle name="Curren - Style3" xfId="75"/>
    <cellStyle name="Currency" xfId="76"/>
    <cellStyle name="Currency [0]" xfId="77"/>
    <cellStyle name="Currency 2" xfId="78"/>
    <cellStyle name="Currency 2 2" xfId="79"/>
    <cellStyle name="Currency 2 2 2" xfId="80"/>
    <cellStyle name="Currency 3" xfId="81"/>
    <cellStyle name="Currency 3 2" xfId="82"/>
    <cellStyle name="Currency 4" xfId="83"/>
    <cellStyle name="Currency 5" xfId="84"/>
    <cellStyle name="Currency No Comma" xfId="85"/>
    <cellStyle name="Currency(0)" xfId="86"/>
    <cellStyle name="Currency0" xfId="87"/>
    <cellStyle name="Date" xfId="88"/>
    <cellStyle name="Date - Style1" xfId="89"/>
    <cellStyle name="Date - Style3" xfId="90"/>
    <cellStyle name="Date_3Q 2008 Release10-27-08 - USE FOR UT DEC 2009 GRC (5)" xfId="91"/>
    <cellStyle name="Explanatory Text" xfId="92"/>
    <cellStyle name="Fixed" xfId="93"/>
    <cellStyle name="Fixed2 - Style2" xfId="94"/>
    <cellStyle name="General" xfId="95"/>
    <cellStyle name="Good" xfId="96"/>
    <cellStyle name="Grey" xfId="97"/>
    <cellStyle name="header" xfId="98"/>
    <cellStyle name="Header1" xfId="99"/>
    <cellStyle name="Header2" xfId="100"/>
    <cellStyle name="Heading 1" xfId="101"/>
    <cellStyle name="Heading 2" xfId="102"/>
    <cellStyle name="Heading 3" xfId="103"/>
    <cellStyle name="Heading 4" xfId="104"/>
    <cellStyle name="Heading1" xfId="105"/>
    <cellStyle name="Heading2" xfId="106"/>
    <cellStyle name="Input" xfId="107"/>
    <cellStyle name="Input [yellow]" xfId="108"/>
    <cellStyle name="Inst. Sections" xfId="109"/>
    <cellStyle name="Inst. Subheading" xfId="110"/>
    <cellStyle name="Linked Cell" xfId="111"/>
    <cellStyle name="Marathon" xfId="112"/>
    <cellStyle name="MCP" xfId="113"/>
    <cellStyle name="Neutral" xfId="114"/>
    <cellStyle name="nONE" xfId="115"/>
    <cellStyle name="noninput" xfId="116"/>
    <cellStyle name="Normal - Style1" xfId="117"/>
    <cellStyle name="Normal 2" xfId="118"/>
    <cellStyle name="Normal 2 2" xfId="119"/>
    <cellStyle name="Normal 2 3" xfId="120"/>
    <cellStyle name="Normal 3" xfId="121"/>
    <cellStyle name="Normal 4" xfId="122"/>
    <cellStyle name="Normal 4 2" xfId="123"/>
    <cellStyle name="Normal 5" xfId="124"/>
    <cellStyle name="Normal 5 2" xfId="125"/>
    <cellStyle name="Normal 6" xfId="126"/>
    <cellStyle name="Normal 6 2" xfId="127"/>
    <cellStyle name="Normal 6 3" xfId="128"/>
    <cellStyle name="Normal 7" xfId="129"/>
    <cellStyle name="Normal 8" xfId="130"/>
    <cellStyle name="Normal 9" xfId="131"/>
    <cellStyle name="Normal(0)" xfId="132"/>
    <cellStyle name="Normal_Adjustment Template" xfId="133"/>
    <cellStyle name="Normal_Copy of File50007" xfId="134"/>
    <cellStyle name="Note" xfId="135"/>
    <cellStyle name="Number" xfId="136"/>
    <cellStyle name="Output" xfId="137"/>
    <cellStyle name="Password" xfId="138"/>
    <cellStyle name="Percen - Style1" xfId="139"/>
    <cellStyle name="Percen - Style2" xfId="140"/>
    <cellStyle name="Percent" xfId="141"/>
    <cellStyle name="Percent [2]" xfId="142"/>
    <cellStyle name="Percent 2" xfId="143"/>
    <cellStyle name="Percent 2 2" xfId="144"/>
    <cellStyle name="Percent 2 2 2" xfId="145"/>
    <cellStyle name="Percent 2 3" xfId="146"/>
    <cellStyle name="Percent 3" xfId="147"/>
    <cellStyle name="Percent 3 2" xfId="148"/>
    <cellStyle name="Percent 4" xfId="149"/>
    <cellStyle name="Percent(0)" xfId="150"/>
    <cellStyle name="SAPBEXaggData" xfId="151"/>
    <cellStyle name="SAPBEXaggDataEmph" xfId="152"/>
    <cellStyle name="SAPBEXaggItem" xfId="153"/>
    <cellStyle name="SAPBEXaggItemX" xfId="154"/>
    <cellStyle name="SAPBEXchaText" xfId="155"/>
    <cellStyle name="SAPBEXexcBad7" xfId="156"/>
    <cellStyle name="SAPBEXexcBad8" xfId="157"/>
    <cellStyle name="SAPBEXexcBad9" xfId="158"/>
    <cellStyle name="SAPBEXexcCritical4" xfId="159"/>
    <cellStyle name="SAPBEXexcCritical5" xfId="160"/>
    <cellStyle name="SAPBEXexcCritical6" xfId="161"/>
    <cellStyle name="SAPBEXexcGood1" xfId="162"/>
    <cellStyle name="SAPBEXexcGood2" xfId="163"/>
    <cellStyle name="SAPBEXexcGood3" xfId="164"/>
    <cellStyle name="SAPBEXfilterDrill" xfId="165"/>
    <cellStyle name="SAPBEXfilterItem" xfId="166"/>
    <cellStyle name="SAPBEXfilterText" xfId="167"/>
    <cellStyle name="SAPBEXformats" xfId="168"/>
    <cellStyle name="SAPBEXheaderItem" xfId="169"/>
    <cellStyle name="SAPBEXheaderText" xfId="170"/>
    <cellStyle name="SAPBEXHLevel0" xfId="171"/>
    <cellStyle name="SAPBEXHLevel0X" xfId="172"/>
    <cellStyle name="SAPBEXHLevel1" xfId="173"/>
    <cellStyle name="SAPBEXHLevel1X" xfId="174"/>
    <cellStyle name="SAPBEXHLevel2" xfId="175"/>
    <cellStyle name="SAPBEXHLevel2X" xfId="176"/>
    <cellStyle name="SAPBEXHLevel3" xfId="177"/>
    <cellStyle name="SAPBEXHLevel3X" xfId="178"/>
    <cellStyle name="SAPBEXresData" xfId="179"/>
    <cellStyle name="SAPBEXresDataEmph" xfId="180"/>
    <cellStyle name="SAPBEXresItem" xfId="181"/>
    <cellStyle name="SAPBEXresItemX" xfId="182"/>
    <cellStyle name="SAPBEXstdData" xfId="183"/>
    <cellStyle name="SAPBEXstdDataEmph" xfId="184"/>
    <cellStyle name="SAPBEXstdItem" xfId="185"/>
    <cellStyle name="SAPBEXstdItemX" xfId="186"/>
    <cellStyle name="SAPBEXtitle" xfId="187"/>
    <cellStyle name="SAPBEXtitle 2" xfId="188"/>
    <cellStyle name="SAPBEXundefined" xfId="189"/>
    <cellStyle name="Shade" xfId="190"/>
    <cellStyle name="Special" xfId="191"/>
    <cellStyle name="Style 1" xfId="192"/>
    <cellStyle name="Style 27" xfId="193"/>
    <cellStyle name="Style 35" xfId="194"/>
    <cellStyle name="Style 36" xfId="195"/>
    <cellStyle name="Text" xfId="196"/>
    <cellStyle name="Title" xfId="197"/>
    <cellStyle name="Titles" xfId="198"/>
    <cellStyle name="Total" xfId="199"/>
    <cellStyle name="Total2 - Style2" xfId="200"/>
    <cellStyle name="TRANSMISSION RELIABILITY PORTION OF PROJECT" xfId="201"/>
    <cellStyle name="Underl - Style4" xfId="202"/>
    <cellStyle name="Unprot" xfId="203"/>
    <cellStyle name="Unprot$" xfId="204"/>
    <cellStyle name="Unprotect" xfId="205"/>
    <cellStyle name="Warning Text" xfId="206"/>
  </cellStyles>
  <dxfs count="5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55</xdr:row>
      <xdr:rowOff>76200</xdr:rowOff>
    </xdr:from>
    <xdr:to>
      <xdr:col>10</xdr:col>
      <xdr:colOff>438150</xdr:colOff>
      <xdr:row>63</xdr:row>
      <xdr:rowOff>47625</xdr:rowOff>
    </xdr:to>
    <xdr:sp>
      <xdr:nvSpPr>
        <xdr:cNvPr id="1" name="Text 12"/>
        <xdr:cNvSpPr txBox="1">
          <a:spLocks noChangeArrowheads="1"/>
        </xdr:cNvSpPr>
      </xdr:nvSpPr>
      <xdr:spPr>
        <a:xfrm>
          <a:off x="114300" y="8496300"/>
          <a:ext cx="6800850" cy="1190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Populus to Ben Lomond double circuit 345 kV transmission line is the northern sub-segment of the 135 mile transmission line being built between Populus Substation near Downey, Idaho and Terminal Substation near Salt Lake City, Utah.  The scope includes construction of a new 345 kV double circuit transmission line using mono-pole construction and construction of a new substation near Downey, Idaho.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58</xdr:row>
      <xdr:rowOff>76200</xdr:rowOff>
    </xdr:from>
    <xdr:to>
      <xdr:col>10</xdr:col>
      <xdr:colOff>438150</xdr:colOff>
      <xdr:row>66</xdr:row>
      <xdr:rowOff>47625</xdr:rowOff>
    </xdr:to>
    <xdr:sp>
      <xdr:nvSpPr>
        <xdr:cNvPr id="1" name="Text 12"/>
        <xdr:cNvSpPr txBox="1">
          <a:spLocks noChangeArrowheads="1"/>
        </xdr:cNvSpPr>
      </xdr:nvSpPr>
      <xdr:spPr>
        <a:xfrm>
          <a:off x="114300" y="8963025"/>
          <a:ext cx="6791325" cy="1190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Adds into rate base a newly installed transmission line extending from the Ben Lomond sub-station to the Terminal sub-station.  This is one phase of the Gateway transmission expansion project  noted as "Terminal to Populus line".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This transmission line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utilizes an existing transmission corridor between the Ben Lomond substation and the Terminal substation.  The scope includes construction of a new 345 kV double circuit transmission line using mono-pole construction and related substation work on both termination points.
</a:t>
          </a:r>
        </a:p>
      </xdr:txBody>
    </xdr:sp>
    <xdr:clientData/>
  </xdr:twoCellAnchor>
  <xdr:twoCellAnchor>
    <xdr:from>
      <xdr:col>0</xdr:col>
      <xdr:colOff>114300</xdr:colOff>
      <xdr:row>58</xdr:row>
      <xdr:rowOff>76200</xdr:rowOff>
    </xdr:from>
    <xdr:to>
      <xdr:col>10</xdr:col>
      <xdr:colOff>438150</xdr:colOff>
      <xdr:row>66</xdr:row>
      <xdr:rowOff>47625</xdr:rowOff>
    </xdr:to>
    <xdr:sp>
      <xdr:nvSpPr>
        <xdr:cNvPr id="2" name="Text 12"/>
        <xdr:cNvSpPr txBox="1">
          <a:spLocks noChangeArrowheads="1"/>
        </xdr:cNvSpPr>
      </xdr:nvSpPr>
      <xdr:spPr>
        <a:xfrm>
          <a:off x="114300" y="8963025"/>
          <a:ext cx="6791325" cy="1190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Dunlap I Wind project includes the permitting, land costs, wind turbines, placement and installation of the wind turbines, plant construction, interconnection facilities, and on-site support facilities. The site is located in Carbon County, Wyoming, 8 miles north of Medicine Box. The 111 MW project has a planned commercial operation date of October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04092.000\Local%20Settings\Temporary%20Internet%20Files\OLK1AC\RECOV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70596\Local%20Settings\Temporary%20Internet%20Files\OLK3B\ORA%20Workpape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N\PA&amp;D\DSMRecov\2001\RECOV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roups\SLREG1\ARCHIVE\2003\Semi%20Sept%202003\Models\WYOMING%20MODELS\JAM%20Sept%202003%20All%20Methods%20W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lcshrn102\SHR02\Groups\SLREG1\ARCHIVE\2005\Wyoming%20GRC\SEPT%202006\Models\JAM%20-%20WY%20Sep%202006%20GR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zenger\LOCALS~1\Temp\XPgrpwise\UT%2008-035-38%20GRC\Steven%20R.%20McDougal\Workpapers%20for%20RMP___(SRM-2)\McDougal%20JAM%20Jun%20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N\PA&amp;D\CASES\Wy0902\EAST%20Blocking%209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09653\My%20Documents\Oregon%20Rate%20Case\SB%201149\Rebuttal\MC%20OR%202001%20Rebutt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N\PA&amp;D\CASES\Oregon%2099\Portfolio\TOU%20Tariff%20Rates%209-10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A Workpapers"/>
      <sheetName val="Price Change"/>
      <sheetName val="Inpu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</sheetNames>
    <sheetDataSet>
      <sheetData sheetId="5">
        <row r="21">
          <cell r="G21">
            <v>83871482</v>
          </cell>
          <cell r="J21">
            <v>0</v>
          </cell>
        </row>
        <row r="22">
          <cell r="G22">
            <v>1931963666</v>
          </cell>
          <cell r="J22">
            <v>1056426642</v>
          </cell>
        </row>
        <row r="23">
          <cell r="G23">
            <v>70121</v>
          </cell>
          <cell r="J23">
            <v>13699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Unadj Data for RAM"/>
      <sheetName val="CWC"/>
      <sheetName val="Inputs"/>
      <sheetName val="Variables"/>
      <sheetName val="Factors"/>
      <sheetName val="Check"/>
      <sheetName val="WelcomeDialog"/>
      <sheetName val="Macr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Summary Exhibit"/>
      <sheetName val="Factor Input - Historical Loads"/>
      <sheetName val="Factor Input - Forecast Loads"/>
      <sheetName val="CWC"/>
      <sheetName val="WelcomeDialog"/>
      <sheetName val="Macr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23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</v>
          </cell>
          <cell r="E15">
            <v>20466.656409999992</v>
          </cell>
          <cell r="F15">
            <v>13169.252369999998</v>
          </cell>
          <cell r="G15">
            <v>9.931611440000001</v>
          </cell>
          <cell r="H15">
            <v>9554.55</v>
          </cell>
          <cell r="I15">
            <v>10204.283743488439</v>
          </cell>
          <cell r="J15">
            <v>9791.869922132832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45403.32787000001</v>
          </cell>
          <cell r="E18">
            <v>44288.20015999998</v>
          </cell>
          <cell r="F18">
            <v>33509.593870000004</v>
          </cell>
          <cell r="G18">
            <v>11448.850963</v>
          </cell>
          <cell r="H18">
            <v>17999.157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133326.61135</v>
          </cell>
          <cell r="E21">
            <v>118190.50362</v>
          </cell>
          <cell r="F21">
            <v>80792.632</v>
          </cell>
          <cell r="G21">
            <v>17741.29023</v>
          </cell>
          <cell r="H21">
            <v>38187.253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</v>
          </cell>
          <cell r="E27">
            <v>14156.656409999992</v>
          </cell>
          <cell r="F27">
            <v>9109.252369999998</v>
          </cell>
          <cell r="G27">
            <v>6.931611440000001</v>
          </cell>
          <cell r="H27">
            <v>6608.549999999999</v>
          </cell>
          <cell r="I27">
            <v>7058.283743488439</v>
          </cell>
          <cell r="J27">
            <v>6772.869922132832</v>
          </cell>
          <cell r="K27">
            <v>7111.104775469861</v>
          </cell>
          <cell r="L27">
            <v>7313.43210686645</v>
          </cell>
          <cell r="M27">
            <v>104858.5298493976</v>
          </cell>
        </row>
        <row r="28">
          <cell r="A28">
            <v>14</v>
          </cell>
          <cell r="B28" t="str">
            <v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</v>
          </cell>
          <cell r="D30">
            <v>60076.32787000001</v>
          </cell>
          <cell r="E30">
            <v>50598.20015999998</v>
          </cell>
          <cell r="F30">
            <v>37569.593870000004</v>
          </cell>
          <cell r="G30">
            <v>11451.850963</v>
          </cell>
          <cell r="H30">
            <v>20945.157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0.7854288840173103</v>
          </cell>
          <cell r="D33">
            <v>0.8397081444620376</v>
          </cell>
          <cell r="E33">
            <v>0.8518534617107997</v>
          </cell>
          <cell r="F33">
            <v>0.9088466851777635</v>
          </cell>
          <cell r="G33">
            <v>0.931982887218074</v>
          </cell>
          <cell r="H33">
            <v>0.9439931717642331</v>
          </cell>
          <cell r="I33">
            <v>0.9709977692839937</v>
          </cell>
          <cell r="J33">
            <v>0.9791396583507029</v>
          </cell>
          <cell r="K33">
            <v>0.9587174193326287</v>
          </cell>
          <cell r="L33">
            <v>0.9762888543201345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>   Lines 1 - 7</v>
          </cell>
          <cell r="B45" t="str">
            <v>Actual &amp; Forecast Demand Related Investments</v>
          </cell>
        </row>
        <row r="46">
          <cell r="A46" t="str">
            <v>   Line   10</v>
          </cell>
          <cell r="B46" t="str">
            <v>Demand Portion of Transmission  = 8.33 / (8.33+18.69) =</v>
          </cell>
          <cell r="D46">
            <v>0.3083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3">
        <row r="9">
          <cell r="D9">
            <v>0.9052011946000001</v>
          </cell>
          <cell r="E9">
            <v>0.9334689395193548</v>
          </cell>
          <cell r="F9">
            <v>0.96418569997</v>
          </cell>
          <cell r="G9">
            <v>0.9613388584866664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P93"/>
  <sheetViews>
    <sheetView tabSelected="1" zoomScale="80" zoomScaleNormal="80" zoomScalePageLayoutView="0" workbookViewId="0" topLeftCell="A1">
      <selection activeCell="K7" sqref="K7"/>
    </sheetView>
  </sheetViews>
  <sheetFormatPr defaultColWidth="9.140625" defaultRowHeight="12.75"/>
  <cols>
    <col min="1" max="1" width="3.140625" style="0" bestFit="1" customWidth="1"/>
    <col min="2" max="2" width="23.140625" style="0" customWidth="1"/>
    <col min="3" max="3" width="17.28125" style="0" hidden="1" customWidth="1"/>
    <col min="4" max="4" width="20.140625" style="0" customWidth="1"/>
    <col min="5" max="5" width="1.8515625" style="59" customWidth="1"/>
    <col min="6" max="6" width="14.7109375" style="0" customWidth="1"/>
    <col min="7" max="7" width="12.8515625" style="0" customWidth="1"/>
    <col min="8" max="8" width="1.1484375" style="59" customWidth="1"/>
    <col min="9" max="9" width="17.140625" style="0" customWidth="1"/>
    <col min="10" max="10" width="2.8515625" style="59" customWidth="1"/>
    <col min="11" max="11" width="13.8515625" style="0" customWidth="1"/>
    <col min="12" max="12" width="13.57421875" style="0" customWidth="1"/>
    <col min="13" max="13" width="1.28515625" style="59" customWidth="1"/>
    <col min="14" max="14" width="16.28125" style="0" customWidth="1"/>
    <col min="15" max="15" width="12.00390625" style="0" customWidth="1"/>
    <col min="16" max="16" width="12.28125" style="0" bestFit="1" customWidth="1"/>
  </cols>
  <sheetData>
    <row r="1" ht="15.75">
      <c r="A1" s="45" t="s">
        <v>13</v>
      </c>
    </row>
    <row r="2" ht="12.75">
      <c r="A2" s="1" t="s">
        <v>220</v>
      </c>
    </row>
    <row r="3" ht="12.75">
      <c r="A3" s="1" t="s">
        <v>316</v>
      </c>
    </row>
    <row r="4" spans="1:9" ht="12.75">
      <c r="A4" s="1"/>
      <c r="B4" s="46"/>
      <c r="C4" s="46"/>
      <c r="D4" s="47"/>
      <c r="E4" s="73"/>
      <c r="I4" s="47"/>
    </row>
    <row r="5" spans="2:9" ht="12.75">
      <c r="B5" s="46"/>
      <c r="C5" s="362" t="s">
        <v>337</v>
      </c>
      <c r="D5" s="362"/>
      <c r="E5" s="74"/>
      <c r="I5" s="47"/>
    </row>
    <row r="6" spans="1:14" ht="12.75">
      <c r="A6" s="1"/>
      <c r="B6" s="46"/>
      <c r="C6" s="363" t="s">
        <v>317</v>
      </c>
      <c r="D6" s="363"/>
      <c r="E6" s="74"/>
      <c r="F6" s="364" t="s">
        <v>339</v>
      </c>
      <c r="G6" s="364"/>
      <c r="H6" s="364"/>
      <c r="I6" s="364"/>
      <c r="J6" s="73"/>
      <c r="K6" s="364" t="s">
        <v>519</v>
      </c>
      <c r="L6" s="365"/>
      <c r="M6" s="365"/>
      <c r="N6" s="365"/>
    </row>
    <row r="7" spans="3:14" ht="65.25" customHeight="1">
      <c r="C7" s="48" t="s">
        <v>318</v>
      </c>
      <c r="D7" s="118" t="s">
        <v>331</v>
      </c>
      <c r="E7" s="119"/>
      <c r="F7" s="118" t="s">
        <v>340</v>
      </c>
      <c r="G7" s="118" t="s">
        <v>338</v>
      </c>
      <c r="H7" s="119"/>
      <c r="I7" s="118" t="s">
        <v>341</v>
      </c>
      <c r="J7" s="119"/>
      <c r="K7" s="118" t="s">
        <v>335</v>
      </c>
      <c r="L7" s="118" t="s">
        <v>336</v>
      </c>
      <c r="M7" s="119"/>
      <c r="N7" s="118" t="s">
        <v>352</v>
      </c>
    </row>
    <row r="8" spans="1:14" ht="12.75">
      <c r="A8" s="49">
        <v>1</v>
      </c>
      <c r="B8" s="49" t="s">
        <v>221</v>
      </c>
      <c r="C8" s="49"/>
      <c r="D8" s="46"/>
      <c r="E8" s="75"/>
      <c r="I8" s="46"/>
      <c r="J8" s="75"/>
      <c r="K8" s="46"/>
      <c r="L8" s="46"/>
      <c r="M8" s="75"/>
      <c r="N8" s="46"/>
    </row>
    <row r="9" spans="1:16" ht="12.75">
      <c r="A9" s="49">
        <v>2</v>
      </c>
      <c r="B9" s="49" t="s">
        <v>222</v>
      </c>
      <c r="C9" s="58">
        <v>3511904219.7083106</v>
      </c>
      <c r="D9" s="58">
        <v>1474247217.0724854</v>
      </c>
      <c r="E9" s="53"/>
      <c r="F9" s="50">
        <v>32422751</v>
      </c>
      <c r="G9" s="50">
        <v>0</v>
      </c>
      <c r="H9" s="53"/>
      <c r="I9" s="50">
        <f>SUM(D9:G9)</f>
        <v>1506669968.0724854</v>
      </c>
      <c r="J9" s="53"/>
      <c r="K9" s="50">
        <v>0</v>
      </c>
      <c r="L9" s="50">
        <v>0</v>
      </c>
      <c r="M9" s="53"/>
      <c r="N9" s="50">
        <f>SUM(I9:L9)</f>
        <v>1506669968.0724854</v>
      </c>
      <c r="P9" s="104"/>
    </row>
    <row r="10" spans="1:16" ht="12.75" hidden="1">
      <c r="A10" s="49">
        <v>3</v>
      </c>
      <c r="B10" s="49" t="s">
        <v>223</v>
      </c>
      <c r="C10" s="58">
        <v>0</v>
      </c>
      <c r="D10" s="58">
        <v>0</v>
      </c>
      <c r="E10" s="53"/>
      <c r="F10" s="50">
        <v>0</v>
      </c>
      <c r="G10" s="50">
        <v>0</v>
      </c>
      <c r="H10" s="53"/>
      <c r="I10" s="50">
        <f>SUM(D10:G10)</f>
        <v>0</v>
      </c>
      <c r="J10" s="53"/>
      <c r="K10" s="50">
        <v>0</v>
      </c>
      <c r="L10" s="50">
        <v>0</v>
      </c>
      <c r="M10" s="53"/>
      <c r="N10" s="50">
        <f>SUM(I10:L10)</f>
        <v>0</v>
      </c>
      <c r="P10" s="104"/>
    </row>
    <row r="11" spans="1:16" ht="12.75">
      <c r="A11" s="49">
        <v>4</v>
      </c>
      <c r="B11" s="49" t="s">
        <v>224</v>
      </c>
      <c r="C11" s="58">
        <v>772114527.53613</v>
      </c>
      <c r="D11" s="58">
        <v>314026030.82664704</v>
      </c>
      <c r="E11" s="53"/>
      <c r="F11" s="50">
        <v>0</v>
      </c>
      <c r="G11" s="50">
        <v>-192490.80455487967</v>
      </c>
      <c r="H11" s="53"/>
      <c r="I11" s="50">
        <f>SUM(D11:G11)</f>
        <v>313833540.02209216</v>
      </c>
      <c r="J11" s="53"/>
      <c r="K11" s="50">
        <v>-578574.9188441634</v>
      </c>
      <c r="L11" s="50">
        <v>1748066.3809218407</v>
      </c>
      <c r="M11" s="53"/>
      <c r="N11" s="50">
        <f>SUM(I11:L11)</f>
        <v>315003031.48416984</v>
      </c>
      <c r="P11" s="104"/>
    </row>
    <row r="12" spans="1:16" ht="12.75">
      <c r="A12" s="49">
        <v>5</v>
      </c>
      <c r="B12" s="49" t="s">
        <v>225</v>
      </c>
      <c r="C12" s="58">
        <v>204656322.1691829</v>
      </c>
      <c r="D12" s="58">
        <v>70034139.3669405</v>
      </c>
      <c r="E12" s="53"/>
      <c r="F12" s="50">
        <v>0</v>
      </c>
      <c r="G12" s="50">
        <v>-301.97779765725136</v>
      </c>
      <c r="H12" s="53"/>
      <c r="I12" s="50">
        <f>SUM(D12:G12)</f>
        <v>70033837.38914284</v>
      </c>
      <c r="J12" s="53"/>
      <c r="K12" s="50">
        <v>41240.40577688813</v>
      </c>
      <c r="L12" s="50">
        <v>763418.0225844234</v>
      </c>
      <c r="M12" s="53"/>
      <c r="N12" s="50">
        <f>SUM(I12:L12)</f>
        <v>70838495.81750415</v>
      </c>
      <c r="P12" s="104"/>
    </row>
    <row r="13" spans="1:16" ht="12.75">
      <c r="A13" s="49">
        <v>6</v>
      </c>
      <c r="B13" s="49" t="s">
        <v>226</v>
      </c>
      <c r="C13" s="107">
        <v>4488675069.413624</v>
      </c>
      <c r="D13" s="107">
        <v>1858307387.266073</v>
      </c>
      <c r="E13" s="53"/>
      <c r="F13" s="51">
        <v>32422751</v>
      </c>
      <c r="G13" s="51">
        <v>-192792.78235268593</v>
      </c>
      <c r="H13" s="53"/>
      <c r="I13" s="51">
        <f>SUM(D13:G13)</f>
        <v>1890537345.4837203</v>
      </c>
      <c r="J13" s="53"/>
      <c r="K13" s="51">
        <v>-537334.5130670071</v>
      </c>
      <c r="L13" s="51">
        <v>2511484.403506279</v>
      </c>
      <c r="M13" s="53"/>
      <c r="N13" s="51">
        <f>SUM(I13:L13)</f>
        <v>1892511495.3741596</v>
      </c>
      <c r="P13" s="104"/>
    </row>
    <row r="14" spans="1:14" ht="12.75">
      <c r="A14" s="49">
        <v>7</v>
      </c>
      <c r="B14" s="49"/>
      <c r="C14" s="58"/>
      <c r="D14" s="58"/>
      <c r="E14" s="53"/>
      <c r="F14" s="50"/>
      <c r="G14" s="50"/>
      <c r="H14" s="53"/>
      <c r="I14" s="50" t="s">
        <v>0</v>
      </c>
      <c r="J14" s="53"/>
      <c r="K14" s="50"/>
      <c r="L14" s="50"/>
      <c r="M14" s="53"/>
      <c r="N14" s="50" t="s">
        <v>0</v>
      </c>
    </row>
    <row r="15" spans="1:14" ht="12.75">
      <c r="A15" s="49">
        <v>8</v>
      </c>
      <c r="B15" s="49" t="s">
        <v>227</v>
      </c>
      <c r="C15" s="58"/>
      <c r="D15" s="58"/>
      <c r="E15" s="53"/>
      <c r="F15" s="50"/>
      <c r="G15" s="50"/>
      <c r="H15" s="53"/>
      <c r="I15" s="50" t="s">
        <v>0</v>
      </c>
      <c r="J15" s="53"/>
      <c r="K15" s="50"/>
      <c r="L15" s="50"/>
      <c r="M15" s="53"/>
      <c r="N15" s="50" t="s">
        <v>0</v>
      </c>
    </row>
    <row r="16" spans="1:16" ht="12.75">
      <c r="A16" s="49">
        <v>9</v>
      </c>
      <c r="B16" s="49" t="s">
        <v>228</v>
      </c>
      <c r="C16" s="58">
        <v>924100839.6949179</v>
      </c>
      <c r="D16" s="58">
        <v>379246535.71381897</v>
      </c>
      <c r="E16" s="53"/>
      <c r="F16" s="50">
        <v>0</v>
      </c>
      <c r="G16" s="50">
        <v>464490.134524107</v>
      </c>
      <c r="H16" s="53"/>
      <c r="I16" s="50">
        <f aca="true" t="shared" si="0" ref="I16:I25">SUM(D16:G16)</f>
        <v>379711025.8483431</v>
      </c>
      <c r="J16" s="53"/>
      <c r="K16" s="50">
        <v>-248354.3857613802</v>
      </c>
      <c r="L16" s="50">
        <v>-456625.64827668667</v>
      </c>
      <c r="M16" s="53"/>
      <c r="N16" s="50">
        <f aca="true" t="shared" si="1" ref="N16:N25">SUM(I16:L16)</f>
        <v>379006045.814305</v>
      </c>
      <c r="P16" s="104"/>
    </row>
    <row r="17" spans="1:16" ht="12.75" hidden="1">
      <c r="A17" s="49">
        <v>10</v>
      </c>
      <c r="B17" s="49" t="s">
        <v>229</v>
      </c>
      <c r="C17" s="58">
        <v>0</v>
      </c>
      <c r="D17" s="58">
        <v>0</v>
      </c>
      <c r="E17" s="53"/>
      <c r="F17" s="50">
        <v>0</v>
      </c>
      <c r="G17" s="50">
        <v>0</v>
      </c>
      <c r="H17" s="53"/>
      <c r="I17" s="50">
        <f t="shared" si="0"/>
        <v>0</v>
      </c>
      <c r="J17" s="53"/>
      <c r="K17" s="50">
        <v>0</v>
      </c>
      <c r="L17" s="50">
        <v>0</v>
      </c>
      <c r="M17" s="53"/>
      <c r="N17" s="50">
        <f t="shared" si="1"/>
        <v>0</v>
      </c>
      <c r="P17" s="104"/>
    </row>
    <row r="18" spans="1:16" ht="12.75">
      <c r="A18" s="49">
        <v>11</v>
      </c>
      <c r="B18" s="49" t="s">
        <v>230</v>
      </c>
      <c r="C18" s="58">
        <v>38000131.97545576</v>
      </c>
      <c r="D18" s="58">
        <v>15629616.127203368</v>
      </c>
      <c r="E18" s="53"/>
      <c r="F18" s="50">
        <v>0</v>
      </c>
      <c r="G18" s="50">
        <v>0</v>
      </c>
      <c r="H18" s="53"/>
      <c r="I18" s="50">
        <f t="shared" si="0"/>
        <v>15629616.127203368</v>
      </c>
      <c r="J18" s="53"/>
      <c r="K18" s="50">
        <v>0</v>
      </c>
      <c r="L18" s="50">
        <v>0</v>
      </c>
      <c r="M18" s="53"/>
      <c r="N18" s="50">
        <f t="shared" si="1"/>
        <v>15629616.127203368</v>
      </c>
      <c r="P18" s="104"/>
    </row>
    <row r="19" spans="1:16" ht="12.75">
      <c r="A19" s="49">
        <v>12</v>
      </c>
      <c r="B19" s="49" t="s">
        <v>231</v>
      </c>
      <c r="C19" s="58">
        <v>1102541246.1475353</v>
      </c>
      <c r="D19" s="58">
        <v>452365702.90855014</v>
      </c>
      <c r="E19" s="53"/>
      <c r="F19" s="50">
        <v>0</v>
      </c>
      <c r="G19" s="50">
        <v>172508.2420604229</v>
      </c>
      <c r="H19" s="53"/>
      <c r="I19" s="50">
        <f t="shared" si="0"/>
        <v>452538211.15061057</v>
      </c>
      <c r="J19" s="53"/>
      <c r="K19" s="50">
        <v>-902327.4961616993</v>
      </c>
      <c r="L19" s="50">
        <v>-105529.04712474346</v>
      </c>
      <c r="M19" s="53"/>
      <c r="N19" s="50">
        <f t="shared" si="1"/>
        <v>451530354.6073241</v>
      </c>
      <c r="P19" s="104"/>
    </row>
    <row r="20" spans="1:16" ht="12.75">
      <c r="A20" s="49">
        <v>13</v>
      </c>
      <c r="B20" s="49" t="s">
        <v>232</v>
      </c>
      <c r="C20" s="58">
        <v>192583184.90264693</v>
      </c>
      <c r="D20" s="58">
        <v>79212280.84641615</v>
      </c>
      <c r="E20" s="53"/>
      <c r="F20" s="50">
        <v>0</v>
      </c>
      <c r="G20" s="50">
        <v>6401.523637160659</v>
      </c>
      <c r="H20" s="53"/>
      <c r="I20" s="50">
        <f t="shared" si="0"/>
        <v>79218682.3700533</v>
      </c>
      <c r="J20" s="53"/>
      <c r="K20" s="50">
        <v>69172.37269029021</v>
      </c>
      <c r="L20" s="50">
        <v>18365.063165321946</v>
      </c>
      <c r="M20" s="53"/>
      <c r="N20" s="50">
        <f t="shared" si="1"/>
        <v>79306219.80590892</v>
      </c>
      <c r="P20" s="104"/>
    </row>
    <row r="21" spans="1:16" ht="12.75">
      <c r="A21" s="49">
        <v>14</v>
      </c>
      <c r="B21" s="49" t="s">
        <v>233</v>
      </c>
      <c r="C21" s="58">
        <v>220039067.21056986</v>
      </c>
      <c r="D21" s="58">
        <v>93316162.94788072</v>
      </c>
      <c r="E21" s="53"/>
      <c r="F21" s="50">
        <v>0</v>
      </c>
      <c r="G21" s="50">
        <v>0</v>
      </c>
      <c r="H21" s="53"/>
      <c r="I21" s="50">
        <f t="shared" si="0"/>
        <v>93316162.94788072</v>
      </c>
      <c r="J21" s="53"/>
      <c r="K21" s="50">
        <v>0</v>
      </c>
      <c r="L21" s="50">
        <v>0</v>
      </c>
      <c r="M21" s="53"/>
      <c r="N21" s="50">
        <f t="shared" si="1"/>
        <v>93316162.94788072</v>
      </c>
      <c r="P21" s="104"/>
    </row>
    <row r="22" spans="1:16" ht="12.75">
      <c r="A22" s="49">
        <v>15</v>
      </c>
      <c r="B22" s="49" t="s">
        <v>234</v>
      </c>
      <c r="C22" s="58">
        <v>97979397.42376882</v>
      </c>
      <c r="D22" s="58">
        <v>38777606.69147498</v>
      </c>
      <c r="E22" s="53"/>
      <c r="F22" s="50">
        <v>0</v>
      </c>
      <c r="G22" s="50">
        <v>0</v>
      </c>
      <c r="H22" s="53"/>
      <c r="I22" s="50">
        <f t="shared" si="0"/>
        <v>38777606.69147498</v>
      </c>
      <c r="J22" s="53"/>
      <c r="K22" s="50">
        <v>0</v>
      </c>
      <c r="L22" s="50">
        <v>0</v>
      </c>
      <c r="M22" s="53"/>
      <c r="N22" s="50">
        <f t="shared" si="1"/>
        <v>38777606.69147498</v>
      </c>
      <c r="P22" s="104"/>
    </row>
    <row r="23" spans="1:16" ht="12.75">
      <c r="A23" s="49">
        <v>16</v>
      </c>
      <c r="B23" s="49" t="s">
        <v>235</v>
      </c>
      <c r="C23" s="58">
        <v>13950277.903290443</v>
      </c>
      <c r="D23" s="58">
        <v>6667360.070662884</v>
      </c>
      <c r="E23" s="53"/>
      <c r="F23" s="50">
        <v>0</v>
      </c>
      <c r="G23" s="50">
        <v>0</v>
      </c>
      <c r="H23" s="53"/>
      <c r="I23" s="50">
        <f t="shared" si="0"/>
        <v>6667360.070662884</v>
      </c>
      <c r="J23" s="53"/>
      <c r="K23" s="50">
        <v>0</v>
      </c>
      <c r="L23" s="50">
        <v>0</v>
      </c>
      <c r="M23" s="53"/>
      <c r="N23" s="50">
        <f t="shared" si="1"/>
        <v>6667360.070662884</v>
      </c>
      <c r="P23" s="104"/>
    </row>
    <row r="24" spans="1:16" ht="12.75" hidden="1">
      <c r="A24" s="49">
        <v>17</v>
      </c>
      <c r="B24" s="49" t="s">
        <v>236</v>
      </c>
      <c r="C24" s="58">
        <v>0</v>
      </c>
      <c r="D24" s="58">
        <v>0</v>
      </c>
      <c r="E24" s="53"/>
      <c r="F24" s="50">
        <v>0</v>
      </c>
      <c r="G24" s="50">
        <v>0</v>
      </c>
      <c r="H24" s="53"/>
      <c r="I24" s="50">
        <f t="shared" si="0"/>
        <v>0</v>
      </c>
      <c r="J24" s="53"/>
      <c r="K24" s="50">
        <v>0</v>
      </c>
      <c r="L24" s="50">
        <v>0</v>
      </c>
      <c r="M24" s="53"/>
      <c r="N24" s="50">
        <f t="shared" si="1"/>
        <v>0</v>
      </c>
      <c r="P24" s="104"/>
    </row>
    <row r="25" spans="1:16" ht="12.75">
      <c r="A25" s="49">
        <v>18</v>
      </c>
      <c r="B25" s="49" t="s">
        <v>237</v>
      </c>
      <c r="C25" s="108">
        <v>178057605.13330457</v>
      </c>
      <c r="D25" s="108">
        <v>67355144.48111625</v>
      </c>
      <c r="E25" s="53"/>
      <c r="F25" s="52">
        <v>0</v>
      </c>
      <c r="G25" s="52">
        <v>-13005.091479450464</v>
      </c>
      <c r="H25" s="53"/>
      <c r="I25" s="52">
        <f t="shared" si="0"/>
        <v>67342139.3896368</v>
      </c>
      <c r="J25" s="53"/>
      <c r="K25" s="52">
        <v>-12976.951595053077</v>
      </c>
      <c r="L25" s="52">
        <v>-6010.960832431912</v>
      </c>
      <c r="M25" s="53"/>
      <c r="N25" s="52">
        <f t="shared" si="1"/>
        <v>67323151.47720931</v>
      </c>
      <c r="P25" s="104"/>
    </row>
    <row r="26" spans="1:14" ht="12.75" hidden="1">
      <c r="A26" s="49">
        <v>19</v>
      </c>
      <c r="B26" s="49"/>
      <c r="C26" s="79"/>
      <c r="D26" s="79"/>
      <c r="E26" s="53"/>
      <c r="F26" s="53"/>
      <c r="G26" s="53"/>
      <c r="H26" s="53"/>
      <c r="I26" s="53" t="s">
        <v>0</v>
      </c>
      <c r="J26" s="53"/>
      <c r="K26" s="53"/>
      <c r="L26" s="53"/>
      <c r="M26" s="53"/>
      <c r="N26" s="53" t="s">
        <v>0</v>
      </c>
    </row>
    <row r="27" spans="1:16" ht="12.75">
      <c r="A27" s="49">
        <v>20</v>
      </c>
      <c r="B27" s="49" t="s">
        <v>238</v>
      </c>
      <c r="C27" s="58">
        <v>2767251750.3914895</v>
      </c>
      <c r="D27" s="58">
        <v>1132570409.7871234</v>
      </c>
      <c r="E27" s="53"/>
      <c r="F27" s="50">
        <v>0</v>
      </c>
      <c r="G27" s="50">
        <v>630394.8087422848</v>
      </c>
      <c r="H27" s="53"/>
      <c r="I27" s="50">
        <f>SUM(D27:G27)</f>
        <v>1133200804.5958657</v>
      </c>
      <c r="J27" s="53"/>
      <c r="K27" s="50">
        <v>-1094486.4608278275</v>
      </c>
      <c r="L27" s="50">
        <v>-549800.5930685997</v>
      </c>
      <c r="M27" s="53"/>
      <c r="N27" s="50">
        <f>SUM(I27:L27)</f>
        <v>1131556517.5419693</v>
      </c>
      <c r="P27" s="104"/>
    </row>
    <row r="28" spans="1:14" ht="12.75">
      <c r="A28" s="49">
        <v>21</v>
      </c>
      <c r="B28" s="49"/>
      <c r="C28" s="58"/>
      <c r="D28" s="58"/>
      <c r="E28" s="53"/>
      <c r="F28" s="50"/>
      <c r="G28" s="50"/>
      <c r="H28" s="53"/>
      <c r="I28" s="50" t="s">
        <v>0</v>
      </c>
      <c r="J28" s="53"/>
      <c r="K28" s="50"/>
      <c r="L28" s="50"/>
      <c r="M28" s="53"/>
      <c r="N28" s="50" t="s">
        <v>0</v>
      </c>
    </row>
    <row r="29" spans="1:16" ht="12.75">
      <c r="A29" s="49">
        <v>22</v>
      </c>
      <c r="B29" s="49" t="s">
        <v>239</v>
      </c>
      <c r="C29" s="58">
        <v>474702638.50857395</v>
      </c>
      <c r="D29" s="58">
        <v>190810654.64172447</v>
      </c>
      <c r="E29" s="53"/>
      <c r="F29" s="50">
        <v>0</v>
      </c>
      <c r="G29" s="50">
        <v>5185690.188318014</v>
      </c>
      <c r="H29" s="53"/>
      <c r="I29" s="50">
        <f aca="true" t="shared" si="2" ref="I29:I36">SUM(D29:G29)</f>
        <v>195996344.83004248</v>
      </c>
      <c r="J29" s="53"/>
      <c r="K29" s="50">
        <v>4491005.284246564</v>
      </c>
      <c r="L29" s="50">
        <v>4254218.303340197</v>
      </c>
      <c r="M29" s="53"/>
      <c r="N29" s="50">
        <f aca="true" t="shared" si="3" ref="N29:N36">SUM(I29:L29)</f>
        <v>204741568.41762924</v>
      </c>
      <c r="P29" s="104"/>
    </row>
    <row r="30" spans="1:16" ht="12.75">
      <c r="A30" s="49">
        <v>23</v>
      </c>
      <c r="B30" s="49" t="s">
        <v>240</v>
      </c>
      <c r="C30" s="58">
        <v>56086022.18263011</v>
      </c>
      <c r="D30" s="58">
        <v>20779978.09570366</v>
      </c>
      <c r="E30" s="53"/>
      <c r="F30" s="50">
        <v>0</v>
      </c>
      <c r="G30" s="50">
        <v>-2033.0250182412565</v>
      </c>
      <c r="H30" s="53"/>
      <c r="I30" s="50">
        <f t="shared" si="2"/>
        <v>20777945.07068542</v>
      </c>
      <c r="J30" s="53"/>
      <c r="K30" s="50">
        <v>-2028.6260419487953</v>
      </c>
      <c r="L30" s="50">
        <v>-939.6653437837958</v>
      </c>
      <c r="M30" s="53"/>
      <c r="N30" s="50">
        <f t="shared" si="3"/>
        <v>20774976.779299688</v>
      </c>
      <c r="P30" s="104"/>
    </row>
    <row r="31" spans="1:16" ht="12.75">
      <c r="A31" s="49">
        <v>24</v>
      </c>
      <c r="B31" s="49" t="s">
        <v>241</v>
      </c>
      <c r="C31" s="58">
        <v>125956210.84</v>
      </c>
      <c r="D31" s="58">
        <v>41832396.24568764</v>
      </c>
      <c r="E31" s="53"/>
      <c r="F31" s="50">
        <v>0</v>
      </c>
      <c r="G31" s="50">
        <v>561737.986379236</v>
      </c>
      <c r="H31" s="53"/>
      <c r="I31" s="50">
        <f t="shared" si="2"/>
        <v>42394134.23206688</v>
      </c>
      <c r="J31" s="53"/>
      <c r="K31" s="50">
        <v>1789271.7886761725</v>
      </c>
      <c r="L31" s="50">
        <v>509571.5707214549</v>
      </c>
      <c r="M31" s="53"/>
      <c r="N31" s="50">
        <f t="shared" si="3"/>
        <v>44692977.591464505</v>
      </c>
      <c r="P31" s="104"/>
    </row>
    <row r="32" spans="1:16" ht="12.75">
      <c r="A32" s="49">
        <v>25</v>
      </c>
      <c r="B32" s="49" t="s">
        <v>242</v>
      </c>
      <c r="C32" s="58">
        <v>-26536677.19535965</v>
      </c>
      <c r="D32" s="58">
        <v>-7755186.86687047</v>
      </c>
      <c r="E32" s="53"/>
      <c r="F32" s="50">
        <v>10852868.827437269</v>
      </c>
      <c r="G32" s="50">
        <v>-9869097.969662849</v>
      </c>
      <c r="H32" s="53"/>
      <c r="I32" s="50">
        <f t="shared" si="2"/>
        <v>-6771416.009096051</v>
      </c>
      <c r="J32" s="53"/>
      <c r="K32" s="50">
        <v>-9013945.078348612</v>
      </c>
      <c r="L32" s="50">
        <v>-14213111.722545767</v>
      </c>
      <c r="M32" s="53"/>
      <c r="N32" s="50">
        <f t="shared" si="3"/>
        <v>-29998472.80999043</v>
      </c>
      <c r="P32" s="104"/>
    </row>
    <row r="33" spans="1:16" ht="12.75">
      <c r="A33" s="49">
        <v>26</v>
      </c>
      <c r="B33" s="49" t="s">
        <v>243</v>
      </c>
      <c r="C33" s="58">
        <v>1102222.421675201</v>
      </c>
      <c r="D33" s="58">
        <v>781122.9823070455</v>
      </c>
      <c r="E33" s="53"/>
      <c r="F33" s="50">
        <v>1409330.471041894</v>
      </c>
      <c r="G33" s="50">
        <v>-1720370.9817676202</v>
      </c>
      <c r="H33" s="53"/>
      <c r="I33" s="50">
        <f t="shared" si="2"/>
        <v>470082.4715813191</v>
      </c>
      <c r="J33" s="53"/>
      <c r="K33" s="50">
        <v>-1224845.4283192374</v>
      </c>
      <c r="L33" s="50">
        <v>-1496543.8277366813</v>
      </c>
      <c r="M33" s="53"/>
      <c r="N33" s="50">
        <f t="shared" si="3"/>
        <v>-2251306.7844745996</v>
      </c>
      <c r="P33" s="104"/>
    </row>
    <row r="34" spans="1:16" ht="12.75">
      <c r="A34" s="49">
        <v>27</v>
      </c>
      <c r="B34" s="49" t="s">
        <v>244</v>
      </c>
      <c r="C34" s="58">
        <v>270508110.706923</v>
      </c>
      <c r="D34" s="58">
        <v>110824046.07576784</v>
      </c>
      <c r="E34" s="53"/>
      <c r="F34" s="50">
        <v>-0.0009630918502807617</v>
      </c>
      <c r="G34" s="50">
        <v>6667455.564819559</v>
      </c>
      <c r="H34" s="53"/>
      <c r="I34" s="50">
        <f t="shared" si="2"/>
        <v>117491501.63962431</v>
      </c>
      <c r="J34" s="53"/>
      <c r="K34" s="50">
        <v>5712498.444737598</v>
      </c>
      <c r="L34" s="50">
        <v>10874065.309963316</v>
      </c>
      <c r="M34" s="53"/>
      <c r="N34" s="50">
        <f t="shared" si="3"/>
        <v>134078065.39432523</v>
      </c>
      <c r="P34" s="104"/>
    </row>
    <row r="35" spans="1:16" ht="12.75">
      <c r="A35" s="49">
        <v>28</v>
      </c>
      <c r="B35" s="49" t="s">
        <v>245</v>
      </c>
      <c r="C35" s="58">
        <v>-1874204</v>
      </c>
      <c r="D35" s="58">
        <v>-1531507.7559909243</v>
      </c>
      <c r="E35" s="53"/>
      <c r="F35" s="50">
        <v>0</v>
      </c>
      <c r="G35" s="50">
        <v>0</v>
      </c>
      <c r="H35" s="53"/>
      <c r="I35" s="50">
        <f t="shared" si="2"/>
        <v>-1531507.7559909243</v>
      </c>
      <c r="J35" s="53"/>
      <c r="K35" s="50">
        <v>0</v>
      </c>
      <c r="L35" s="50">
        <v>0</v>
      </c>
      <c r="M35" s="53"/>
      <c r="N35" s="50">
        <f t="shared" si="3"/>
        <v>-1531507.7559909243</v>
      </c>
      <c r="P35" s="104"/>
    </row>
    <row r="36" spans="1:16" ht="12.75">
      <c r="A36" s="49">
        <v>29</v>
      </c>
      <c r="B36" s="49" t="s">
        <v>246</v>
      </c>
      <c r="C36" s="108">
        <v>-12011767.29</v>
      </c>
      <c r="D36" s="108">
        <v>-4931444.371329025</v>
      </c>
      <c r="E36" s="53"/>
      <c r="F36" s="52">
        <v>0</v>
      </c>
      <c r="G36" s="52">
        <v>-266387.7656956604</v>
      </c>
      <c r="H36" s="53"/>
      <c r="I36" s="52">
        <f t="shared" si="2"/>
        <v>-5197832.137024686</v>
      </c>
      <c r="J36" s="53"/>
      <c r="K36" s="52">
        <v>-3.5135493986308575</v>
      </c>
      <c r="L36" s="52">
        <v>-1.6274860594421625</v>
      </c>
      <c r="M36" s="53"/>
      <c r="N36" s="52">
        <f t="shared" si="3"/>
        <v>-5197837.278060144</v>
      </c>
      <c r="P36" s="104"/>
    </row>
    <row r="37" spans="1:14" ht="12.75" hidden="1">
      <c r="A37" s="49">
        <v>30</v>
      </c>
      <c r="B37" s="49"/>
      <c r="C37" s="58"/>
      <c r="D37" s="58"/>
      <c r="E37" s="53"/>
      <c r="F37" s="50"/>
      <c r="G37" s="50"/>
      <c r="H37" s="53"/>
      <c r="I37" s="50" t="s">
        <v>0</v>
      </c>
      <c r="J37" s="53"/>
      <c r="K37" s="50"/>
      <c r="L37" s="50"/>
      <c r="M37" s="53"/>
      <c r="N37" s="50" t="s">
        <v>0</v>
      </c>
    </row>
    <row r="38" spans="1:16" ht="12.75">
      <c r="A38" s="49">
        <v>31</v>
      </c>
      <c r="B38" s="49" t="s">
        <v>247</v>
      </c>
      <c r="C38" s="79">
        <v>3655184306.5659323</v>
      </c>
      <c r="D38" s="79">
        <v>1483380468.8341234</v>
      </c>
      <c r="E38" s="53"/>
      <c r="F38" s="53">
        <v>12262199.297516346</v>
      </c>
      <c r="G38" s="53">
        <v>1187388.8061146736</v>
      </c>
      <c r="H38" s="53"/>
      <c r="I38" s="53">
        <f>SUM(D38:G38)</f>
        <v>1496830056.9377544</v>
      </c>
      <c r="J38" s="53"/>
      <c r="K38" s="53">
        <v>657466.4105734825</v>
      </c>
      <c r="L38" s="53">
        <v>-622542.2521557808</v>
      </c>
      <c r="M38" s="53"/>
      <c r="N38" s="53">
        <f>SUM(I38:L38)</f>
        <v>1496864981.096172</v>
      </c>
      <c r="P38" s="104"/>
    </row>
    <row r="39" spans="1:14" ht="12.75">
      <c r="A39" s="49">
        <v>32</v>
      </c>
      <c r="B39" s="49"/>
      <c r="C39" s="58"/>
      <c r="D39" s="58"/>
      <c r="E39" s="53"/>
      <c r="F39" s="50"/>
      <c r="G39" s="50"/>
      <c r="H39" s="53"/>
      <c r="I39" s="50" t="s">
        <v>0</v>
      </c>
      <c r="J39" s="53"/>
      <c r="K39" s="50"/>
      <c r="L39" s="50"/>
      <c r="M39" s="53"/>
      <c r="N39" s="50" t="s">
        <v>0</v>
      </c>
    </row>
    <row r="40" spans="1:16" ht="13.5" thickBot="1">
      <c r="A40" s="49">
        <v>33</v>
      </c>
      <c r="B40" s="49" t="s">
        <v>248</v>
      </c>
      <c r="C40" s="109">
        <v>833490762.8476915</v>
      </c>
      <c r="D40" s="109">
        <v>374926918.4319496</v>
      </c>
      <c r="E40" s="53"/>
      <c r="F40" s="54">
        <v>20160551.702483654</v>
      </c>
      <c r="G40" s="54">
        <v>-1380181.5884673595</v>
      </c>
      <c r="H40" s="53"/>
      <c r="I40" s="54">
        <f>SUM(D40:G40)</f>
        <v>393707288.5459659</v>
      </c>
      <c r="J40" s="53"/>
      <c r="K40" s="54">
        <v>-1194800.9236404896</v>
      </c>
      <c r="L40" s="54">
        <v>3134026.65566206</v>
      </c>
      <c r="M40" s="53"/>
      <c r="N40" s="54">
        <f>SUM(I40:L40)</f>
        <v>395646514.2779875</v>
      </c>
      <c r="P40" s="104"/>
    </row>
    <row r="41" spans="1:14" ht="13.5" thickTop="1">
      <c r="A41" s="49">
        <v>34</v>
      </c>
      <c r="B41" s="49"/>
      <c r="C41" s="58"/>
      <c r="D41" s="58"/>
      <c r="E41" s="53"/>
      <c r="F41" s="50"/>
      <c r="G41" s="50"/>
      <c r="H41" s="53"/>
      <c r="I41" s="50" t="s">
        <v>0</v>
      </c>
      <c r="J41" s="53"/>
      <c r="K41" s="50"/>
      <c r="L41" s="50"/>
      <c r="M41" s="53"/>
      <c r="N41" s="50" t="s">
        <v>0</v>
      </c>
    </row>
    <row r="42" spans="1:14" ht="12.75">
      <c r="A42" s="49">
        <v>35</v>
      </c>
      <c r="B42" s="49" t="s">
        <v>249</v>
      </c>
      <c r="C42" s="58"/>
      <c r="D42" s="58"/>
      <c r="E42" s="53"/>
      <c r="F42" s="50"/>
      <c r="G42" s="50"/>
      <c r="H42" s="53"/>
      <c r="I42" s="50" t="s">
        <v>0</v>
      </c>
      <c r="J42" s="53"/>
      <c r="K42" s="50"/>
      <c r="L42" s="50"/>
      <c r="M42" s="53"/>
      <c r="N42" s="50" t="s">
        <v>0</v>
      </c>
    </row>
    <row r="43" spans="1:16" ht="12.75">
      <c r="A43" s="49">
        <v>36</v>
      </c>
      <c r="B43" s="49" t="s">
        <v>250</v>
      </c>
      <c r="C43" s="58">
        <v>19535482677.31131</v>
      </c>
      <c r="D43" s="58">
        <v>8093683455.5208435</v>
      </c>
      <c r="E43" s="53"/>
      <c r="F43" s="50">
        <v>0</v>
      </c>
      <c r="G43" s="50">
        <v>213817333.6232357</v>
      </c>
      <c r="H43" s="53"/>
      <c r="I43" s="50">
        <f aca="true" t="shared" si="4" ref="I43:I53">SUM(D43:G43)</f>
        <v>8307500789.144079</v>
      </c>
      <c r="J43" s="53"/>
      <c r="K43" s="50">
        <v>225402174.5084324</v>
      </c>
      <c r="L43" s="50">
        <v>108772405.31044579</v>
      </c>
      <c r="M43" s="53"/>
      <c r="N43" s="50">
        <f aca="true" t="shared" si="5" ref="N43:N53">SUM(I43:L43)</f>
        <v>8641675368.962957</v>
      </c>
      <c r="P43" s="104"/>
    </row>
    <row r="44" spans="1:16" ht="12.75">
      <c r="A44" s="49">
        <v>37</v>
      </c>
      <c r="B44" s="49" t="s">
        <v>251</v>
      </c>
      <c r="C44" s="58">
        <v>15074556.62</v>
      </c>
      <c r="D44" s="58">
        <v>6999413.8107443955</v>
      </c>
      <c r="E44" s="53"/>
      <c r="F44" s="50">
        <v>0</v>
      </c>
      <c r="G44" s="50">
        <v>0</v>
      </c>
      <c r="H44" s="53"/>
      <c r="I44" s="50">
        <f t="shared" si="4"/>
        <v>6999413.8107443955</v>
      </c>
      <c r="J44" s="53"/>
      <c r="K44" s="50">
        <v>0</v>
      </c>
      <c r="L44" s="50">
        <v>0</v>
      </c>
      <c r="M44" s="53"/>
      <c r="N44" s="50">
        <f t="shared" si="5"/>
        <v>6999413.8107443955</v>
      </c>
      <c r="P44" s="104"/>
    </row>
    <row r="45" spans="1:16" ht="12.75">
      <c r="A45" s="49">
        <v>38</v>
      </c>
      <c r="B45" s="49" t="s">
        <v>252</v>
      </c>
      <c r="C45" s="58">
        <v>163031890.4492281</v>
      </c>
      <c r="D45" s="58">
        <v>28619551.53041046</v>
      </c>
      <c r="E45" s="53"/>
      <c r="F45" s="50">
        <v>0</v>
      </c>
      <c r="G45" s="50">
        <v>-569.4882114492357</v>
      </c>
      <c r="H45" s="53"/>
      <c r="I45" s="50">
        <f t="shared" si="4"/>
        <v>28618982.042199012</v>
      </c>
      <c r="J45" s="53"/>
      <c r="K45" s="50">
        <v>-568.2559761703014</v>
      </c>
      <c r="L45" s="50">
        <v>-263.2177819721401</v>
      </c>
      <c r="M45" s="53"/>
      <c r="N45" s="50">
        <f t="shared" si="5"/>
        <v>28618150.56844087</v>
      </c>
      <c r="P45" s="104"/>
    </row>
    <row r="46" spans="1:16" ht="12.75">
      <c r="A46" s="49">
        <v>39</v>
      </c>
      <c r="B46" s="49" t="s">
        <v>253</v>
      </c>
      <c r="C46" s="58">
        <v>66346259.78</v>
      </c>
      <c r="D46" s="58">
        <v>27288499.221710272</v>
      </c>
      <c r="E46" s="53"/>
      <c r="F46" s="50">
        <v>0</v>
      </c>
      <c r="G46" s="50">
        <v>0</v>
      </c>
      <c r="H46" s="53"/>
      <c r="I46" s="50">
        <f t="shared" si="4"/>
        <v>27288499.221710272</v>
      </c>
      <c r="J46" s="53"/>
      <c r="K46" s="50">
        <v>0</v>
      </c>
      <c r="L46" s="50">
        <v>0</v>
      </c>
      <c r="M46" s="53"/>
      <c r="N46" s="50">
        <f t="shared" si="5"/>
        <v>27288499.221710272</v>
      </c>
      <c r="P46" s="104"/>
    </row>
    <row r="47" spans="1:16" ht="12.75" hidden="1">
      <c r="A47" s="49">
        <v>40</v>
      </c>
      <c r="B47" s="49" t="s">
        <v>254</v>
      </c>
      <c r="C47" s="58">
        <v>0</v>
      </c>
      <c r="D47" s="58">
        <v>0</v>
      </c>
      <c r="E47" s="53"/>
      <c r="F47" s="50">
        <v>0</v>
      </c>
      <c r="G47" s="50">
        <v>0</v>
      </c>
      <c r="H47" s="53"/>
      <c r="I47" s="50">
        <f t="shared" si="4"/>
        <v>0</v>
      </c>
      <c r="J47" s="53"/>
      <c r="K47" s="50">
        <v>0</v>
      </c>
      <c r="L47" s="50">
        <v>0</v>
      </c>
      <c r="M47" s="53"/>
      <c r="N47" s="50">
        <f t="shared" si="5"/>
        <v>0</v>
      </c>
      <c r="P47" s="104"/>
    </row>
    <row r="48" spans="1:16" ht="12.75">
      <c r="A48" s="49">
        <v>41</v>
      </c>
      <c r="B48" s="49" t="s">
        <v>255</v>
      </c>
      <c r="C48" s="58">
        <v>38677858.8</v>
      </c>
      <c r="D48" s="58">
        <v>16616606.235325284</v>
      </c>
      <c r="E48" s="53"/>
      <c r="F48" s="50">
        <v>0</v>
      </c>
      <c r="G48" s="50">
        <v>-2305.0616975538433</v>
      </c>
      <c r="H48" s="53"/>
      <c r="I48" s="50">
        <f t="shared" si="4"/>
        <v>16614301.17362773</v>
      </c>
      <c r="J48" s="53"/>
      <c r="K48" s="50">
        <v>-2300.0740994364023</v>
      </c>
      <c r="L48" s="50">
        <v>-1065.4008549060673</v>
      </c>
      <c r="M48" s="53"/>
      <c r="N48" s="50">
        <f t="shared" si="5"/>
        <v>16610935.698673388</v>
      </c>
      <c r="P48" s="104"/>
    </row>
    <row r="49" spans="1:16" ht="12.75">
      <c r="A49" s="49">
        <v>42</v>
      </c>
      <c r="B49" s="49" t="s">
        <v>256</v>
      </c>
      <c r="C49" s="58">
        <v>167124629.88000003</v>
      </c>
      <c r="D49" s="58">
        <v>68522279.63985394</v>
      </c>
      <c r="E49" s="53"/>
      <c r="F49" s="50">
        <v>0</v>
      </c>
      <c r="G49" s="50">
        <v>0</v>
      </c>
      <c r="H49" s="53"/>
      <c r="I49" s="50">
        <f t="shared" si="4"/>
        <v>68522279.63985394</v>
      </c>
      <c r="J49" s="53"/>
      <c r="K49" s="50">
        <v>0</v>
      </c>
      <c r="L49" s="50">
        <v>0</v>
      </c>
      <c r="M49" s="53"/>
      <c r="N49" s="50">
        <f t="shared" si="5"/>
        <v>68522279.63985394</v>
      </c>
      <c r="P49" s="104"/>
    </row>
    <row r="50" spans="1:16" ht="12.75">
      <c r="A50" s="49">
        <v>43</v>
      </c>
      <c r="B50" s="49" t="s">
        <v>257</v>
      </c>
      <c r="C50" s="58">
        <v>169802368.59000003</v>
      </c>
      <c r="D50" s="58">
        <v>71676429.26589</v>
      </c>
      <c r="E50" s="53"/>
      <c r="F50" s="50">
        <v>0</v>
      </c>
      <c r="G50" s="50">
        <v>11.085128888487816</v>
      </c>
      <c r="H50" s="53"/>
      <c r="I50" s="50">
        <f t="shared" si="4"/>
        <v>71676440.35101889</v>
      </c>
      <c r="J50" s="53"/>
      <c r="K50" s="50">
        <v>11.061143308877945</v>
      </c>
      <c r="L50" s="50">
        <v>5.12355300784111</v>
      </c>
      <c r="M50" s="53"/>
      <c r="N50" s="50">
        <f t="shared" si="5"/>
        <v>71676456.53571521</v>
      </c>
      <c r="P50" s="104"/>
    </row>
    <row r="51" spans="1:16" ht="12.75">
      <c r="A51" s="49">
        <v>44</v>
      </c>
      <c r="B51" s="49" t="s">
        <v>258</v>
      </c>
      <c r="C51" s="58">
        <v>49644016.91579236</v>
      </c>
      <c r="D51" s="58">
        <v>21723714.894386757</v>
      </c>
      <c r="E51" s="53"/>
      <c r="F51" s="50">
        <v>179375.43821623176</v>
      </c>
      <c r="G51" s="50">
        <v>-215628.0680401586</v>
      </c>
      <c r="H51" s="53"/>
      <c r="I51" s="50">
        <f t="shared" si="4"/>
        <v>21687462.26456283</v>
      </c>
      <c r="J51" s="53"/>
      <c r="K51" s="50">
        <v>-542969.0318036266</v>
      </c>
      <c r="L51" s="50">
        <v>-258559.35404196382</v>
      </c>
      <c r="M51" s="53"/>
      <c r="N51" s="50">
        <f t="shared" si="5"/>
        <v>20885933.87871724</v>
      </c>
      <c r="P51" s="104"/>
    </row>
    <row r="52" spans="1:16" ht="12.75">
      <c r="A52" s="49">
        <v>45</v>
      </c>
      <c r="B52" s="49" t="s">
        <v>259</v>
      </c>
      <c r="C52" s="58">
        <v>19364629.28</v>
      </c>
      <c r="D52" s="58">
        <v>5878174.663451788</v>
      </c>
      <c r="E52" s="53"/>
      <c r="F52" s="50">
        <v>0</v>
      </c>
      <c r="G52" s="50">
        <v>0.19790008384734392</v>
      </c>
      <c r="H52" s="53"/>
      <c r="I52" s="50">
        <f t="shared" si="4"/>
        <v>5878174.861351872</v>
      </c>
      <c r="J52" s="53"/>
      <c r="K52" s="50">
        <v>0.19747187662869692</v>
      </c>
      <c r="L52" s="50">
        <v>0.09146953374147415</v>
      </c>
      <c r="M52" s="53"/>
      <c r="N52" s="50">
        <f t="shared" si="5"/>
        <v>5878175.150293282</v>
      </c>
      <c r="P52" s="104"/>
    </row>
    <row r="53" spans="1:16" ht="12.75">
      <c r="A53" s="49">
        <v>46</v>
      </c>
      <c r="B53" s="49" t="s">
        <v>260</v>
      </c>
      <c r="C53" s="108">
        <v>3479179.04</v>
      </c>
      <c r="D53" s="108">
        <v>1724615.1823736061</v>
      </c>
      <c r="E53" s="53"/>
      <c r="F53" s="52">
        <v>0</v>
      </c>
      <c r="G53" s="52">
        <v>0</v>
      </c>
      <c r="H53" s="53"/>
      <c r="I53" s="52">
        <f t="shared" si="4"/>
        <v>1724615.1823736061</v>
      </c>
      <c r="J53" s="53"/>
      <c r="K53" s="52">
        <v>0</v>
      </c>
      <c r="L53" s="52">
        <v>0</v>
      </c>
      <c r="M53" s="53"/>
      <c r="N53" s="52">
        <f t="shared" si="5"/>
        <v>1724615.1823736061</v>
      </c>
      <c r="P53" s="104"/>
    </row>
    <row r="54" spans="1:14" ht="12.75" hidden="1">
      <c r="A54" s="49">
        <v>47</v>
      </c>
      <c r="B54" s="49"/>
      <c r="C54" s="58"/>
      <c r="D54" s="58"/>
      <c r="E54" s="53"/>
      <c r="F54" s="50"/>
      <c r="G54" s="50"/>
      <c r="H54" s="53"/>
      <c r="I54" s="50" t="s">
        <v>0</v>
      </c>
      <c r="J54" s="53"/>
      <c r="K54" s="50"/>
      <c r="L54" s="50"/>
      <c r="M54" s="53"/>
      <c r="N54" s="50" t="s">
        <v>0</v>
      </c>
    </row>
    <row r="55" spans="1:16" ht="12.75">
      <c r="A55" s="49">
        <v>48</v>
      </c>
      <c r="B55" s="49" t="s">
        <v>261</v>
      </c>
      <c r="C55" s="79">
        <v>20228028066.666325</v>
      </c>
      <c r="D55" s="79">
        <v>8342732739.96499</v>
      </c>
      <c r="E55" s="53"/>
      <c r="F55" s="53">
        <v>179375.4382162094</v>
      </c>
      <c r="G55" s="53">
        <v>213598842.28831577</v>
      </c>
      <c r="H55" s="53"/>
      <c r="I55" s="53">
        <f>SUM(D55:G55)</f>
        <v>8556510957.691522</v>
      </c>
      <c r="J55" s="53"/>
      <c r="K55" s="53">
        <v>224856348.40516853</v>
      </c>
      <c r="L55" s="53">
        <v>108512522.55278969</v>
      </c>
      <c r="M55" s="53"/>
      <c r="N55" s="53">
        <f>SUM(I55:L55)</f>
        <v>8889879828.64948</v>
      </c>
      <c r="P55" s="104"/>
    </row>
    <row r="56" spans="1:14" ht="12.75">
      <c r="A56" s="49">
        <v>49</v>
      </c>
      <c r="B56" s="49"/>
      <c r="C56" s="58"/>
      <c r="D56" s="58"/>
      <c r="E56" s="53"/>
      <c r="F56" s="50"/>
      <c r="G56" s="50"/>
      <c r="H56" s="53"/>
      <c r="I56" s="50" t="s">
        <v>0</v>
      </c>
      <c r="J56" s="53"/>
      <c r="K56" s="50"/>
      <c r="L56" s="50"/>
      <c r="M56" s="53"/>
      <c r="N56" s="50" t="s">
        <v>0</v>
      </c>
    </row>
    <row r="57" spans="1:14" ht="12.75">
      <c r="A57" s="49">
        <v>50</v>
      </c>
      <c r="B57" s="49" t="s">
        <v>262</v>
      </c>
      <c r="C57" s="58"/>
      <c r="D57" s="58"/>
      <c r="E57" s="53"/>
      <c r="F57" s="50"/>
      <c r="G57" s="50"/>
      <c r="H57" s="53"/>
      <c r="I57" s="50" t="s">
        <v>0</v>
      </c>
      <c r="J57" s="53"/>
      <c r="K57" s="50"/>
      <c r="L57" s="50"/>
      <c r="M57" s="53"/>
      <c r="N57" s="50" t="s">
        <v>0</v>
      </c>
    </row>
    <row r="58" spans="1:16" ht="12.75">
      <c r="A58" s="49">
        <v>51</v>
      </c>
      <c r="B58" s="49" t="s">
        <v>263</v>
      </c>
      <c r="C58" s="58">
        <v>-6601025649.444348</v>
      </c>
      <c r="D58" s="58">
        <v>-2575324694.267578</v>
      </c>
      <c r="E58" s="53"/>
      <c r="F58" s="50">
        <v>0</v>
      </c>
      <c r="G58" s="50">
        <v>6559602.416779518</v>
      </c>
      <c r="H58" s="53"/>
      <c r="I58" s="50">
        <f aca="true" t="shared" si="6" ref="I58:I64">SUM(D58:G58)</f>
        <v>-2568765091.8507986</v>
      </c>
      <c r="J58" s="53"/>
      <c r="K58" s="50">
        <v>-2699656.6942825317</v>
      </c>
      <c r="L58" s="50">
        <v>-3026104.2534179688</v>
      </c>
      <c r="M58" s="53"/>
      <c r="N58" s="50">
        <f aca="true" t="shared" si="7" ref="N58:N64">SUM(I58:L58)</f>
        <v>-2574490852.798499</v>
      </c>
      <c r="P58" s="104"/>
    </row>
    <row r="59" spans="1:16" ht="12.75">
      <c r="A59" s="49">
        <v>52</v>
      </c>
      <c r="B59" s="49" t="s">
        <v>264</v>
      </c>
      <c r="C59" s="58">
        <v>-433556405.71445835</v>
      </c>
      <c r="D59" s="58">
        <v>-177915780.88891593</v>
      </c>
      <c r="E59" s="53"/>
      <c r="F59" s="50">
        <v>0</v>
      </c>
      <c r="G59" s="50">
        <v>21062.333580851555</v>
      </c>
      <c r="H59" s="53"/>
      <c r="I59" s="50">
        <f t="shared" si="6"/>
        <v>-177894718.55533507</v>
      </c>
      <c r="J59" s="53"/>
      <c r="K59" s="50">
        <v>21016.759765833616</v>
      </c>
      <c r="L59" s="50">
        <v>9735.022809684277</v>
      </c>
      <c r="M59" s="53"/>
      <c r="N59" s="50">
        <f t="shared" si="7"/>
        <v>-177863966.77275956</v>
      </c>
      <c r="P59" s="104"/>
    </row>
    <row r="60" spans="1:16" ht="12.75">
      <c r="A60" s="49">
        <v>53</v>
      </c>
      <c r="B60" s="49" t="s">
        <v>265</v>
      </c>
      <c r="C60" s="58">
        <v>-2030014115.91</v>
      </c>
      <c r="D60" s="58">
        <v>-908973063.9200337</v>
      </c>
      <c r="E60" s="53"/>
      <c r="F60" s="50">
        <v>0</v>
      </c>
      <c r="G60" s="50">
        <v>-6859817.8239815235</v>
      </c>
      <c r="H60" s="53"/>
      <c r="I60" s="50">
        <f t="shared" si="6"/>
        <v>-915832881.7440152</v>
      </c>
      <c r="J60" s="53"/>
      <c r="K60" s="50">
        <v>-3020271.597671151</v>
      </c>
      <c r="L60" s="50">
        <v>-11810665.492951155</v>
      </c>
      <c r="M60" s="53"/>
      <c r="N60" s="50">
        <f t="shared" si="7"/>
        <v>-930663818.8346375</v>
      </c>
      <c r="P60" s="104"/>
    </row>
    <row r="61" spans="1:16" ht="12.75">
      <c r="A61" s="49">
        <v>54</v>
      </c>
      <c r="B61" s="49" t="s">
        <v>266</v>
      </c>
      <c r="C61" s="58">
        <v>-6481996</v>
      </c>
      <c r="D61" s="58">
        <v>-141518.98089</v>
      </c>
      <c r="E61" s="53"/>
      <c r="F61" s="50">
        <v>0</v>
      </c>
      <c r="G61" s="50">
        <v>0</v>
      </c>
      <c r="H61" s="53"/>
      <c r="I61" s="50">
        <f t="shared" si="6"/>
        <v>-141518.98089</v>
      </c>
      <c r="J61" s="53"/>
      <c r="K61" s="50">
        <v>0</v>
      </c>
      <c r="L61" s="50">
        <v>0</v>
      </c>
      <c r="M61" s="53"/>
      <c r="N61" s="50">
        <f t="shared" si="7"/>
        <v>-141518.98089</v>
      </c>
      <c r="P61" s="104"/>
    </row>
    <row r="62" spans="1:16" ht="12.75">
      <c r="A62" s="49">
        <v>55</v>
      </c>
      <c r="B62" s="49" t="s">
        <v>267</v>
      </c>
      <c r="C62" s="58">
        <v>-20320377.14</v>
      </c>
      <c r="D62" s="58">
        <v>-10796809.211035239</v>
      </c>
      <c r="E62" s="53"/>
      <c r="F62" s="50">
        <v>0</v>
      </c>
      <c r="G62" s="50">
        <v>0</v>
      </c>
      <c r="H62" s="53"/>
      <c r="I62" s="50">
        <f t="shared" si="6"/>
        <v>-10796809.211035239</v>
      </c>
      <c r="J62" s="53"/>
      <c r="K62" s="50">
        <v>0</v>
      </c>
      <c r="L62" s="50">
        <v>0</v>
      </c>
      <c r="M62" s="53"/>
      <c r="N62" s="50">
        <f t="shared" si="7"/>
        <v>-10796809.211035239</v>
      </c>
      <c r="P62" s="104"/>
    </row>
    <row r="63" spans="1:16" ht="12.75">
      <c r="A63" s="49">
        <v>56</v>
      </c>
      <c r="B63" s="49" t="s">
        <v>268</v>
      </c>
      <c r="C63" s="58">
        <v>-10056592</v>
      </c>
      <c r="D63" s="58">
        <v>-10056592</v>
      </c>
      <c r="E63" s="53"/>
      <c r="F63" s="50">
        <v>0</v>
      </c>
      <c r="G63" s="50">
        <v>0</v>
      </c>
      <c r="H63" s="53"/>
      <c r="I63" s="50">
        <f t="shared" si="6"/>
        <v>-10056592</v>
      </c>
      <c r="J63" s="53"/>
      <c r="K63" s="50">
        <v>0</v>
      </c>
      <c r="L63" s="50">
        <v>0</v>
      </c>
      <c r="M63" s="53"/>
      <c r="N63" s="50">
        <f t="shared" si="7"/>
        <v>-10056592</v>
      </c>
      <c r="P63" s="104"/>
    </row>
    <row r="64" spans="1:16" ht="12.75">
      <c r="A64" s="49">
        <v>57</v>
      </c>
      <c r="B64" s="49" t="s">
        <v>269</v>
      </c>
      <c r="C64" s="108">
        <v>-79116466.68282005</v>
      </c>
      <c r="D64" s="108">
        <v>-31081781.318832338</v>
      </c>
      <c r="E64" s="53"/>
      <c r="F64" s="52">
        <v>0</v>
      </c>
      <c r="G64" s="52">
        <v>-210916.89650151134</v>
      </c>
      <c r="H64" s="53"/>
      <c r="I64" s="52">
        <f t="shared" si="6"/>
        <v>-31292698.21533385</v>
      </c>
      <c r="J64" s="53"/>
      <c r="K64" s="52">
        <v>2975.698663920164</v>
      </c>
      <c r="L64" s="52">
        <v>1378.352071903646</v>
      </c>
      <c r="M64" s="53"/>
      <c r="N64" s="52">
        <f t="shared" si="7"/>
        <v>-31288344.164598025</v>
      </c>
      <c r="P64" s="104"/>
    </row>
    <row r="65" spans="1:14" ht="12.75" hidden="1">
      <c r="A65" s="49">
        <v>58</v>
      </c>
      <c r="B65" s="49"/>
      <c r="C65" s="58"/>
      <c r="D65" s="58"/>
      <c r="E65" s="53"/>
      <c r="F65" s="50"/>
      <c r="G65" s="50"/>
      <c r="H65" s="53"/>
      <c r="I65" s="50" t="s">
        <v>0</v>
      </c>
      <c r="J65" s="53"/>
      <c r="K65" s="50"/>
      <c r="L65" s="50"/>
      <c r="M65" s="53"/>
      <c r="N65" s="50" t="s">
        <v>0</v>
      </c>
    </row>
    <row r="66" spans="1:16" ht="12.75">
      <c r="A66" s="49">
        <v>59</v>
      </c>
      <c r="B66" s="49" t="s">
        <v>270</v>
      </c>
      <c r="C66" s="79">
        <v>-9180571602.891626</v>
      </c>
      <c r="D66" s="79">
        <v>-3714290240.587285</v>
      </c>
      <c r="E66" s="53"/>
      <c r="F66" s="53">
        <v>0</v>
      </c>
      <c r="G66" s="53">
        <v>-490069.9701228142</v>
      </c>
      <c r="H66" s="53"/>
      <c r="I66" s="53">
        <f>SUM(D66:G66)</f>
        <v>-3714780310.557408</v>
      </c>
      <c r="J66" s="53"/>
      <c r="K66" s="53">
        <v>-5695935.83352375</v>
      </c>
      <c r="L66" s="53">
        <v>-14825656.371487617</v>
      </c>
      <c r="M66" s="53"/>
      <c r="N66" s="53">
        <f>SUM(I66:L66)</f>
        <v>-3735301902.762419</v>
      </c>
      <c r="P66" s="104"/>
    </row>
    <row r="67" spans="1:14" ht="12.75">
      <c r="A67" s="49">
        <v>60</v>
      </c>
      <c r="B67" s="49"/>
      <c r="C67" s="58"/>
      <c r="D67" s="58"/>
      <c r="E67" s="53"/>
      <c r="F67" s="50"/>
      <c r="G67" s="50"/>
      <c r="H67" s="53"/>
      <c r="I67" s="50" t="s">
        <v>0</v>
      </c>
      <c r="J67" s="53"/>
      <c r="K67" s="50"/>
      <c r="L67" s="50"/>
      <c r="M67" s="53"/>
      <c r="N67" s="50" t="s">
        <v>0</v>
      </c>
    </row>
    <row r="68" spans="1:16" ht="13.5" thickBot="1">
      <c r="A68" s="49">
        <v>61</v>
      </c>
      <c r="B68" s="49" t="s">
        <v>271</v>
      </c>
      <c r="C68" s="109">
        <v>11047456463.774698</v>
      </c>
      <c r="D68" s="109">
        <v>4628442499.377705</v>
      </c>
      <c r="E68" s="53"/>
      <c r="F68" s="54">
        <v>179375.4382162094</v>
      </c>
      <c r="G68" s="54">
        <v>213108772.31819344</v>
      </c>
      <c r="H68" s="53"/>
      <c r="I68" s="54">
        <f>SUM(D68:G68)</f>
        <v>4841730647.134114</v>
      </c>
      <c r="J68" s="53"/>
      <c r="K68" s="54">
        <v>219160412.57164383</v>
      </c>
      <c r="L68" s="54">
        <v>93686866.18130302</v>
      </c>
      <c r="M68" s="53"/>
      <c r="N68" s="54">
        <f>SUM(I68:L68)</f>
        <v>5154577925.887061</v>
      </c>
      <c r="P68" s="104"/>
    </row>
    <row r="69" spans="1:14" ht="13.5" thickTop="1">
      <c r="A69" s="49">
        <v>62</v>
      </c>
      <c r="B69" s="49"/>
      <c r="C69" s="110"/>
      <c r="D69" s="110"/>
      <c r="E69" s="76"/>
      <c r="F69" s="55"/>
      <c r="G69" s="55"/>
      <c r="H69" s="76"/>
      <c r="I69" s="55" t="s">
        <v>0</v>
      </c>
      <c r="J69" s="76"/>
      <c r="K69" s="55"/>
      <c r="L69" s="55"/>
      <c r="M69" s="76"/>
      <c r="N69" s="55" t="s">
        <v>0</v>
      </c>
    </row>
    <row r="70" spans="1:16" ht="12.75">
      <c r="A70" s="49">
        <v>63</v>
      </c>
      <c r="B70" s="49" t="s">
        <v>272</v>
      </c>
      <c r="C70" s="111">
        <v>0.07544639488562457</v>
      </c>
      <c r="D70" s="111">
        <v>0.08100498569062026</v>
      </c>
      <c r="E70" s="77"/>
      <c r="F70" s="56">
        <v>0.004352488049907885</v>
      </c>
      <c r="G70" s="56">
        <v>-0.004042068725380016</v>
      </c>
      <c r="H70" s="77"/>
      <c r="I70" s="56">
        <f>SUM(D70:G70)</f>
        <v>0.08131540501514813</v>
      </c>
      <c r="J70" s="77"/>
      <c r="K70" s="56">
        <v>-0.003757425008926618</v>
      </c>
      <c r="L70" s="56">
        <v>-0.000801644188503009</v>
      </c>
      <c r="M70" s="77"/>
      <c r="N70" s="56">
        <f>SUM(I70:L70)</f>
        <v>0.0767563358177185</v>
      </c>
      <c r="P70" s="104"/>
    </row>
    <row r="71" spans="1:14" ht="12.75" hidden="1">
      <c r="A71" s="49">
        <v>64</v>
      </c>
      <c r="B71" s="49"/>
      <c r="C71" s="111"/>
      <c r="D71" s="111"/>
      <c r="E71" s="77"/>
      <c r="F71" s="56"/>
      <c r="G71" s="56"/>
      <c r="H71" s="77"/>
      <c r="I71" s="56" t="s">
        <v>0</v>
      </c>
      <c r="J71" s="77"/>
      <c r="K71" s="56"/>
      <c r="L71" s="56"/>
      <c r="M71" s="77"/>
      <c r="N71" s="56" t="s">
        <v>0</v>
      </c>
    </row>
    <row r="72" spans="1:16" ht="12.75">
      <c r="A72" s="49">
        <v>65</v>
      </c>
      <c r="B72" s="49" t="s">
        <v>273</v>
      </c>
      <c r="C72" s="111">
        <v>0.09051273506985211</v>
      </c>
      <c r="D72" s="111">
        <v>0.1014119327267064</v>
      </c>
      <c r="E72" s="77"/>
      <c r="F72" s="56">
        <v>0.008534290293937027</v>
      </c>
      <c r="G72" s="56">
        <v>-0.007925624951725524</v>
      </c>
      <c r="H72" s="77"/>
      <c r="I72" s="56">
        <f>SUM(D72:G72)</f>
        <v>0.1020205980689179</v>
      </c>
      <c r="J72" s="77"/>
      <c r="K72" s="56">
        <v>-0.0073675000175031785</v>
      </c>
      <c r="L72" s="56">
        <v>-0.0015718513500058984</v>
      </c>
      <c r="M72" s="77"/>
      <c r="N72" s="56">
        <f>SUM(I72:L72)</f>
        <v>0.09308124670140883</v>
      </c>
      <c r="P72" s="104"/>
    </row>
    <row r="73" spans="1:16" ht="12.75">
      <c r="A73" s="49">
        <v>66</v>
      </c>
      <c r="B73" s="49"/>
      <c r="C73" s="110"/>
      <c r="D73" s="110"/>
      <c r="E73" s="77"/>
      <c r="F73" s="56"/>
      <c r="G73" s="56"/>
      <c r="H73" s="77"/>
      <c r="I73" s="56"/>
      <c r="J73" s="77"/>
      <c r="K73" s="56"/>
      <c r="L73" s="56"/>
      <c r="M73" s="77"/>
      <c r="N73" s="56"/>
      <c r="P73" s="104"/>
    </row>
    <row r="74" spans="1:16" ht="12.75">
      <c r="A74" s="49">
        <v>67</v>
      </c>
      <c r="B74" s="49" t="s">
        <v>342</v>
      </c>
      <c r="C74" s="110"/>
      <c r="D74" s="110"/>
      <c r="E74" s="77"/>
      <c r="F74" s="56"/>
      <c r="G74" s="56"/>
      <c r="H74" s="77"/>
      <c r="I74" s="56"/>
      <c r="J74" s="77"/>
      <c r="K74" s="56"/>
      <c r="L74" s="56"/>
      <c r="M74" s="77"/>
      <c r="N74" s="56"/>
      <c r="P74" s="104"/>
    </row>
    <row r="75" spans="1:16" ht="12.75">
      <c r="A75" s="49">
        <v>68</v>
      </c>
      <c r="B75" s="49" t="s">
        <v>343</v>
      </c>
      <c r="C75" s="79"/>
      <c r="D75" s="58">
        <v>477245392.86716276</v>
      </c>
      <c r="E75" s="77"/>
      <c r="F75" s="58">
        <v>32422750.99999994</v>
      </c>
      <c r="G75" s="58">
        <v>-6302194.9750781655</v>
      </c>
      <c r="H75" s="77"/>
      <c r="I75" s="58">
        <f>SUM(D75:G75)</f>
        <v>503365948.89208454</v>
      </c>
      <c r="J75" s="77"/>
      <c r="K75" s="58">
        <v>-5721092.985570669</v>
      </c>
      <c r="L75" s="58">
        <v>-1701563.5846568942</v>
      </c>
      <c r="M75" s="77"/>
      <c r="N75" s="58">
        <f>SUM(I75:L75)</f>
        <v>495943292.321857</v>
      </c>
      <c r="P75" s="104"/>
    </row>
    <row r="76" spans="1:16" ht="12.75" hidden="1">
      <c r="A76" s="49">
        <v>69</v>
      </c>
      <c r="B76" s="49" t="s">
        <v>344</v>
      </c>
      <c r="C76" s="79"/>
      <c r="D76" s="58"/>
      <c r="E76" s="77"/>
      <c r="F76" s="58"/>
      <c r="G76" s="58"/>
      <c r="H76" s="77"/>
      <c r="I76" s="58"/>
      <c r="J76" s="77"/>
      <c r="K76" s="58"/>
      <c r="L76" s="58"/>
      <c r="M76" s="77"/>
      <c r="N76" s="58"/>
      <c r="P76" s="104"/>
    </row>
    <row r="77" spans="1:16" ht="12.75">
      <c r="A77" s="49">
        <v>70</v>
      </c>
      <c r="B77" s="49" t="s">
        <v>345</v>
      </c>
      <c r="C77" s="79"/>
      <c r="D77" s="58">
        <v>-48936103.517178014</v>
      </c>
      <c r="E77" s="77"/>
      <c r="F77" s="58">
        <v>0</v>
      </c>
      <c r="G77" s="58">
        <v>75069.31393031776</v>
      </c>
      <c r="H77" s="77"/>
      <c r="I77" s="58">
        <f>SUM(D77:G77)</f>
        <v>-48861034.203247696</v>
      </c>
      <c r="J77" s="77"/>
      <c r="K77" s="58">
        <v>69839.18085703254</v>
      </c>
      <c r="L77" s="58">
        <v>31245.178066402674</v>
      </c>
      <c r="M77" s="77"/>
      <c r="N77" s="58">
        <f>SUM(I77:L77)</f>
        <v>-48759949.84432426</v>
      </c>
      <c r="P77" s="104"/>
    </row>
    <row r="78" spans="1:16" ht="12.75">
      <c r="A78" s="49">
        <v>71</v>
      </c>
      <c r="B78" s="49" t="s">
        <v>164</v>
      </c>
      <c r="C78" s="79"/>
      <c r="D78" s="58">
        <v>134792279.53237712</v>
      </c>
      <c r="E78" s="77"/>
      <c r="F78" s="58">
        <v>5223.879137009382</v>
      </c>
      <c r="G78" s="58">
        <v>6206281.532713771</v>
      </c>
      <c r="H78" s="77"/>
      <c r="I78" s="58">
        <f>SUM(D78:G78)</f>
        <v>141003784.9442279</v>
      </c>
      <c r="J78" s="77"/>
      <c r="K78" s="58">
        <v>6382521.031158984</v>
      </c>
      <c r="L78" s="58">
        <v>2728405.129051596</v>
      </c>
      <c r="M78" s="77"/>
      <c r="N78" s="58">
        <f>SUM(I78:L78)</f>
        <v>150114711.10443848</v>
      </c>
      <c r="P78" s="104"/>
    </row>
    <row r="79" spans="1:16" ht="12.75">
      <c r="A79" s="49">
        <v>72</v>
      </c>
      <c r="B79" s="49" t="s">
        <v>346</v>
      </c>
      <c r="C79" s="79"/>
      <c r="D79" s="58">
        <v>313305899.9100183</v>
      </c>
      <c r="E79" s="77"/>
      <c r="F79" s="58">
        <v>0</v>
      </c>
      <c r="G79" s="58">
        <v>5650332.429189801</v>
      </c>
      <c r="H79" s="77"/>
      <c r="I79" s="58">
        <f>SUM(D79:G79)</f>
        <v>318956232.3392081</v>
      </c>
      <c r="J79" s="77"/>
      <c r="K79" s="58">
        <v>4514413.774563789</v>
      </c>
      <c r="L79" s="58">
        <v>4313666.486305773</v>
      </c>
      <c r="M79" s="77"/>
      <c r="N79" s="58">
        <f>SUM(I79:L79)</f>
        <v>327784312.6000777</v>
      </c>
      <c r="P79" s="104"/>
    </row>
    <row r="80" spans="1:16" ht="12.75">
      <c r="A80" s="49">
        <v>73</v>
      </c>
      <c r="B80" s="49" t="s">
        <v>347</v>
      </c>
      <c r="C80" s="79"/>
      <c r="D80" s="108">
        <v>657332790.563416</v>
      </c>
      <c r="E80" s="77"/>
      <c r="F80" s="108">
        <v>0</v>
      </c>
      <c r="G80" s="108">
        <v>22984580.3597008</v>
      </c>
      <c r="H80" s="77"/>
      <c r="I80" s="108">
        <f>SUM(D80:G80)</f>
        <v>680317370.9231168</v>
      </c>
      <c r="J80" s="77"/>
      <c r="K80" s="108">
        <v>19319934.80057597</v>
      </c>
      <c r="L80" s="108">
        <v>32815973.010710716</v>
      </c>
      <c r="M80" s="77"/>
      <c r="N80" s="108">
        <f>SUM(I80:L80)</f>
        <v>732453278.7344035</v>
      </c>
      <c r="P80" s="104"/>
    </row>
    <row r="81" spans="1:16" ht="12.75">
      <c r="A81" s="49">
        <v>74</v>
      </c>
      <c r="B81" s="49" t="s">
        <v>348</v>
      </c>
      <c r="C81" s="79"/>
      <c r="D81" s="58">
        <v>47362326.19856596</v>
      </c>
      <c r="E81" s="77"/>
      <c r="F81" s="58">
        <v>32417527.12086296</v>
      </c>
      <c r="G81" s="58">
        <v>-29917793.752233267</v>
      </c>
      <c r="H81" s="77"/>
      <c r="I81" s="58">
        <f>SUM(D81:G81)</f>
        <v>49862059.567195654</v>
      </c>
      <c r="J81" s="77"/>
      <c r="K81" s="58">
        <v>-26978974.223598957</v>
      </c>
      <c r="L81" s="58">
        <v>-32963520.416179895</v>
      </c>
      <c r="M81" s="77"/>
      <c r="N81" s="58">
        <f>SUM(I81:L81)</f>
        <v>-10080435.072583199</v>
      </c>
      <c r="P81" s="104"/>
    </row>
    <row r="82" spans="1:16" ht="12.75">
      <c r="A82" s="49">
        <v>75</v>
      </c>
      <c r="B82" s="49"/>
      <c r="C82" s="79"/>
      <c r="D82" s="58"/>
      <c r="E82" s="77"/>
      <c r="F82" s="58"/>
      <c r="G82" s="58"/>
      <c r="H82" s="77"/>
      <c r="I82" s="58"/>
      <c r="J82" s="77"/>
      <c r="K82" s="58"/>
      <c r="L82" s="58"/>
      <c r="M82" s="77"/>
      <c r="N82" s="58"/>
      <c r="P82" s="104"/>
    </row>
    <row r="83" spans="1:16" ht="12.75">
      <c r="A83" s="49">
        <v>76</v>
      </c>
      <c r="B83" s="49" t="s">
        <v>349</v>
      </c>
      <c r="C83" s="79"/>
      <c r="D83" s="108">
        <v>781122.9823070455</v>
      </c>
      <c r="E83" s="77"/>
      <c r="F83" s="108">
        <v>1409330.471041894</v>
      </c>
      <c r="G83" s="108">
        <v>-1720370.9817676202</v>
      </c>
      <c r="H83" s="77"/>
      <c r="I83" s="108">
        <f>SUM(D83:G83)</f>
        <v>470082.4715813191</v>
      </c>
      <c r="J83" s="77"/>
      <c r="K83" s="108">
        <v>-1224845.4283192374</v>
      </c>
      <c r="L83" s="108">
        <v>-1496543.8277366813</v>
      </c>
      <c r="M83" s="77"/>
      <c r="N83" s="108">
        <f>SUM(I83:L83)</f>
        <v>-2251306.7844745996</v>
      </c>
      <c r="P83" s="104"/>
    </row>
    <row r="84" spans="1:16" ht="13.5" thickBot="1">
      <c r="A84" s="49">
        <v>77</v>
      </c>
      <c r="B84" s="49" t="s">
        <v>350</v>
      </c>
      <c r="C84" s="79"/>
      <c r="D84" s="112">
        <v>46581203.21625891</v>
      </c>
      <c r="E84" s="77"/>
      <c r="F84" s="112">
        <v>31008196.649821065</v>
      </c>
      <c r="G84" s="112">
        <v>-28197422.770465642</v>
      </c>
      <c r="H84" s="77"/>
      <c r="I84" s="112">
        <f>SUM(D84:G84)</f>
        <v>49391977.095614344</v>
      </c>
      <c r="J84" s="77"/>
      <c r="K84" s="112">
        <v>-25754128.795279723</v>
      </c>
      <c r="L84" s="112">
        <v>-31466976.588443212</v>
      </c>
      <c r="M84" s="77"/>
      <c r="N84" s="112">
        <f>SUM(I84:L84)</f>
        <v>-7829128.288108591</v>
      </c>
      <c r="P84" s="104"/>
    </row>
    <row r="85" spans="1:16" ht="13.5" hidden="1" thickTop="1">
      <c r="A85" s="49">
        <v>78</v>
      </c>
      <c r="B85" s="49"/>
      <c r="C85" s="79"/>
      <c r="D85" s="58"/>
      <c r="E85" s="77"/>
      <c r="F85" s="58"/>
      <c r="G85" s="58"/>
      <c r="H85" s="77"/>
      <c r="I85" s="58"/>
      <c r="J85" s="77"/>
      <c r="K85" s="58"/>
      <c r="L85" s="58"/>
      <c r="M85" s="77"/>
      <c r="N85" s="58"/>
      <c r="P85" s="104"/>
    </row>
    <row r="86" spans="1:16" ht="14.25" thickBot="1" thickTop="1">
      <c r="A86" s="49">
        <v>79</v>
      </c>
      <c r="B86" s="113" t="s">
        <v>351</v>
      </c>
      <c r="C86" s="79"/>
      <c r="D86" s="109">
        <v>-7755186.86687047</v>
      </c>
      <c r="E86" s="77"/>
      <c r="F86" s="109">
        <v>10852868.827437269</v>
      </c>
      <c r="G86" s="109">
        <v>-9869097.969662849</v>
      </c>
      <c r="H86" s="77"/>
      <c r="I86" s="109">
        <f>SUM(D86:G86)</f>
        <v>-6771416.009096051</v>
      </c>
      <c r="J86" s="77"/>
      <c r="K86" s="109">
        <v>-9013945.078348612</v>
      </c>
      <c r="L86" s="109">
        <v>-14213111.722545767</v>
      </c>
      <c r="M86" s="77"/>
      <c r="N86" s="109">
        <f>SUM(I86:L86)</f>
        <v>-29998472.80999043</v>
      </c>
      <c r="P86" s="104"/>
    </row>
    <row r="87" spans="3:16" ht="13.5" thickTop="1">
      <c r="C87" s="114"/>
      <c r="D87" s="114"/>
      <c r="E87" s="77"/>
      <c r="F87" s="56"/>
      <c r="G87" s="56"/>
      <c r="H87" s="77"/>
      <c r="I87" s="56"/>
      <c r="J87" s="77"/>
      <c r="K87" s="56"/>
      <c r="L87" s="56"/>
      <c r="M87" s="77"/>
      <c r="N87" s="56"/>
      <c r="P87" s="104"/>
    </row>
    <row r="88" spans="1:14" ht="30" customHeight="1">
      <c r="A88" s="32"/>
      <c r="B88" s="115" t="s">
        <v>353</v>
      </c>
      <c r="C88" s="57"/>
      <c r="D88" s="58"/>
      <c r="E88" s="78"/>
      <c r="F88" s="81">
        <v>-124070.07645149902</v>
      </c>
      <c r="G88" s="81">
        <v>30924070.07251302</v>
      </c>
      <c r="H88" s="103"/>
      <c r="I88" s="116">
        <f>F88+G88</f>
        <v>30799999.996061523</v>
      </c>
      <c r="J88" s="103"/>
      <c r="K88" s="81">
        <v>31439413.35879357</v>
      </c>
      <c r="L88" s="81">
        <v>7551480.258255675</v>
      </c>
      <c r="M88" s="103"/>
      <c r="N88" s="116">
        <f>K88+L88</f>
        <v>38990893.61704925</v>
      </c>
    </row>
    <row r="89" spans="1:16" ht="12.75">
      <c r="A89" s="32"/>
      <c r="B89" s="71"/>
      <c r="C89" s="57"/>
      <c r="D89" s="58"/>
      <c r="E89" s="79"/>
      <c r="P89" s="104"/>
    </row>
    <row r="90" spans="1:14" ht="13.5" thickBot="1">
      <c r="A90" s="32"/>
      <c r="B90" s="115" t="s">
        <v>354</v>
      </c>
      <c r="C90" s="57"/>
      <c r="D90" s="58"/>
      <c r="E90" s="79"/>
      <c r="F90" s="50"/>
      <c r="G90" s="50"/>
      <c r="H90" s="53"/>
      <c r="I90" s="50"/>
      <c r="J90" s="53"/>
      <c r="K90" s="50"/>
      <c r="L90" s="50"/>
      <c r="M90" s="53"/>
      <c r="N90" s="117">
        <f>N88+I88</f>
        <v>69790893.61311077</v>
      </c>
    </row>
    <row r="91" ht="13.5" thickTop="1"/>
    <row r="93" spans="11:13" ht="12.75">
      <c r="K93" s="105"/>
      <c r="L93" s="105"/>
      <c r="M93" s="106"/>
    </row>
  </sheetData>
  <sheetProtection/>
  <mergeCells count="4">
    <mergeCell ref="C5:D5"/>
    <mergeCell ref="C6:D6"/>
    <mergeCell ref="F6:I6"/>
    <mergeCell ref="K6:N6"/>
  </mergeCells>
  <printOptions/>
  <pageMargins left="1" right="0.55" top="0.77" bottom="0.31" header="0.77" footer="0.3"/>
  <pageSetup fitToHeight="1" fitToWidth="1" horizontalDpi="600" verticalDpi="600" orientation="portrait" scale="58" r:id="rId1"/>
  <headerFooter alignWithMargins="0">
    <oddHeader>&amp;RPage 1.0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L37"/>
  <sheetViews>
    <sheetView zoomScaleSheetLayoutView="100" zoomScalePageLayoutView="0" workbookViewId="0" topLeftCell="A1">
      <selection activeCell="B5" sqref="B5"/>
    </sheetView>
  </sheetViews>
  <sheetFormatPr defaultColWidth="12.57421875" defaultRowHeight="12.75"/>
  <cols>
    <col min="1" max="1" width="5.57421875" style="229" customWidth="1"/>
    <col min="2" max="2" width="43.8515625" style="229" bestFit="1" customWidth="1"/>
    <col min="3" max="3" width="5.7109375" style="229" customWidth="1"/>
    <col min="4" max="4" width="11.28125" style="229" bestFit="1" customWidth="1"/>
    <col min="5" max="12" width="12.8515625" style="229" customWidth="1"/>
    <col min="13" max="16384" width="12.57421875" style="229" customWidth="1"/>
  </cols>
  <sheetData>
    <row r="1" ht="12.75">
      <c r="A1" s="1" t="s">
        <v>13</v>
      </c>
    </row>
    <row r="2" ht="12.75">
      <c r="A2" s="1" t="s">
        <v>220</v>
      </c>
    </row>
    <row r="3" ht="12.75">
      <c r="A3" s="180" t="s">
        <v>436</v>
      </c>
    </row>
    <row r="4" ht="12.75">
      <c r="A4" s="179" t="s">
        <v>459</v>
      </c>
    </row>
    <row r="7" spans="1:4" ht="12.75">
      <c r="A7" s="283" t="s">
        <v>512</v>
      </c>
      <c r="B7" s="283"/>
      <c r="C7" s="284"/>
      <c r="D7" s="285">
        <v>353605.72873880004</v>
      </c>
    </row>
    <row r="8" spans="1:4" ht="12.75">
      <c r="A8" s="282"/>
      <c r="B8" s="282"/>
      <c r="C8" s="282"/>
      <c r="D8" s="286"/>
    </row>
    <row r="9" spans="1:4" ht="12.75">
      <c r="A9" s="287" t="s">
        <v>514</v>
      </c>
      <c r="B9" s="282"/>
      <c r="C9" s="282"/>
      <c r="D9" s="282"/>
    </row>
    <row r="10" spans="1:4" ht="12.75">
      <c r="A10" s="288" t="s">
        <v>455</v>
      </c>
      <c r="B10" s="288"/>
      <c r="C10" s="282"/>
      <c r="D10" s="289">
        <f>'Dunlap l - REC Revenues'!L23+'Dunlap l - REC Revenues'!K23+'Dunlap l - REC Revenues'!J23+'Dunlap l - REC Revenues'!I23+'Dunlap l - REC Revenues'!H23</f>
        <v>0.7115371971636156</v>
      </c>
    </row>
    <row r="11" spans="1:4" ht="12.75">
      <c r="A11" s="290" t="s">
        <v>456</v>
      </c>
      <c r="B11" s="290"/>
      <c r="C11" s="282"/>
      <c r="D11" s="291">
        <f>D10*D7</f>
        <v>251603.62912780355</v>
      </c>
    </row>
    <row r="12" spans="1:4" ht="12.75">
      <c r="A12" s="282"/>
      <c r="B12" s="282"/>
      <c r="C12" s="282"/>
      <c r="D12" s="282"/>
    </row>
    <row r="13" spans="1:4" ht="12.75">
      <c r="A13" s="288" t="s">
        <v>457</v>
      </c>
      <c r="B13" s="282"/>
      <c r="C13" s="282"/>
      <c r="D13" s="292">
        <v>0.75</v>
      </c>
    </row>
    <row r="14" spans="1:4" ht="12.75">
      <c r="A14" s="293" t="s">
        <v>458</v>
      </c>
      <c r="B14" s="293"/>
      <c r="C14" s="293"/>
      <c r="D14" s="294">
        <f>D11*D13</f>
        <v>188702.72184585268</v>
      </c>
    </row>
    <row r="15" spans="1:4" ht="12.75">
      <c r="A15" s="282"/>
      <c r="B15" s="282"/>
      <c r="C15" s="282"/>
      <c r="D15" s="282"/>
    </row>
    <row r="16" spans="1:4" ht="12.75">
      <c r="A16" s="288" t="s">
        <v>513</v>
      </c>
      <c r="B16" s="288"/>
      <c r="D16" s="295">
        <f>D14*7</f>
        <v>1320919.0529209687</v>
      </c>
    </row>
    <row r="18" spans="1:12" ht="12.75">
      <c r="A18" s="234" t="s">
        <v>500</v>
      </c>
      <c r="D18" s="235">
        <f>D16</f>
        <v>1320919.0529209687</v>
      </c>
      <c r="E18" s="236" t="s">
        <v>329</v>
      </c>
      <c r="G18" s="237"/>
      <c r="I18" s="238"/>
      <c r="J18" s="238"/>
      <c r="K18" s="238"/>
      <c r="L18" s="238"/>
    </row>
    <row r="19" spans="1:12" ht="12.75">
      <c r="A19" s="233"/>
      <c r="B19" s="232"/>
      <c r="C19" s="233"/>
      <c r="D19" s="239"/>
      <c r="E19" s="233"/>
      <c r="G19" s="238"/>
      <c r="H19" s="238"/>
      <c r="I19" s="238"/>
      <c r="J19" s="238"/>
      <c r="K19" s="240"/>
      <c r="L19" s="236"/>
    </row>
    <row r="20" spans="1:12" ht="12.75">
      <c r="A20" s="232"/>
      <c r="B20" s="243"/>
      <c r="C20" s="232"/>
      <c r="D20" s="232"/>
      <c r="E20" s="242"/>
      <c r="F20" s="244"/>
      <c r="G20" s="232"/>
      <c r="H20" s="232"/>
      <c r="I20" s="232"/>
      <c r="J20" s="232"/>
      <c r="K20" s="242"/>
      <c r="L20" s="236"/>
    </row>
    <row r="21" spans="1:12" ht="12.75">
      <c r="A21" s="243" t="s">
        <v>446</v>
      </c>
      <c r="B21" s="230"/>
      <c r="C21" s="230"/>
      <c r="D21" s="232"/>
      <c r="E21" s="232"/>
      <c r="F21" s="232"/>
      <c r="G21" s="230"/>
      <c r="H21" s="230"/>
      <c r="I21" s="230"/>
      <c r="J21" s="230"/>
      <c r="K21" s="230"/>
      <c r="L21" s="230"/>
    </row>
    <row r="22" spans="1:12" ht="12.75">
      <c r="A22" s="230"/>
      <c r="B22" s="230"/>
      <c r="C22" s="245" t="s">
        <v>7</v>
      </c>
      <c r="D22" s="245" t="s">
        <v>6</v>
      </c>
      <c r="E22" s="245" t="s">
        <v>278</v>
      </c>
      <c r="F22" s="245" t="s">
        <v>447</v>
      </c>
      <c r="G22" s="246" t="s">
        <v>448</v>
      </c>
      <c r="H22" s="247" t="s">
        <v>92</v>
      </c>
      <c r="I22" s="246" t="s">
        <v>449</v>
      </c>
      <c r="J22" s="246" t="s">
        <v>450</v>
      </c>
      <c r="K22" s="246" t="s">
        <v>96</v>
      </c>
      <c r="L22" s="246" t="s">
        <v>451</v>
      </c>
    </row>
    <row r="23" spans="1:12" ht="12.75">
      <c r="A23" s="232"/>
      <c r="B23" s="232" t="s">
        <v>511</v>
      </c>
      <c r="C23" s="232"/>
      <c r="D23" s="248" t="s">
        <v>4</v>
      </c>
      <c r="E23" s="249">
        <f>SUM(F23:L23)</f>
        <v>1.0000000000000002</v>
      </c>
      <c r="F23" s="231">
        <v>0.01787511532310702</v>
      </c>
      <c r="G23" s="231">
        <v>0.2705876875132774</v>
      </c>
      <c r="H23" s="231">
        <v>0.07999384285568287</v>
      </c>
      <c r="I23" s="231">
        <v>0.1592114208040245</v>
      </c>
      <c r="J23" s="231">
        <v>0.4113042590825348</v>
      </c>
      <c r="K23" s="231">
        <v>0.057177371229841956</v>
      </c>
      <c r="L23" s="231">
        <v>0.0038503031915314745</v>
      </c>
    </row>
    <row r="24" spans="1:12" ht="13.5" thickBot="1">
      <c r="A24" s="232"/>
      <c r="B24" s="232"/>
      <c r="C24" s="232"/>
      <c r="D24" s="248"/>
      <c r="E24" s="249"/>
      <c r="F24" s="231"/>
      <c r="G24" s="231"/>
      <c r="H24" s="231"/>
      <c r="I24" s="231"/>
      <c r="J24" s="231"/>
      <c r="K24" s="231"/>
      <c r="L24" s="231"/>
    </row>
    <row r="25" spans="1:12" ht="12.75">
      <c r="A25" s="243" t="s">
        <v>452</v>
      </c>
      <c r="B25" s="232"/>
      <c r="C25" s="250">
        <v>1</v>
      </c>
      <c r="D25" s="250" t="s">
        <v>4</v>
      </c>
      <c r="E25" s="251">
        <f>D18</f>
        <v>1320919.0529209687</v>
      </c>
      <c r="F25" s="252">
        <f>$E$25*F23</f>
        <v>23611.580403451622</v>
      </c>
      <c r="G25" s="253">
        <f aca="true" t="shared" si="0" ref="G25:L25">$E$25*G23</f>
        <v>357424.4319221134</v>
      </c>
      <c r="H25" s="254">
        <f t="shared" si="0"/>
        <v>105665.39114443741</v>
      </c>
      <c r="I25" s="254">
        <f t="shared" si="0"/>
        <v>210305.39918265387</v>
      </c>
      <c r="J25" s="254">
        <f t="shared" si="0"/>
        <v>543299.6323696626</v>
      </c>
      <c r="K25" s="254">
        <f t="shared" si="0"/>
        <v>75526.67905343349</v>
      </c>
      <c r="L25" s="255">
        <f t="shared" si="0"/>
        <v>5085.938845216338</v>
      </c>
    </row>
    <row r="26" spans="1:12" ht="12.75">
      <c r="A26" s="232"/>
      <c r="B26" s="232"/>
      <c r="C26" s="250"/>
      <c r="D26" s="250"/>
      <c r="E26" s="256" t="s">
        <v>461</v>
      </c>
      <c r="F26" s="257"/>
      <c r="G26" s="258"/>
      <c r="H26" s="257"/>
      <c r="I26" s="257"/>
      <c r="J26" s="257"/>
      <c r="K26" s="257"/>
      <c r="L26" s="259"/>
    </row>
    <row r="27" spans="1:12" ht="12.75">
      <c r="A27" s="232"/>
      <c r="B27" s="260" t="s">
        <v>453</v>
      </c>
      <c r="C27" s="261">
        <v>1</v>
      </c>
      <c r="D27" s="250" t="s">
        <v>4</v>
      </c>
      <c r="E27" s="262">
        <f>(E25/(1-SUM($F$23:$G$23)))-E25</f>
        <v>535511.022957732</v>
      </c>
      <c r="F27" s="257">
        <f aca="true" t="shared" si="1" ref="F27:L27">$E$27*F23</f>
        <v>9572.32129216447</v>
      </c>
      <c r="G27" s="258">
        <f t="shared" si="1"/>
        <v>144902.68934000228</v>
      </c>
      <c r="H27" s="257">
        <f t="shared" si="1"/>
        <v>42837.58461796679</v>
      </c>
      <c r="I27" s="257">
        <f t="shared" si="1"/>
        <v>85259.4708213171</v>
      </c>
      <c r="J27" s="257">
        <f t="shared" si="1"/>
        <v>220257.96452816023</v>
      </c>
      <c r="K27" s="257">
        <f t="shared" si="1"/>
        <v>30619.112557326658</v>
      </c>
      <c r="L27" s="259">
        <f t="shared" si="1"/>
        <v>2061.87980079444</v>
      </c>
    </row>
    <row r="28" spans="1:12" ht="12.75">
      <c r="A28" s="232"/>
      <c r="B28" s="260" t="s">
        <v>453</v>
      </c>
      <c r="C28" s="261">
        <v>1</v>
      </c>
      <c r="D28" s="261" t="s">
        <v>100</v>
      </c>
      <c r="E28" s="263">
        <f>-E27</f>
        <v>-535511.022957732</v>
      </c>
      <c r="F28" s="264">
        <f>-SUM(F25:F27)</f>
        <v>-33183.90169561609</v>
      </c>
      <c r="G28" s="265">
        <f>-SUM(G25:G27)</f>
        <v>-502327.12126211566</v>
      </c>
      <c r="H28" s="266"/>
      <c r="I28" s="267"/>
      <c r="J28" s="267"/>
      <c r="K28" s="267"/>
      <c r="L28" s="268"/>
    </row>
    <row r="29" spans="1:12" ht="12.75">
      <c r="A29" s="232"/>
      <c r="B29" s="260"/>
      <c r="C29" s="261"/>
      <c r="D29" s="261"/>
      <c r="E29" s="256"/>
      <c r="F29" s="269" t="s">
        <v>461</v>
      </c>
      <c r="G29" s="270" t="s">
        <v>461</v>
      </c>
      <c r="H29" s="257"/>
      <c r="I29" s="43"/>
      <c r="J29" s="43"/>
      <c r="K29" s="43"/>
      <c r="L29" s="271"/>
    </row>
    <row r="30" spans="1:12" ht="13.5" thickBot="1">
      <c r="A30" s="272" t="s">
        <v>454</v>
      </c>
      <c r="B30" s="232"/>
      <c r="C30" s="238"/>
      <c r="D30" s="238"/>
      <c r="E30" s="273">
        <f>SUM(E25:E28)</f>
        <v>1320919.0529209687</v>
      </c>
      <c r="F30" s="274">
        <f aca="true" t="shared" si="2" ref="F30:L30">SUM(F25:F28)</f>
        <v>0</v>
      </c>
      <c r="G30" s="275">
        <f t="shared" si="2"/>
        <v>0</v>
      </c>
      <c r="H30" s="276">
        <f t="shared" si="2"/>
        <v>148502.9757624042</v>
      </c>
      <c r="I30" s="277">
        <f t="shared" si="2"/>
        <v>295564.870003971</v>
      </c>
      <c r="J30" s="277">
        <f t="shared" si="2"/>
        <v>763557.5968978228</v>
      </c>
      <c r="K30" s="277">
        <f t="shared" si="2"/>
        <v>106145.79161076015</v>
      </c>
      <c r="L30" s="278">
        <f t="shared" si="2"/>
        <v>7147.818646010779</v>
      </c>
    </row>
    <row r="31" spans="1:12" ht="12.75">
      <c r="A31" s="230"/>
      <c r="B31" s="232"/>
      <c r="C31" s="230"/>
      <c r="D31" s="230"/>
      <c r="E31" s="279"/>
      <c r="F31" s="279"/>
      <c r="G31" s="279"/>
      <c r="H31" s="43"/>
      <c r="I31" s="43"/>
      <c r="J31" s="43"/>
      <c r="K31" s="43"/>
      <c r="L31" s="43"/>
    </row>
    <row r="32" spans="2:12" ht="12.75">
      <c r="B32" s="232"/>
      <c r="C32" s="230"/>
      <c r="D32" s="230"/>
      <c r="E32" s="239"/>
      <c r="F32" s="239"/>
      <c r="G32" s="239"/>
      <c r="H32" s="239"/>
      <c r="I32" s="239"/>
      <c r="J32" s="239"/>
      <c r="K32" s="239"/>
      <c r="L32" s="239"/>
    </row>
    <row r="33" spans="1:12" ht="12.75">
      <c r="A33" s="230"/>
      <c r="B33" s="232"/>
      <c r="C33" s="230"/>
      <c r="D33" s="230"/>
      <c r="E33" s="239"/>
      <c r="F33" s="239"/>
      <c r="G33" s="239"/>
      <c r="H33" s="239"/>
      <c r="I33" s="239"/>
      <c r="J33" s="239"/>
      <c r="K33" s="239"/>
      <c r="L33" s="239"/>
    </row>
    <row r="34" spans="1:12" ht="12.75">
      <c r="A34" s="230"/>
      <c r="B34" s="232"/>
      <c r="C34" s="230"/>
      <c r="D34" s="230"/>
      <c r="E34" s="239"/>
      <c r="F34" s="239"/>
      <c r="G34" s="239"/>
      <c r="H34" s="239"/>
      <c r="I34" s="239"/>
      <c r="J34" s="239"/>
      <c r="K34" s="239"/>
      <c r="L34" s="239"/>
    </row>
    <row r="37" spans="4:12" ht="12.75">
      <c r="D37" s="280"/>
      <c r="E37" s="281"/>
      <c r="F37" s="281"/>
      <c r="G37" s="281"/>
      <c r="H37" s="281"/>
      <c r="I37" s="281"/>
      <c r="J37" s="281"/>
      <c r="K37" s="281"/>
      <c r="L37" s="281"/>
    </row>
  </sheetData>
  <sheetProtection/>
  <printOptions/>
  <pageMargins left="0.7" right="0.7" top="1" bottom="0.75" header="0.3" footer="0.3"/>
  <pageSetup fitToHeight="1" fitToWidth="1" horizontalDpi="600" verticalDpi="600" orientation="landscape" scale="74" r:id="rId1"/>
  <headerFooter alignWithMargins="0">
    <oddFooter>&amp;CPage 3.4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H12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7.28125" style="182" bestFit="1" customWidth="1"/>
    <col min="2" max="2" width="15.00390625" style="182" bestFit="1" customWidth="1"/>
    <col min="3" max="3" width="21.421875" style="182" bestFit="1" customWidth="1"/>
    <col min="4" max="4" width="16.421875" style="182" bestFit="1" customWidth="1"/>
    <col min="5" max="5" width="12.7109375" style="182" bestFit="1" customWidth="1"/>
    <col min="6" max="6" width="15.8515625" style="182" bestFit="1" customWidth="1"/>
    <col min="7" max="7" width="15.00390625" style="182" customWidth="1"/>
    <col min="8" max="8" width="17.00390625" style="182" customWidth="1"/>
    <col min="9" max="16384" width="9.140625" style="182" customWidth="1"/>
  </cols>
  <sheetData>
    <row r="1" spans="1:8" ht="12.75">
      <c r="A1" s="200" t="s">
        <v>13</v>
      </c>
      <c r="B1" s="200"/>
      <c r="C1" s="200"/>
      <c r="D1" s="200"/>
      <c r="E1" s="200"/>
      <c r="F1" s="200"/>
      <c r="G1" s="200"/>
      <c r="H1" s="200"/>
    </row>
    <row r="2" spans="1:8" ht="12.75">
      <c r="A2" s="180" t="s">
        <v>430</v>
      </c>
      <c r="B2" s="200"/>
      <c r="C2" s="200"/>
      <c r="D2" s="200"/>
      <c r="E2" s="200"/>
      <c r="F2" s="200"/>
      <c r="G2" s="200"/>
      <c r="H2" s="200"/>
    </row>
    <row r="3" spans="1:8" ht="12.75">
      <c r="A3" s="200" t="s">
        <v>437</v>
      </c>
      <c r="B3" s="200"/>
      <c r="C3" s="200"/>
      <c r="D3" s="200"/>
      <c r="E3" s="200"/>
      <c r="F3" s="200"/>
      <c r="G3" s="200"/>
      <c r="H3" s="200"/>
    </row>
    <row r="4" ht="12.75">
      <c r="E4" s="195" t="s">
        <v>374</v>
      </c>
    </row>
    <row r="5" spans="2:8" ht="13.5" thickBot="1">
      <c r="B5" s="195" t="s">
        <v>369</v>
      </c>
      <c r="C5" s="195" t="s">
        <v>371</v>
      </c>
      <c r="D5" s="353" t="s">
        <v>504</v>
      </c>
      <c r="E5" s="182" t="s">
        <v>421</v>
      </c>
      <c r="F5" s="353" t="s">
        <v>505</v>
      </c>
      <c r="G5" s="195" t="s">
        <v>383</v>
      </c>
      <c r="H5" s="195" t="s">
        <v>422</v>
      </c>
    </row>
    <row r="6" spans="2:8" ht="12.75">
      <c r="B6" s="217" t="s">
        <v>423</v>
      </c>
      <c r="C6" s="217" t="s">
        <v>370</v>
      </c>
      <c r="D6" s="217" t="s">
        <v>424</v>
      </c>
      <c r="E6" s="217" t="s">
        <v>425</v>
      </c>
      <c r="F6" s="217" t="s">
        <v>426</v>
      </c>
      <c r="G6" s="218" t="s">
        <v>427</v>
      </c>
      <c r="H6" s="219" t="s">
        <v>428</v>
      </c>
    </row>
    <row r="7" spans="2:8" ht="12.75">
      <c r="B7" s="220"/>
      <c r="C7" s="220"/>
      <c r="D7" s="220"/>
      <c r="E7" s="220"/>
      <c r="F7" s="220"/>
      <c r="G7" s="220"/>
      <c r="H7" s="221"/>
    </row>
    <row r="8" spans="1:8" ht="13.5" thickBot="1">
      <c r="A8" s="182" t="s">
        <v>429</v>
      </c>
      <c r="B8" s="184">
        <v>264512822</v>
      </c>
      <c r="C8" s="193">
        <v>0.676954</v>
      </c>
      <c r="D8" s="184">
        <f>B8*C8</f>
        <v>179063012.90418798</v>
      </c>
      <c r="E8" s="222">
        <v>0.115</v>
      </c>
      <c r="F8" s="184">
        <f>+D8*E8</f>
        <v>20592246.483981617</v>
      </c>
      <c r="G8" s="223">
        <v>60.247</v>
      </c>
      <c r="H8" s="224">
        <f>ROUND(+F8*G8/1000,-4)</f>
        <v>1240000</v>
      </c>
    </row>
    <row r="9" ht="12.75">
      <c r="H9" s="72" t="s">
        <v>329</v>
      </c>
    </row>
    <row r="10" spans="4:8" ht="12.75">
      <c r="D10" s="184"/>
      <c r="E10" s="184"/>
      <c r="F10" s="184"/>
      <c r="G10" s="184"/>
      <c r="H10" s="184"/>
    </row>
    <row r="11" spans="4:8" ht="12.75">
      <c r="D11" s="225"/>
      <c r="E11" s="225"/>
      <c r="F11" s="225"/>
      <c r="G11" s="225"/>
      <c r="H11" s="225"/>
    </row>
    <row r="12" spans="4:8" ht="12.75">
      <c r="D12" s="226"/>
      <c r="E12" s="226"/>
      <c r="F12" s="226"/>
      <c r="G12" s="226"/>
      <c r="H12" s="226"/>
    </row>
  </sheetData>
  <sheetProtection/>
  <printOptions/>
  <pageMargins left="0.7" right="0.7" top="0.75" bottom="0.75" header="0.3" footer="0.3"/>
  <pageSetup fitToHeight="1" fitToWidth="1" horizontalDpi="600" verticalDpi="600" orientation="landscape" scale="95" r:id="rId1"/>
  <headerFooter alignWithMargins="0">
    <oddFooter>&amp;CPage 3.5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9999"/>
  </sheetPr>
  <dimension ref="A1:C15"/>
  <sheetViews>
    <sheetView zoomScalePageLayoutView="0" workbookViewId="0" topLeftCell="A1">
      <selection activeCell="D18" sqref="D18"/>
    </sheetView>
  </sheetViews>
  <sheetFormatPr defaultColWidth="10.00390625" defaultRowHeight="12.75"/>
  <cols>
    <col min="1" max="1" width="35.140625" style="308" customWidth="1"/>
    <col min="2" max="2" width="17.00390625" style="308" bestFit="1" customWidth="1"/>
    <col min="3" max="3" width="8.28125" style="308" bestFit="1" customWidth="1"/>
    <col min="4" max="16384" width="10.00390625" style="308" customWidth="1"/>
  </cols>
  <sheetData>
    <row r="1" ht="13.5" customHeight="1">
      <c r="A1" s="1" t="s">
        <v>13</v>
      </c>
    </row>
    <row r="2" spans="1:3" s="297" customFormat="1" ht="13.5" customHeight="1">
      <c r="A2" s="1" t="s">
        <v>220</v>
      </c>
      <c r="B2" s="296"/>
      <c r="C2" s="296"/>
    </row>
    <row r="3" spans="1:3" s="297" customFormat="1" ht="13.5" customHeight="1">
      <c r="A3" s="180" t="s">
        <v>436</v>
      </c>
      <c r="B3" s="296"/>
      <c r="C3" s="296"/>
    </row>
    <row r="4" spans="1:3" s="297" customFormat="1" ht="13.5" customHeight="1">
      <c r="A4" s="309" t="s">
        <v>462</v>
      </c>
      <c r="B4" s="296"/>
      <c r="C4" s="296"/>
    </row>
    <row r="5" spans="1:3" s="297" customFormat="1" ht="18.75">
      <c r="A5" s="296"/>
      <c r="C5" s="298"/>
    </row>
    <row r="6" s="299" customFormat="1" ht="15.75"/>
    <row r="7" spans="1:3" s="345" customFormat="1" ht="15.75">
      <c r="A7" s="359"/>
      <c r="B7" s="360"/>
      <c r="C7" s="361"/>
    </row>
    <row r="8" spans="1:3" s="302" customFormat="1" ht="15.75">
      <c r="A8" s="300" t="s">
        <v>5</v>
      </c>
      <c r="B8" s="301" t="s">
        <v>463</v>
      </c>
      <c r="C8" s="346"/>
    </row>
    <row r="9" spans="1:3" s="299" customFormat="1" ht="15.75">
      <c r="A9" s="354"/>
      <c r="B9" s="357"/>
      <c r="C9" s="358"/>
    </row>
    <row r="10" spans="1:3" s="299" customFormat="1" ht="15.75">
      <c r="A10" s="303" t="s">
        <v>464</v>
      </c>
      <c r="B10" s="304">
        <v>353605728.73880005</v>
      </c>
      <c r="C10" s="347"/>
    </row>
    <row r="11" spans="1:3" s="299" customFormat="1" ht="15.75">
      <c r="A11" s="306" t="s">
        <v>465</v>
      </c>
      <c r="B11" s="355">
        <v>0.022</v>
      </c>
      <c r="C11" s="348"/>
    </row>
    <row r="12" spans="1:3" s="299" customFormat="1" ht="15.75">
      <c r="A12" s="356" t="s">
        <v>510</v>
      </c>
      <c r="B12" s="305">
        <f>ROUND(B10*B11,0)</f>
        <v>7779326</v>
      </c>
      <c r="C12" s="351" t="s">
        <v>329</v>
      </c>
    </row>
    <row r="13" spans="2:3" s="299" customFormat="1" ht="15.75">
      <c r="B13" s="307"/>
      <c r="C13" s="307"/>
    </row>
    <row r="14" spans="1:3" s="299" customFormat="1" ht="15.75">
      <c r="A14" s="343"/>
      <c r="B14" s="344"/>
      <c r="C14" s="344"/>
    </row>
    <row r="15" spans="1:3" ht="15.75">
      <c r="A15" s="345"/>
      <c r="B15" s="345"/>
      <c r="C15" s="345"/>
    </row>
  </sheetData>
  <sheetProtection/>
  <printOptions horizontalCentered="1"/>
  <pageMargins left="0.75" right="0.75" top="0.75" bottom="0.75" header="0.5" footer="0"/>
  <pageSetup horizontalDpi="600" verticalDpi="600" orientation="portrait" r:id="rId1"/>
  <headerFooter alignWithMargins="0">
    <oddHeader>&amp;RPage 3.6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M371"/>
  <sheetViews>
    <sheetView view="pageBreakPreview" zoomScale="60" zoomScaleNormal="60" zoomScalePageLayoutView="0" workbookViewId="0" topLeftCell="A1">
      <pane xSplit="1" ySplit="7" topLeftCell="B8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A4" sqref="A4"/>
    </sheetView>
  </sheetViews>
  <sheetFormatPr defaultColWidth="9.140625" defaultRowHeight="12.75"/>
  <cols>
    <col min="1" max="1" width="48.140625" style="84" customWidth="1"/>
    <col min="2" max="2" width="13.8515625" style="84" customWidth="1"/>
    <col min="3" max="3" width="13.421875" style="84" customWidth="1"/>
    <col min="4" max="4" width="12.57421875" style="84" customWidth="1"/>
    <col min="5" max="5" width="14.7109375" style="84" bestFit="1" customWidth="1"/>
    <col min="6" max="12" width="12.57421875" style="84" customWidth="1"/>
    <col min="13" max="13" width="17.00390625" style="84" bestFit="1" customWidth="1"/>
    <col min="14" max="16384" width="9.140625" style="84" customWidth="1"/>
  </cols>
  <sheetData>
    <row r="1" ht="12.75">
      <c r="A1" s="83" t="s">
        <v>13</v>
      </c>
    </row>
    <row r="2" ht="12.75">
      <c r="A2" s="85" t="s">
        <v>220</v>
      </c>
    </row>
    <row r="3" ht="12.75">
      <c r="A3" s="85" t="s">
        <v>314</v>
      </c>
    </row>
    <row r="5" ht="12.75">
      <c r="A5" s="86"/>
    </row>
    <row r="6" spans="1:7" ht="12.75">
      <c r="A6" s="87" t="s">
        <v>194</v>
      </c>
      <c r="B6" s="86" t="s">
        <v>325</v>
      </c>
      <c r="F6" s="84" t="s">
        <v>0</v>
      </c>
      <c r="G6" s="84" t="s">
        <v>0</v>
      </c>
    </row>
    <row r="7" spans="1:13" ht="12.75">
      <c r="A7" s="88" t="s">
        <v>89</v>
      </c>
      <c r="B7" s="89" t="s">
        <v>17</v>
      </c>
      <c r="C7" s="89" t="s">
        <v>90</v>
      </c>
      <c r="D7" s="89" t="s">
        <v>91</v>
      </c>
      <c r="E7" s="89" t="s">
        <v>92</v>
      </c>
      <c r="F7" s="89" t="s">
        <v>93</v>
      </c>
      <c r="G7" s="89" t="s">
        <v>94</v>
      </c>
      <c r="H7" s="89" t="s">
        <v>95</v>
      </c>
      <c r="I7" s="89" t="s">
        <v>96</v>
      </c>
      <c r="J7" s="89" t="s">
        <v>97</v>
      </c>
      <c r="K7" s="89" t="s">
        <v>98</v>
      </c>
      <c r="L7" s="89" t="s">
        <v>69</v>
      </c>
      <c r="M7" s="89" t="s">
        <v>99</v>
      </c>
    </row>
    <row r="8" spans="1:13" ht="12.75">
      <c r="A8" s="90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</row>
    <row r="9" spans="1:13" ht="12.75">
      <c r="A9" s="88" t="s">
        <v>330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</row>
    <row r="10" spans="1:13" ht="12.75">
      <c r="A10" s="92" t="s">
        <v>100</v>
      </c>
      <c r="B10" s="92" t="s">
        <v>101</v>
      </c>
      <c r="C10" s="93">
        <v>0</v>
      </c>
      <c r="D10" s="93">
        <v>0</v>
      </c>
      <c r="E10" s="93">
        <v>0</v>
      </c>
      <c r="F10" s="93">
        <v>0</v>
      </c>
      <c r="G10" s="93">
        <v>0</v>
      </c>
      <c r="H10" s="93">
        <v>1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</row>
    <row r="11" spans="1:13" ht="12.75">
      <c r="A11" s="94" t="s">
        <v>102</v>
      </c>
      <c r="B11" s="94" t="s">
        <v>4</v>
      </c>
      <c r="C11" s="95">
        <v>0.01787511532310702</v>
      </c>
      <c r="D11" s="95">
        <v>0.2705876875132774</v>
      </c>
      <c r="E11" s="95">
        <v>0.07999384285568287</v>
      </c>
      <c r="F11" s="95">
        <v>0</v>
      </c>
      <c r="G11" s="95">
        <v>0.12820402443901413</v>
      </c>
      <c r="H11" s="95">
        <v>0.4113042590825348</v>
      </c>
      <c r="I11" s="95">
        <v>0.057177371229841956</v>
      </c>
      <c r="J11" s="95">
        <v>0.03100739636501037</v>
      </c>
      <c r="K11" s="95">
        <v>0.0038503031915314745</v>
      </c>
      <c r="L11" s="341"/>
      <c r="M11" s="341"/>
    </row>
    <row r="12" spans="1:13" ht="12.75">
      <c r="A12" s="94" t="s">
        <v>103</v>
      </c>
      <c r="B12" s="94" t="s">
        <v>22</v>
      </c>
      <c r="C12" s="95">
        <v>0.01787511532310702</v>
      </c>
      <c r="D12" s="95">
        <v>0.2705876875132774</v>
      </c>
      <c r="E12" s="95">
        <v>0.07999384285568287</v>
      </c>
      <c r="F12" s="95">
        <v>0</v>
      </c>
      <c r="G12" s="95">
        <v>0.12820402443901413</v>
      </c>
      <c r="H12" s="95">
        <v>0.4113042590825348</v>
      </c>
      <c r="I12" s="95">
        <v>0.057177371229841956</v>
      </c>
      <c r="J12" s="95">
        <v>0.03100739636501037</v>
      </c>
      <c r="K12" s="95">
        <v>0.0038503031915314745</v>
      </c>
      <c r="L12" s="341"/>
      <c r="M12" s="341"/>
    </row>
    <row r="13" spans="1:13" ht="12.75">
      <c r="A13" s="94" t="s">
        <v>104</v>
      </c>
      <c r="B13" s="94" t="s">
        <v>23</v>
      </c>
      <c r="C13" s="95">
        <v>0.01787511532310702</v>
      </c>
      <c r="D13" s="95">
        <v>0.2705876875132774</v>
      </c>
      <c r="E13" s="95">
        <v>0.07999384285568287</v>
      </c>
      <c r="F13" s="95">
        <v>0</v>
      </c>
      <c r="G13" s="95">
        <v>0.12820402443901413</v>
      </c>
      <c r="H13" s="95">
        <v>0.4113042590825348</v>
      </c>
      <c r="I13" s="95">
        <v>0.057177371229841956</v>
      </c>
      <c r="J13" s="95">
        <v>0.03100739636501037</v>
      </c>
      <c r="K13" s="95">
        <v>0.0038503031915314745</v>
      </c>
      <c r="L13" s="341"/>
      <c r="M13" s="341"/>
    </row>
    <row r="14" spans="1:13" ht="12.75">
      <c r="A14" s="94" t="s">
        <v>105</v>
      </c>
      <c r="B14" s="94" t="s">
        <v>8</v>
      </c>
      <c r="C14" s="95">
        <v>0.03599059961480204</v>
      </c>
      <c r="D14" s="95">
        <v>0.5448140023687851</v>
      </c>
      <c r="E14" s="95">
        <v>0.1610633731770435</v>
      </c>
      <c r="F14" s="95">
        <v>0</v>
      </c>
      <c r="G14" s="95">
        <v>0.25813202483936937</v>
      </c>
      <c r="H14" s="95">
        <v>0</v>
      </c>
      <c r="I14" s="95">
        <v>0</v>
      </c>
      <c r="J14" s="95">
        <v>0</v>
      </c>
      <c r="K14" s="95">
        <v>0</v>
      </c>
      <c r="L14" s="341"/>
      <c r="M14" s="341"/>
    </row>
    <row r="15" spans="1:13" ht="12.75">
      <c r="A15" s="94" t="s">
        <v>106</v>
      </c>
      <c r="B15" s="94" t="s">
        <v>9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0.8171510443852026</v>
      </c>
      <c r="I15" s="95">
        <v>0.11359607294095672</v>
      </c>
      <c r="J15" s="95">
        <v>0.06160336481769749</v>
      </c>
      <c r="K15" s="95">
        <v>0.0076495178561432585</v>
      </c>
      <c r="L15" s="341"/>
      <c r="M15" s="341"/>
    </row>
    <row r="16" spans="1:13" ht="12.75">
      <c r="A16" s="94" t="s">
        <v>107</v>
      </c>
      <c r="B16" s="94" t="s">
        <v>29</v>
      </c>
      <c r="C16" s="95">
        <v>0.018337698378302642</v>
      </c>
      <c r="D16" s="95">
        <v>0.27685171784842666</v>
      </c>
      <c r="E16" s="95">
        <v>0.08198946151056613</v>
      </c>
      <c r="F16" s="95">
        <v>0</v>
      </c>
      <c r="G16" s="95">
        <v>0.1231919461472627</v>
      </c>
      <c r="H16" s="95">
        <v>0.4117366558065405</v>
      </c>
      <c r="I16" s="95">
        <v>0.054677919397341616</v>
      </c>
      <c r="J16" s="95">
        <v>0.029457010935850094</v>
      </c>
      <c r="K16" s="95">
        <v>0.003757589975709631</v>
      </c>
      <c r="L16" s="341"/>
      <c r="M16" s="341"/>
    </row>
    <row r="17" spans="1:13" ht="12.75">
      <c r="A17" s="94" t="s">
        <v>108</v>
      </c>
      <c r="B17" s="94" t="s">
        <v>27</v>
      </c>
      <c r="C17" s="95">
        <v>0.016487366157520156</v>
      </c>
      <c r="D17" s="95">
        <v>0.2517955965078296</v>
      </c>
      <c r="E17" s="95">
        <v>0.07400698689103308</v>
      </c>
      <c r="F17" s="95">
        <v>0</v>
      </c>
      <c r="G17" s="95">
        <v>0.14324025931426843</v>
      </c>
      <c r="H17" s="95">
        <v>0.4100070689105177</v>
      </c>
      <c r="I17" s="95">
        <v>0.064675726727343</v>
      </c>
      <c r="J17" s="95">
        <v>0.03565855265249119</v>
      </c>
      <c r="K17" s="95">
        <v>0.004128442838997005</v>
      </c>
      <c r="L17" s="341"/>
      <c r="M17" s="341"/>
    </row>
    <row r="18" spans="1:13" ht="12.75" hidden="1">
      <c r="A18" s="94" t="s">
        <v>109</v>
      </c>
      <c r="B18" s="94" t="s">
        <v>30</v>
      </c>
      <c r="C18" s="95">
        <v>0.016487366157520156</v>
      </c>
      <c r="D18" s="95">
        <v>0.2517955965078296</v>
      </c>
      <c r="E18" s="95">
        <v>0.07400698689103308</v>
      </c>
      <c r="F18" s="95">
        <v>0</v>
      </c>
      <c r="G18" s="95">
        <v>0.14324025931426843</v>
      </c>
      <c r="H18" s="95">
        <v>0.4100070689105177</v>
      </c>
      <c r="I18" s="95">
        <v>0.064675726727343</v>
      </c>
      <c r="J18" s="95">
        <v>0.03565855265249119</v>
      </c>
      <c r="K18" s="95">
        <v>0.004128442838997005</v>
      </c>
      <c r="L18" s="341"/>
      <c r="M18" s="341"/>
    </row>
    <row r="19" spans="1:13" ht="12.75" hidden="1">
      <c r="A19" s="94" t="s">
        <v>110</v>
      </c>
      <c r="B19" s="94" t="s">
        <v>31</v>
      </c>
      <c r="C19" s="95">
        <v>0.016487366157520156</v>
      </c>
      <c r="D19" s="95">
        <v>0.2517955965078296</v>
      </c>
      <c r="E19" s="95">
        <v>0.07400698689103308</v>
      </c>
      <c r="F19" s="95">
        <v>0</v>
      </c>
      <c r="G19" s="95">
        <v>0.14324025931426843</v>
      </c>
      <c r="H19" s="95">
        <v>0.4100070689105177</v>
      </c>
      <c r="I19" s="95">
        <v>0.064675726727343</v>
      </c>
      <c r="J19" s="95">
        <v>0.03565855265249119</v>
      </c>
      <c r="K19" s="95">
        <v>0.004128442838997005</v>
      </c>
      <c r="L19" s="341"/>
      <c r="M19" s="341"/>
    </row>
    <row r="20" spans="1:13" ht="12.75">
      <c r="A20" s="94" t="s">
        <v>111</v>
      </c>
      <c r="B20" s="94" t="s">
        <v>32</v>
      </c>
      <c r="C20" s="95">
        <v>0.033957446635236054</v>
      </c>
      <c r="D20" s="95">
        <v>0.5185992383326858</v>
      </c>
      <c r="E20" s="95">
        <v>0.15242509227834486</v>
      </c>
      <c r="F20" s="95">
        <v>0</v>
      </c>
      <c r="G20" s="95">
        <v>0.29501822275373324</v>
      </c>
      <c r="H20" s="95">
        <v>0</v>
      </c>
      <c r="I20" s="95">
        <v>0</v>
      </c>
      <c r="J20" s="95">
        <v>0</v>
      </c>
      <c r="K20" s="95">
        <v>0</v>
      </c>
      <c r="L20" s="341"/>
      <c r="M20" s="341"/>
    </row>
    <row r="21" spans="1:13" ht="12.75">
      <c r="A21" s="94" t="s">
        <v>112</v>
      </c>
      <c r="B21" s="94" t="s">
        <v>33</v>
      </c>
      <c r="C21" s="95">
        <v>0</v>
      </c>
      <c r="D21" s="95">
        <v>0</v>
      </c>
      <c r="E21" s="95">
        <v>0</v>
      </c>
      <c r="F21" s="95">
        <v>0</v>
      </c>
      <c r="G21" s="95">
        <v>0</v>
      </c>
      <c r="H21" s="95">
        <v>0.7969507169905587</v>
      </c>
      <c r="I21" s="95">
        <v>0.12571336129448676</v>
      </c>
      <c r="J21" s="95">
        <v>0.06931126621490172</v>
      </c>
      <c r="K21" s="95">
        <v>0.008024655500052527</v>
      </c>
      <c r="L21" s="341"/>
      <c r="M21" s="341"/>
    </row>
    <row r="22" spans="1:13" ht="12.75">
      <c r="A22" s="94" t="s">
        <v>113</v>
      </c>
      <c r="B22" s="94" t="s">
        <v>25</v>
      </c>
      <c r="C22" s="95">
        <v>0.02444161291402658</v>
      </c>
      <c r="D22" s="95">
        <v>0.28290025324347995</v>
      </c>
      <c r="E22" s="95">
        <v>0.07811493914061857</v>
      </c>
      <c r="F22" s="95">
        <v>0</v>
      </c>
      <c r="G22" s="95">
        <v>0.11572606652006959</v>
      </c>
      <c r="H22" s="95">
        <v>0.41430680721909796</v>
      </c>
      <c r="I22" s="95">
        <v>0.055612097598627015</v>
      </c>
      <c r="J22" s="95">
        <v>0.02624544955471694</v>
      </c>
      <c r="K22" s="95">
        <v>0.00265277380936326</v>
      </c>
      <c r="L22" s="341"/>
      <c r="M22" s="341"/>
    </row>
    <row r="23" spans="1:13" ht="12.75" hidden="1">
      <c r="A23" s="94" t="s">
        <v>114</v>
      </c>
      <c r="B23" s="94" t="s">
        <v>34</v>
      </c>
      <c r="C23" s="95">
        <v>0.02444161291402658</v>
      </c>
      <c r="D23" s="95">
        <v>0.28290025324347995</v>
      </c>
      <c r="E23" s="95">
        <v>0.07811493914061857</v>
      </c>
      <c r="F23" s="95">
        <v>0</v>
      </c>
      <c r="G23" s="95">
        <v>0.11572606652006959</v>
      </c>
      <c r="H23" s="95">
        <v>0.41430680721909796</v>
      </c>
      <c r="I23" s="95">
        <v>0.055612097598627015</v>
      </c>
      <c r="J23" s="95">
        <v>0.02624544955471694</v>
      </c>
      <c r="K23" s="95">
        <v>0.00265277380936326</v>
      </c>
      <c r="L23" s="341"/>
      <c r="M23" s="341"/>
    </row>
    <row r="24" spans="1:13" ht="12.75" hidden="1">
      <c r="A24" s="94" t="s">
        <v>115</v>
      </c>
      <c r="B24" s="94" t="s">
        <v>35</v>
      </c>
      <c r="C24" s="95">
        <v>0.02444161291402658</v>
      </c>
      <c r="D24" s="95">
        <v>0.28290025324347995</v>
      </c>
      <c r="E24" s="95">
        <v>0.07811493914061857</v>
      </c>
      <c r="F24" s="95">
        <v>0</v>
      </c>
      <c r="G24" s="95">
        <v>0.11572606652006959</v>
      </c>
      <c r="H24" s="95">
        <v>0.41430680721909796</v>
      </c>
      <c r="I24" s="95">
        <v>0.055612097598627015</v>
      </c>
      <c r="J24" s="95">
        <v>0.02624544955471694</v>
      </c>
      <c r="K24" s="95">
        <v>0.00265277380936326</v>
      </c>
      <c r="L24" s="341"/>
      <c r="M24" s="341"/>
    </row>
    <row r="25" spans="1:13" ht="12.75" hidden="1">
      <c r="A25" s="94" t="s">
        <v>116</v>
      </c>
      <c r="B25" s="94" t="s">
        <v>36</v>
      </c>
      <c r="C25" s="95">
        <v>0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341"/>
      <c r="M25" s="341"/>
    </row>
    <row r="26" spans="1:13" ht="12.75" hidden="1">
      <c r="A26" s="94" t="s">
        <v>195</v>
      </c>
      <c r="B26" s="94" t="s">
        <v>37</v>
      </c>
      <c r="C26" s="95">
        <v>0</v>
      </c>
      <c r="D26" s="95">
        <v>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341"/>
      <c r="M26" s="341"/>
    </row>
    <row r="27" spans="1:13" ht="12.75">
      <c r="A27" s="94" t="s">
        <v>117</v>
      </c>
      <c r="B27" s="94" t="s">
        <v>38</v>
      </c>
      <c r="C27" s="95">
        <v>0.02444161291402658</v>
      </c>
      <c r="D27" s="95">
        <v>0.28290025324347995</v>
      </c>
      <c r="E27" s="95">
        <v>0.07811493914061857</v>
      </c>
      <c r="F27" s="95">
        <v>0</v>
      </c>
      <c r="G27" s="95">
        <v>0.11572606652006957</v>
      </c>
      <c r="H27" s="95">
        <v>0.4143068072190979</v>
      </c>
      <c r="I27" s="95">
        <v>0.055612097598627015</v>
      </c>
      <c r="J27" s="95">
        <v>0.02624544955471694</v>
      </c>
      <c r="K27" s="95">
        <v>0.00265277380936326</v>
      </c>
      <c r="L27" s="341"/>
      <c r="M27" s="341"/>
    </row>
    <row r="28" spans="1:13" ht="12.75" hidden="1">
      <c r="A28" s="94" t="s">
        <v>118</v>
      </c>
      <c r="B28" s="94" t="s">
        <v>39</v>
      </c>
      <c r="C28" s="95">
        <v>0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341"/>
      <c r="M28" s="341"/>
    </row>
    <row r="29" spans="1:13" ht="12.75" hidden="1">
      <c r="A29" s="94" t="s">
        <v>119</v>
      </c>
      <c r="B29" s="94" t="s">
        <v>40</v>
      </c>
      <c r="C29" s="95">
        <v>0</v>
      </c>
      <c r="D29" s="95">
        <v>0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341"/>
      <c r="M29" s="341"/>
    </row>
    <row r="30" spans="1:13" ht="12.75">
      <c r="A30" s="94" t="s">
        <v>120</v>
      </c>
      <c r="B30" s="94" t="s">
        <v>41</v>
      </c>
      <c r="C30" s="95">
        <v>0.022935172430070615</v>
      </c>
      <c r="D30" s="95">
        <v>0.2745930724106078</v>
      </c>
      <c r="E30" s="95">
        <v>0.0760378401599051</v>
      </c>
      <c r="F30" s="95">
        <v>0</v>
      </c>
      <c r="G30" s="95">
        <v>0.11551928367286844</v>
      </c>
      <c r="H30" s="95">
        <v>0.4272046584308251</v>
      </c>
      <c r="I30" s="95">
        <v>0.05499070814473262</v>
      </c>
      <c r="J30" s="95">
        <v>0.02601244394048778</v>
      </c>
      <c r="K30" s="95">
        <v>0.0027068208105021016</v>
      </c>
      <c r="L30" s="341"/>
      <c r="M30" s="341"/>
    </row>
    <row r="31" spans="1:13" ht="12.75">
      <c r="A31" s="94" t="s">
        <v>121</v>
      </c>
      <c r="B31" s="94" t="s">
        <v>122</v>
      </c>
      <c r="C31" s="95">
        <v>0.017013963811235988</v>
      </c>
      <c r="D31" s="95">
        <v>0.25920692060578404</v>
      </c>
      <c r="E31" s="95">
        <v>0.07797773186534505</v>
      </c>
      <c r="F31" s="95">
        <v>0</v>
      </c>
      <c r="G31" s="95">
        <v>0.11260123384656132</v>
      </c>
      <c r="H31" s="95">
        <v>0.45204783619172184</v>
      </c>
      <c r="I31" s="95">
        <v>0.050111993606462686</v>
      </c>
      <c r="J31" s="95">
        <v>0.026514842205031</v>
      </c>
      <c r="K31" s="95">
        <v>0.004525477867858049</v>
      </c>
      <c r="L31" s="341"/>
      <c r="M31" s="341"/>
    </row>
    <row r="32" spans="1:13" ht="12.75">
      <c r="A32" s="94" t="s">
        <v>123</v>
      </c>
      <c r="B32" s="94" t="s">
        <v>124</v>
      </c>
      <c r="C32" s="95">
        <v>0.016485227663597696</v>
      </c>
      <c r="D32" s="95">
        <v>0.2370396101565176</v>
      </c>
      <c r="E32" s="95">
        <v>0.07097258844648625</v>
      </c>
      <c r="F32" s="95">
        <v>0</v>
      </c>
      <c r="G32" s="95">
        <v>0.13364997918430027</v>
      </c>
      <c r="H32" s="95">
        <v>0.4291030366173836</v>
      </c>
      <c r="I32" s="95">
        <v>0.07446275728669176</v>
      </c>
      <c r="J32" s="95">
        <v>0.033558532209125046</v>
      </c>
      <c r="K32" s="95">
        <v>0.004728268435897891</v>
      </c>
      <c r="L32" s="341"/>
      <c r="M32" s="341"/>
    </row>
    <row r="33" spans="1:13" ht="12.75">
      <c r="A33" s="94" t="s">
        <v>125</v>
      </c>
      <c r="B33" s="94" t="s">
        <v>126</v>
      </c>
      <c r="C33" s="95">
        <v>0.018605090601346762</v>
      </c>
      <c r="D33" s="95">
        <v>0.28477817107050446</v>
      </c>
      <c r="E33" s="95">
        <v>0.08410856151368774</v>
      </c>
      <c r="F33" s="95">
        <v>0</v>
      </c>
      <c r="G33" s="95">
        <v>0.12515218176012274</v>
      </c>
      <c r="H33" s="95">
        <v>0.3988199332324761</v>
      </c>
      <c r="I33" s="95">
        <v>0.054921216190332516</v>
      </c>
      <c r="J33" s="95">
        <v>0.030092512228907926</v>
      </c>
      <c r="K33" s="95">
        <v>0.003522333402621702</v>
      </c>
      <c r="L33" s="341"/>
      <c r="M33" s="341"/>
    </row>
    <row r="34" spans="1:13" ht="12.75">
      <c r="A34" s="94" t="s">
        <v>127</v>
      </c>
      <c r="B34" s="94" t="s">
        <v>128</v>
      </c>
      <c r="C34" s="95">
        <v>0.016378135922982488</v>
      </c>
      <c r="D34" s="95">
        <v>0.2564335722062204</v>
      </c>
      <c r="E34" s="95">
        <v>0.07619739249354603</v>
      </c>
      <c r="F34" s="95">
        <v>0</v>
      </c>
      <c r="G34" s="95">
        <v>0.14487515835361756</v>
      </c>
      <c r="H34" s="95">
        <v>0.4050823349609817</v>
      </c>
      <c r="I34" s="95">
        <v>0.061250313977611714</v>
      </c>
      <c r="J34" s="95">
        <v>0.03582189267164557</v>
      </c>
      <c r="K34" s="95">
        <v>0.003961199413394555</v>
      </c>
      <c r="L34" s="341"/>
      <c r="M34" s="341"/>
    </row>
    <row r="35" spans="1:13" ht="12.75">
      <c r="A35" s="94" t="s">
        <v>129</v>
      </c>
      <c r="B35" s="94" t="s">
        <v>21</v>
      </c>
      <c r="C35" s="95">
        <v>0.018048351931755694</v>
      </c>
      <c r="D35" s="95">
        <v>0.27769202135443344</v>
      </c>
      <c r="E35" s="95">
        <v>0.08213076925865231</v>
      </c>
      <c r="F35" s="95">
        <v>0</v>
      </c>
      <c r="G35" s="95">
        <v>0.13008292590849643</v>
      </c>
      <c r="H35" s="95">
        <v>0.4003855336646025</v>
      </c>
      <c r="I35" s="95">
        <v>0.056503490637152314</v>
      </c>
      <c r="J35" s="95">
        <v>0.03152485733959234</v>
      </c>
      <c r="K35" s="95">
        <v>0.003632049905314915</v>
      </c>
      <c r="L35" s="341"/>
      <c r="M35" s="341"/>
    </row>
    <row r="36" spans="1:13" ht="12.75">
      <c r="A36" s="94" t="s">
        <v>130</v>
      </c>
      <c r="B36" s="94" t="s">
        <v>131</v>
      </c>
      <c r="C36" s="95">
        <v>0.017295374552809738</v>
      </c>
      <c r="D36" s="95">
        <v>0.2596313196894376</v>
      </c>
      <c r="E36" s="95">
        <v>0.07892415653049652</v>
      </c>
      <c r="F36" s="95">
        <v>0</v>
      </c>
      <c r="G36" s="95">
        <v>0.11185548242101688</v>
      </c>
      <c r="H36" s="95">
        <v>0.4529411387706975</v>
      </c>
      <c r="I36" s="95">
        <v>0.048681690498439435</v>
      </c>
      <c r="J36" s="95">
        <v>0.02603879147389003</v>
      </c>
      <c r="K36" s="95">
        <v>0.00463204606321215</v>
      </c>
      <c r="L36" s="341"/>
      <c r="M36" s="341"/>
    </row>
    <row r="37" spans="1:13" ht="12.75">
      <c r="A37" s="94" t="s">
        <v>132</v>
      </c>
      <c r="B37" s="94" t="s">
        <v>133</v>
      </c>
      <c r="C37" s="95">
        <v>0.016630888804627687</v>
      </c>
      <c r="D37" s="95">
        <v>0.23511173424136325</v>
      </c>
      <c r="E37" s="95">
        <v>0.07025046730666006</v>
      </c>
      <c r="F37" s="95">
        <v>0</v>
      </c>
      <c r="G37" s="95">
        <v>0.1306993814584596</v>
      </c>
      <c r="H37" s="95">
        <v>0.4311502880479897</v>
      </c>
      <c r="I37" s="95">
        <v>0.07849241157395938</v>
      </c>
      <c r="J37" s="95">
        <v>0.032766608334361735</v>
      </c>
      <c r="K37" s="95">
        <v>0.004898220232578537</v>
      </c>
      <c r="L37" s="341"/>
      <c r="M37" s="341"/>
    </row>
    <row r="38" spans="1:13" ht="12.75">
      <c r="A38" s="94" t="s">
        <v>134</v>
      </c>
      <c r="B38" s="94" t="s">
        <v>135</v>
      </c>
      <c r="C38" s="95">
        <v>0.017129253115764225</v>
      </c>
      <c r="D38" s="95">
        <v>0.25350142332741904</v>
      </c>
      <c r="E38" s="95">
        <v>0.07675573422453741</v>
      </c>
      <c r="F38" s="95">
        <v>0</v>
      </c>
      <c r="G38" s="95">
        <v>0.11656645718037756</v>
      </c>
      <c r="H38" s="95">
        <v>0.4474934260900205</v>
      </c>
      <c r="I38" s="95">
        <v>0.05613437076731942</v>
      </c>
      <c r="J38" s="95">
        <v>0.027720745689007956</v>
      </c>
      <c r="K38" s="95">
        <v>0.0046985896055537464</v>
      </c>
      <c r="L38" s="341"/>
      <c r="M38" s="341"/>
    </row>
    <row r="39" spans="1:13" ht="12.75">
      <c r="A39" s="94" t="s">
        <v>136</v>
      </c>
      <c r="B39" s="94" t="s">
        <v>24</v>
      </c>
      <c r="C39" s="95">
        <v>0.016881779774326415</v>
      </c>
      <c r="D39" s="95">
        <v>0.2536650929934674</v>
      </c>
      <c r="E39" s="95">
        <v>0.07622644601063035</v>
      </c>
      <c r="F39" s="95">
        <v>0</v>
      </c>
      <c r="G39" s="95">
        <v>0.11786342018099606</v>
      </c>
      <c r="H39" s="95">
        <v>0.44631163629813725</v>
      </c>
      <c r="I39" s="95">
        <v>0.05619968452651995</v>
      </c>
      <c r="J39" s="95">
        <v>0.02827576470605451</v>
      </c>
      <c r="K39" s="95">
        <v>0.00457617550986801</v>
      </c>
      <c r="L39" s="341"/>
      <c r="M39" s="341"/>
    </row>
    <row r="40" spans="1:13" ht="12.75">
      <c r="A40" s="94" t="s">
        <v>137</v>
      </c>
      <c r="B40" s="94" t="s">
        <v>138</v>
      </c>
      <c r="C40" s="95">
        <v>0.007420790567243784</v>
      </c>
      <c r="D40" s="95">
        <v>0.6971870720668392</v>
      </c>
      <c r="E40" s="95">
        <v>0.03320915942476009</v>
      </c>
      <c r="F40" s="95">
        <v>0</v>
      </c>
      <c r="G40" s="95">
        <v>0.053223444886528505</v>
      </c>
      <c r="H40" s="95">
        <v>0.170751500669834</v>
      </c>
      <c r="I40" s="95">
        <v>0.02373698235858184</v>
      </c>
      <c r="J40" s="95">
        <v>0.012872610346899998</v>
      </c>
      <c r="K40" s="95">
        <v>0.0015984396793127385</v>
      </c>
      <c r="L40" s="341"/>
      <c r="M40" s="341"/>
    </row>
    <row r="41" spans="1:13" ht="12.75">
      <c r="A41" s="94" t="s">
        <v>139</v>
      </c>
      <c r="B41" s="94" t="s">
        <v>42</v>
      </c>
      <c r="C41" s="95">
        <v>0.03555512776459525</v>
      </c>
      <c r="D41" s="95">
        <v>0.28192465135603</v>
      </c>
      <c r="E41" s="95">
        <v>0.06580368086105505</v>
      </c>
      <c r="F41" s="95">
        <v>0</v>
      </c>
      <c r="G41" s="95">
        <v>0.08153539507367494</v>
      </c>
      <c r="H41" s="95">
        <v>0.4754513649953301</v>
      </c>
      <c r="I41" s="95">
        <v>0.046596907517319125</v>
      </c>
      <c r="J41" s="95">
        <v>0.013132872431995528</v>
      </c>
      <c r="K41" s="95">
        <v>0</v>
      </c>
      <c r="L41" s="341"/>
      <c r="M41" s="341"/>
    </row>
    <row r="42" spans="1:13" ht="12.75" hidden="1">
      <c r="A42" s="94" t="s">
        <v>140</v>
      </c>
      <c r="B42" s="94" t="s">
        <v>141</v>
      </c>
      <c r="C42" s="95">
        <v>0</v>
      </c>
      <c r="D42" s="95">
        <v>0</v>
      </c>
      <c r="E42" s="95">
        <v>0</v>
      </c>
      <c r="F42" s="95">
        <v>0</v>
      </c>
      <c r="G42" s="95">
        <v>0</v>
      </c>
      <c r="H42" s="95">
        <v>0.8171510443852026</v>
      </c>
      <c r="I42" s="95">
        <v>0.11359607294095672</v>
      </c>
      <c r="J42" s="95">
        <v>0.06160336481769749</v>
      </c>
      <c r="K42" s="95">
        <v>0.0076495178561432585</v>
      </c>
      <c r="L42" s="341"/>
      <c r="M42" s="341"/>
    </row>
    <row r="43" spans="1:13" ht="12.75" hidden="1">
      <c r="A43" s="94" t="s">
        <v>142</v>
      </c>
      <c r="B43" s="94" t="s">
        <v>143</v>
      </c>
      <c r="C43" s="95">
        <v>0</v>
      </c>
      <c r="D43" s="95">
        <v>0</v>
      </c>
      <c r="E43" s="95">
        <v>0</v>
      </c>
      <c r="F43" s="95">
        <v>0</v>
      </c>
      <c r="G43" s="95">
        <v>0</v>
      </c>
      <c r="H43" s="95">
        <v>0.7969507169905587</v>
      </c>
      <c r="I43" s="95">
        <v>0.12571336129448676</v>
      </c>
      <c r="J43" s="95">
        <v>0.06931126621490172</v>
      </c>
      <c r="K43" s="95">
        <v>0.008024655500052527</v>
      </c>
      <c r="L43" s="341"/>
      <c r="M43" s="341"/>
    </row>
    <row r="44" spans="1:13" ht="12.75" hidden="1">
      <c r="A44" s="94" t="s">
        <v>144</v>
      </c>
      <c r="B44" s="94" t="s">
        <v>43</v>
      </c>
      <c r="C44" s="95">
        <v>0</v>
      </c>
      <c r="D44" s="95">
        <v>0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  <c r="J44" s="95">
        <v>0</v>
      </c>
      <c r="K44" s="95">
        <v>0</v>
      </c>
      <c r="L44" s="341"/>
      <c r="M44" s="341"/>
    </row>
    <row r="45" spans="1:13" ht="12.75" hidden="1">
      <c r="A45" s="94" t="s">
        <v>145</v>
      </c>
      <c r="B45" s="94" t="s">
        <v>44</v>
      </c>
      <c r="C45" s="95">
        <v>0.016487366157520156</v>
      </c>
      <c r="D45" s="95">
        <v>0.2517955965078297</v>
      </c>
      <c r="E45" s="95">
        <v>0.07400698689103308</v>
      </c>
      <c r="F45" s="95">
        <v>0</v>
      </c>
      <c r="G45" s="95">
        <v>0.14324025931426843</v>
      </c>
      <c r="H45" s="95">
        <v>0.4100070689105177</v>
      </c>
      <c r="I45" s="95">
        <v>0.064675726727343</v>
      </c>
      <c r="J45" s="95">
        <v>0.03565855265249119</v>
      </c>
      <c r="K45" s="95">
        <v>0.004128442838997006</v>
      </c>
      <c r="L45" s="341"/>
      <c r="M45" s="341"/>
    </row>
    <row r="46" spans="1:13" ht="12.75" hidden="1">
      <c r="A46" s="94" t="s">
        <v>146</v>
      </c>
      <c r="B46" s="94" t="s">
        <v>45</v>
      </c>
      <c r="C46" s="95">
        <v>0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341"/>
      <c r="M46" s="341"/>
    </row>
    <row r="47" spans="1:13" ht="12.75" hidden="1">
      <c r="A47" s="94" t="s">
        <v>147</v>
      </c>
      <c r="B47" s="94" t="s">
        <v>46</v>
      </c>
      <c r="C47" s="95">
        <v>0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341"/>
      <c r="M47" s="341"/>
    </row>
    <row r="48" spans="1:13" ht="12.75" hidden="1">
      <c r="A48" s="94" t="s">
        <v>148</v>
      </c>
      <c r="B48" s="94" t="s">
        <v>47</v>
      </c>
      <c r="C48" s="95">
        <v>0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341"/>
      <c r="M48" s="341"/>
    </row>
    <row r="49" spans="1:13" ht="12.75" hidden="1">
      <c r="A49" s="94" t="s">
        <v>149</v>
      </c>
      <c r="B49" s="94" t="s">
        <v>48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341"/>
      <c r="M49" s="341"/>
    </row>
    <row r="50" spans="1:13" ht="12.75" hidden="1">
      <c r="A50" s="94" t="s">
        <v>150</v>
      </c>
      <c r="B50" s="94" t="s">
        <v>49</v>
      </c>
      <c r="C50" s="95">
        <v>0</v>
      </c>
      <c r="D50" s="95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341"/>
      <c r="M50" s="341"/>
    </row>
    <row r="51" spans="1:13" ht="12.75" hidden="1">
      <c r="A51" s="94" t="s">
        <v>151</v>
      </c>
      <c r="B51" s="94" t="s">
        <v>50</v>
      </c>
      <c r="C51" s="95">
        <v>0</v>
      </c>
      <c r="D51" s="95">
        <v>0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  <c r="K51" s="95">
        <v>0</v>
      </c>
      <c r="L51" s="341"/>
      <c r="M51" s="341"/>
    </row>
    <row r="52" spans="1:13" ht="12.75">
      <c r="A52" s="94" t="s">
        <v>152</v>
      </c>
      <c r="B52" s="94" t="s">
        <v>153</v>
      </c>
      <c r="C52" s="95">
        <v>0.017875115323107017</v>
      </c>
      <c r="D52" s="95">
        <v>0.27058768751327733</v>
      </c>
      <c r="E52" s="95">
        <v>0.07999384285568284</v>
      </c>
      <c r="F52" s="95">
        <v>0</v>
      </c>
      <c r="G52" s="95">
        <v>0.12820402443901416</v>
      </c>
      <c r="H52" s="95">
        <v>0.41130425908253476</v>
      </c>
      <c r="I52" s="95">
        <v>0.05717737122984192</v>
      </c>
      <c r="J52" s="95">
        <v>0.031007396365010376</v>
      </c>
      <c r="K52" s="95">
        <v>0.003850303191531473</v>
      </c>
      <c r="L52" s="341"/>
      <c r="M52" s="341"/>
    </row>
    <row r="53" spans="1:13" ht="12.75">
      <c r="A53" s="94" t="s">
        <v>154</v>
      </c>
      <c r="B53" s="94" t="s">
        <v>155</v>
      </c>
      <c r="C53" s="95">
        <v>0.017875115323107017</v>
      </c>
      <c r="D53" s="95">
        <v>0.27058768751327733</v>
      </c>
      <c r="E53" s="95">
        <v>0.07999384285568284</v>
      </c>
      <c r="F53" s="95">
        <v>0</v>
      </c>
      <c r="G53" s="95">
        <v>0.12820402443901416</v>
      </c>
      <c r="H53" s="95">
        <v>0.41130425908253476</v>
      </c>
      <c r="I53" s="95">
        <v>0.05717737122984192</v>
      </c>
      <c r="J53" s="95">
        <v>0.031007396365010376</v>
      </c>
      <c r="K53" s="95">
        <v>0.003850303191531473</v>
      </c>
      <c r="L53" s="341"/>
      <c r="M53" s="341"/>
    </row>
    <row r="54" spans="1:13" ht="12.75">
      <c r="A54" s="94" t="s">
        <v>156</v>
      </c>
      <c r="B54" s="94" t="s">
        <v>26</v>
      </c>
      <c r="C54" s="95">
        <v>0.025622570419392577</v>
      </c>
      <c r="D54" s="95">
        <v>0.31067767194972074</v>
      </c>
      <c r="E54" s="95">
        <v>0.07057184634906648</v>
      </c>
      <c r="F54" s="95">
        <v>0</v>
      </c>
      <c r="G54" s="95">
        <v>0.06703674521566617</v>
      </c>
      <c r="H54" s="95">
        <v>0.4781353955716365</v>
      </c>
      <c r="I54" s="95">
        <v>0.03933427509889823</v>
      </c>
      <c r="J54" s="95">
        <v>0.008621495395619298</v>
      </c>
      <c r="K54" s="95">
        <v>0</v>
      </c>
      <c r="L54" s="342">
        <v>0</v>
      </c>
      <c r="M54" s="342">
        <v>0</v>
      </c>
    </row>
    <row r="55" spans="1:13" ht="12.75" hidden="1">
      <c r="A55" s="94" t="s">
        <v>157</v>
      </c>
      <c r="B55" s="94" t="s">
        <v>51</v>
      </c>
      <c r="C55" s="95">
        <v>0.05406645452608147</v>
      </c>
      <c r="D55" s="95">
        <v>0.6555642134180789</v>
      </c>
      <c r="E55" s="95">
        <v>0.14891439301365242</v>
      </c>
      <c r="F55" s="95">
        <v>0</v>
      </c>
      <c r="G55" s="95">
        <v>0.14145493904218714</v>
      </c>
      <c r="H55" s="95">
        <v>0</v>
      </c>
      <c r="I55" s="95">
        <v>0</v>
      </c>
      <c r="J55" s="95">
        <v>0</v>
      </c>
      <c r="K55" s="95">
        <v>0</v>
      </c>
      <c r="L55" s="342">
        <v>0</v>
      </c>
      <c r="M55" s="342">
        <v>0</v>
      </c>
    </row>
    <row r="56" spans="1:13" ht="12.75" hidden="1">
      <c r="A56" s="94" t="s">
        <v>158</v>
      </c>
      <c r="B56" s="96" t="s">
        <v>52</v>
      </c>
      <c r="C56" s="95">
        <v>0</v>
      </c>
      <c r="D56" s="95">
        <v>0</v>
      </c>
      <c r="E56" s="95">
        <v>0</v>
      </c>
      <c r="F56" s="95">
        <v>0</v>
      </c>
      <c r="G56" s="95">
        <v>0</v>
      </c>
      <c r="H56" s="95">
        <v>0.9088451325782435</v>
      </c>
      <c r="I56" s="95">
        <v>0.07476703209639543</v>
      </c>
      <c r="J56" s="95">
        <v>0.016387835325361033</v>
      </c>
      <c r="K56" s="95">
        <v>0</v>
      </c>
      <c r="L56" s="342">
        <v>0</v>
      </c>
      <c r="M56" s="342">
        <v>0</v>
      </c>
    </row>
    <row r="57" spans="1:13" ht="12.75" hidden="1">
      <c r="A57" s="94" t="s">
        <v>159</v>
      </c>
      <c r="B57" s="94" t="s">
        <v>53</v>
      </c>
      <c r="C57" s="95">
        <v>0</v>
      </c>
      <c r="D57" s="95">
        <v>0</v>
      </c>
      <c r="E57" s="95">
        <v>1</v>
      </c>
      <c r="F57" s="95">
        <v>0</v>
      </c>
      <c r="G57" s="95">
        <v>0</v>
      </c>
      <c r="H57" s="95">
        <v>0</v>
      </c>
      <c r="I57" s="95">
        <v>0</v>
      </c>
      <c r="J57" s="95">
        <v>0</v>
      </c>
      <c r="K57" s="95">
        <v>0</v>
      </c>
      <c r="L57" s="342">
        <v>0</v>
      </c>
      <c r="M57" s="342">
        <v>0</v>
      </c>
    </row>
    <row r="58" spans="1:13" ht="12.75" hidden="1">
      <c r="A58" s="94" t="s">
        <v>160</v>
      </c>
      <c r="B58" s="94" t="s">
        <v>161</v>
      </c>
      <c r="C58" s="95">
        <v>0</v>
      </c>
      <c r="D58" s="95">
        <v>0</v>
      </c>
      <c r="E58" s="95">
        <v>0</v>
      </c>
      <c r="F58" s="95">
        <v>0</v>
      </c>
      <c r="G58" s="95">
        <v>0</v>
      </c>
      <c r="H58" s="95">
        <v>0</v>
      </c>
      <c r="I58" s="95">
        <v>0</v>
      </c>
      <c r="J58" s="95">
        <v>0</v>
      </c>
      <c r="K58" s="95">
        <v>0</v>
      </c>
      <c r="L58" s="341"/>
      <c r="M58" s="341"/>
    </row>
    <row r="59" spans="1:13" ht="12.75" hidden="1">
      <c r="A59" s="94" t="s">
        <v>162</v>
      </c>
      <c r="B59" s="94" t="s">
        <v>54</v>
      </c>
      <c r="C59" s="95">
        <v>0</v>
      </c>
      <c r="D59" s="95">
        <v>0</v>
      </c>
      <c r="E59" s="95">
        <v>0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  <c r="K59" s="95">
        <v>0</v>
      </c>
      <c r="L59" s="341"/>
      <c r="M59" s="341"/>
    </row>
    <row r="60" spans="1:13" ht="12.75" hidden="1">
      <c r="A60" s="94" t="s">
        <v>163</v>
      </c>
      <c r="B60" s="94" t="s">
        <v>55</v>
      </c>
      <c r="C60" s="95">
        <v>0.18543851077038417</v>
      </c>
      <c r="D60" s="95">
        <v>-0.07650392567290426</v>
      </c>
      <c r="E60" s="95">
        <v>0.4564592986012573</v>
      </c>
      <c r="F60" s="95">
        <v>0</v>
      </c>
      <c r="G60" s="95">
        <v>0.2720807082467595</v>
      </c>
      <c r="H60" s="95">
        <v>0.5101709629490677</v>
      </c>
      <c r="I60" s="95">
        <v>-0.05780498955501905</v>
      </c>
      <c r="J60" s="95">
        <v>-0.20782983988250553</v>
      </c>
      <c r="K60" s="95">
        <v>-0.040954011054135125</v>
      </c>
      <c r="L60" s="95">
        <v>0.336591101291867</v>
      </c>
      <c r="M60" s="95">
        <v>-0.3776195084654144</v>
      </c>
    </row>
    <row r="61" spans="1:13" ht="12.75" hidden="1">
      <c r="A61" s="94" t="s">
        <v>164</v>
      </c>
      <c r="B61" s="94" t="s">
        <v>56</v>
      </c>
      <c r="C61" s="95">
        <v>0.022935172430070615</v>
      </c>
      <c r="D61" s="95">
        <v>0.2745930724106078</v>
      </c>
      <c r="E61" s="95">
        <v>0.0760378401599051</v>
      </c>
      <c r="F61" s="95">
        <v>0</v>
      </c>
      <c r="G61" s="95">
        <v>0.11551928367286844</v>
      </c>
      <c r="H61" s="95">
        <v>0.4272046584308251</v>
      </c>
      <c r="I61" s="95">
        <v>0.05499070814473262</v>
      </c>
      <c r="J61" s="95">
        <v>0.02601244394048778</v>
      </c>
      <c r="K61" s="95">
        <v>0.0027068208105021016</v>
      </c>
      <c r="L61" s="341"/>
      <c r="M61" s="95">
        <v>0</v>
      </c>
    </row>
    <row r="62" spans="1:13" ht="12.75">
      <c r="A62" s="94" t="s">
        <v>57</v>
      </c>
      <c r="B62" s="94" t="s">
        <v>57</v>
      </c>
      <c r="C62" s="95">
        <v>0.03555512776459525</v>
      </c>
      <c r="D62" s="95">
        <v>0.28192465135603</v>
      </c>
      <c r="E62" s="95">
        <v>0.06580368086105505</v>
      </c>
      <c r="F62" s="95">
        <v>0</v>
      </c>
      <c r="G62" s="95">
        <v>0.08153539507367494</v>
      </c>
      <c r="H62" s="95">
        <v>0.4754513649953301</v>
      </c>
      <c r="I62" s="95">
        <v>0.046596907517319125</v>
      </c>
      <c r="J62" s="95">
        <v>0.013132872431995528</v>
      </c>
      <c r="K62" s="95">
        <v>0</v>
      </c>
      <c r="L62" s="341"/>
      <c r="M62" s="341"/>
    </row>
    <row r="63" spans="1:13" ht="12.75" hidden="1">
      <c r="A63" s="94" t="s">
        <v>165</v>
      </c>
      <c r="B63" s="94" t="s">
        <v>58</v>
      </c>
      <c r="C63" s="342">
        <v>0</v>
      </c>
      <c r="D63" s="342">
        <v>0</v>
      </c>
      <c r="E63" s="342">
        <v>0</v>
      </c>
      <c r="F63" s="342">
        <v>0</v>
      </c>
      <c r="G63" s="342">
        <v>0</v>
      </c>
      <c r="H63" s="342">
        <v>0</v>
      </c>
      <c r="I63" s="342">
        <v>1</v>
      </c>
      <c r="J63" s="342">
        <v>0</v>
      </c>
      <c r="K63" s="342">
        <v>0</v>
      </c>
      <c r="L63" s="341"/>
      <c r="M63" s="95">
        <v>0</v>
      </c>
    </row>
    <row r="64" spans="1:13" ht="12.75" hidden="1">
      <c r="A64" s="97" t="s">
        <v>166</v>
      </c>
      <c r="B64" s="94" t="s">
        <v>167</v>
      </c>
      <c r="C64" s="95">
        <v>0</v>
      </c>
      <c r="D64" s="95">
        <v>0</v>
      </c>
      <c r="E64" s="95">
        <v>0</v>
      </c>
      <c r="F64" s="95">
        <v>0</v>
      </c>
      <c r="G64" s="95">
        <v>0</v>
      </c>
      <c r="H64" s="95">
        <v>0</v>
      </c>
      <c r="I64" s="95">
        <v>0</v>
      </c>
      <c r="J64" s="95">
        <v>0</v>
      </c>
      <c r="K64" s="95">
        <v>0</v>
      </c>
      <c r="L64" s="341"/>
      <c r="M64" s="341"/>
    </row>
    <row r="65" spans="1:13" ht="12.75">
      <c r="A65" s="94" t="s">
        <v>168</v>
      </c>
      <c r="B65" s="94" t="s">
        <v>60</v>
      </c>
      <c r="C65" s="95">
        <v>0.006435898745843826</v>
      </c>
      <c r="D65" s="95">
        <v>0.4773396556178292</v>
      </c>
      <c r="E65" s="95">
        <v>0.14287712219230567</v>
      </c>
      <c r="F65" s="95">
        <v>0</v>
      </c>
      <c r="G65" s="95">
        <v>0.07351803235939305</v>
      </c>
      <c r="H65" s="95">
        <v>0.27669903292869336</v>
      </c>
      <c r="I65" s="95">
        <v>0.023122640600790587</v>
      </c>
      <c r="J65" s="95">
        <v>7.617555144315033E-06</v>
      </c>
      <c r="K65" s="95">
        <v>0</v>
      </c>
      <c r="L65" s="95">
        <v>0</v>
      </c>
      <c r="M65" s="95">
        <v>0</v>
      </c>
    </row>
    <row r="66" spans="1:13" ht="12.75" hidden="1">
      <c r="A66" s="97" t="s">
        <v>166</v>
      </c>
      <c r="B66" s="94" t="s">
        <v>167</v>
      </c>
      <c r="C66" s="95">
        <v>0</v>
      </c>
      <c r="D66" s="95">
        <v>0</v>
      </c>
      <c r="E66" s="95">
        <v>0</v>
      </c>
      <c r="F66" s="95">
        <v>0</v>
      </c>
      <c r="G66" s="95">
        <v>0</v>
      </c>
      <c r="H66" s="95">
        <v>0</v>
      </c>
      <c r="I66" s="95">
        <v>0</v>
      </c>
      <c r="J66" s="95">
        <v>0</v>
      </c>
      <c r="K66" s="95">
        <v>0</v>
      </c>
      <c r="L66" s="95">
        <v>0</v>
      </c>
      <c r="M66" s="95">
        <v>0</v>
      </c>
    </row>
    <row r="67" spans="1:13" ht="12.75" hidden="1">
      <c r="A67" s="97" t="s">
        <v>166</v>
      </c>
      <c r="B67" s="94" t="s">
        <v>167</v>
      </c>
      <c r="C67" s="95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</row>
    <row r="68" spans="1:13" ht="12.75">
      <c r="A68" s="94" t="s">
        <v>169</v>
      </c>
      <c r="B68" s="94" t="s">
        <v>63</v>
      </c>
      <c r="C68" s="342">
        <v>0.03287</v>
      </c>
      <c r="D68" s="342">
        <v>0.70976</v>
      </c>
      <c r="E68" s="342">
        <v>0.1418</v>
      </c>
      <c r="F68" s="342">
        <v>0</v>
      </c>
      <c r="G68" s="342">
        <v>0.10946</v>
      </c>
      <c r="H68" s="341"/>
      <c r="I68" s="341"/>
      <c r="J68" s="341"/>
      <c r="K68" s="341"/>
      <c r="L68" s="342"/>
      <c r="M68" s="342">
        <v>0.00611</v>
      </c>
    </row>
    <row r="69" spans="1:13" ht="12.75">
      <c r="A69" s="94" t="s">
        <v>170</v>
      </c>
      <c r="B69" s="94" t="s">
        <v>64</v>
      </c>
      <c r="C69" s="342">
        <v>0.0542</v>
      </c>
      <c r="D69" s="342">
        <v>0.6769</v>
      </c>
      <c r="E69" s="342">
        <v>0.1336</v>
      </c>
      <c r="F69" s="342">
        <v>0</v>
      </c>
      <c r="G69" s="342">
        <v>0.1161</v>
      </c>
      <c r="H69" s="341"/>
      <c r="I69" s="341"/>
      <c r="J69" s="341"/>
      <c r="K69" s="341"/>
      <c r="L69" s="342"/>
      <c r="M69" s="342">
        <v>0.0192</v>
      </c>
    </row>
    <row r="70" spans="1:13" ht="12.75">
      <c r="A70" s="94" t="s">
        <v>171</v>
      </c>
      <c r="B70" s="94" t="s">
        <v>65</v>
      </c>
      <c r="C70" s="342">
        <v>0.04789</v>
      </c>
      <c r="D70" s="342">
        <v>0.64608</v>
      </c>
      <c r="E70" s="342">
        <v>0.13126</v>
      </c>
      <c r="F70" s="342">
        <v>0</v>
      </c>
      <c r="G70" s="342">
        <v>0.155</v>
      </c>
      <c r="H70" s="341"/>
      <c r="I70" s="341"/>
      <c r="J70" s="341"/>
      <c r="K70" s="341"/>
      <c r="L70" s="342"/>
      <c r="M70" s="342">
        <v>0.01977</v>
      </c>
    </row>
    <row r="71" spans="1:13" ht="12.75">
      <c r="A71" s="94" t="s">
        <v>172</v>
      </c>
      <c r="B71" s="94" t="s">
        <v>66</v>
      </c>
      <c r="C71" s="342">
        <v>0.0427</v>
      </c>
      <c r="D71" s="342">
        <v>0.612</v>
      </c>
      <c r="E71" s="342">
        <v>0.1496</v>
      </c>
      <c r="F71" s="342">
        <v>0</v>
      </c>
      <c r="G71" s="342">
        <v>0.1671</v>
      </c>
      <c r="H71" s="341"/>
      <c r="I71" s="341"/>
      <c r="J71" s="341"/>
      <c r="K71" s="341"/>
      <c r="L71" s="342"/>
      <c r="M71" s="342">
        <v>0.0286</v>
      </c>
    </row>
    <row r="72" spans="1:13" ht="12.75">
      <c r="A72" s="94" t="s">
        <v>173</v>
      </c>
      <c r="B72" s="94" t="s">
        <v>67</v>
      </c>
      <c r="C72" s="342">
        <v>0.048806</v>
      </c>
      <c r="D72" s="342">
        <v>0.563558</v>
      </c>
      <c r="E72" s="342">
        <v>0.152688</v>
      </c>
      <c r="F72" s="342">
        <v>0</v>
      </c>
      <c r="G72" s="342">
        <v>0.206776</v>
      </c>
      <c r="H72" s="341"/>
      <c r="I72" s="341"/>
      <c r="J72" s="341"/>
      <c r="K72" s="341"/>
      <c r="L72" s="342"/>
      <c r="M72" s="342">
        <v>0.028172</v>
      </c>
    </row>
    <row r="73" spans="1:13" ht="12.75">
      <c r="A73" s="94" t="s">
        <v>174</v>
      </c>
      <c r="B73" s="94" t="s">
        <v>68</v>
      </c>
      <c r="C73" s="342">
        <v>0.015047</v>
      </c>
      <c r="D73" s="342">
        <v>0.159356</v>
      </c>
      <c r="E73" s="342">
        <v>0.039132</v>
      </c>
      <c r="F73" s="342">
        <v>0</v>
      </c>
      <c r="G73" s="342">
        <v>0.038051</v>
      </c>
      <c r="H73" s="342">
        <v>0.469355</v>
      </c>
      <c r="I73" s="342">
        <v>0.139815</v>
      </c>
      <c r="J73" s="342">
        <v>0.135384</v>
      </c>
      <c r="K73" s="341"/>
      <c r="L73" s="342"/>
      <c r="M73" s="342">
        <v>0.00386</v>
      </c>
    </row>
    <row r="74" spans="1:13" ht="12.75" hidden="1">
      <c r="A74" s="94" t="s">
        <v>175</v>
      </c>
      <c r="B74" s="94" t="s">
        <v>69</v>
      </c>
      <c r="C74" s="342">
        <v>0</v>
      </c>
      <c r="D74" s="342">
        <v>0</v>
      </c>
      <c r="E74" s="342">
        <v>0</v>
      </c>
      <c r="F74" s="342">
        <v>0</v>
      </c>
      <c r="G74" s="342">
        <v>0</v>
      </c>
      <c r="H74" s="342">
        <v>0</v>
      </c>
      <c r="I74" s="342">
        <v>0</v>
      </c>
      <c r="J74" s="342">
        <v>0</v>
      </c>
      <c r="K74" s="342">
        <v>0</v>
      </c>
      <c r="L74" s="342">
        <v>1</v>
      </c>
      <c r="M74" s="342">
        <v>0</v>
      </c>
    </row>
    <row r="75" spans="1:13" ht="12.75" hidden="1">
      <c r="A75" s="94" t="s">
        <v>176</v>
      </c>
      <c r="B75" s="94" t="s">
        <v>70</v>
      </c>
      <c r="C75" s="342">
        <v>0</v>
      </c>
      <c r="D75" s="342">
        <v>0</v>
      </c>
      <c r="E75" s="342">
        <v>0</v>
      </c>
      <c r="F75" s="342">
        <v>0</v>
      </c>
      <c r="G75" s="342">
        <v>0</v>
      </c>
      <c r="H75" s="342">
        <v>0</v>
      </c>
      <c r="I75" s="342">
        <v>0</v>
      </c>
      <c r="J75" s="342">
        <v>0</v>
      </c>
      <c r="K75" s="342">
        <v>0</v>
      </c>
      <c r="L75" s="342">
        <v>0</v>
      </c>
      <c r="M75" s="342">
        <v>1</v>
      </c>
    </row>
    <row r="76" spans="1:13" ht="12.75">
      <c r="A76" s="94" t="s">
        <v>177</v>
      </c>
      <c r="B76" s="94" t="s">
        <v>71</v>
      </c>
      <c r="C76" s="95">
        <v>0.017875115323107007</v>
      </c>
      <c r="D76" s="95">
        <v>0.27058768751327733</v>
      </c>
      <c r="E76" s="95">
        <v>0.07999384285568285</v>
      </c>
      <c r="F76" s="95">
        <v>0</v>
      </c>
      <c r="G76" s="95">
        <v>0.12820402443901407</v>
      </c>
      <c r="H76" s="95">
        <v>0.41130425908253443</v>
      </c>
      <c r="I76" s="95">
        <v>0.05717737122984192</v>
      </c>
      <c r="J76" s="95">
        <v>0.03100739636501034</v>
      </c>
      <c r="K76" s="95">
        <v>0.0038503031915314728</v>
      </c>
      <c r="L76" s="341"/>
      <c r="M76" s="341"/>
    </row>
    <row r="77" spans="1:13" ht="12.75">
      <c r="A77" s="94" t="s">
        <v>178</v>
      </c>
      <c r="B77" s="94" t="s">
        <v>72</v>
      </c>
      <c r="C77" s="95">
        <v>0.017875115323107028</v>
      </c>
      <c r="D77" s="95">
        <v>0.27058768751327744</v>
      </c>
      <c r="E77" s="95">
        <v>0.07999384285568291</v>
      </c>
      <c r="F77" s="95">
        <v>0</v>
      </c>
      <c r="G77" s="95">
        <v>0.12820402443901416</v>
      </c>
      <c r="H77" s="95">
        <v>0.4113042590825348</v>
      </c>
      <c r="I77" s="95">
        <v>0.05717737122984198</v>
      </c>
      <c r="J77" s="95">
        <v>0.031007396365010365</v>
      </c>
      <c r="K77" s="95">
        <v>0.0038503031915314767</v>
      </c>
      <c r="L77" s="341"/>
      <c r="M77" s="341"/>
    </row>
    <row r="78" spans="1:13" ht="12.75">
      <c r="A78" s="94" t="s">
        <v>179</v>
      </c>
      <c r="B78" s="94" t="s">
        <v>73</v>
      </c>
      <c r="C78" s="95">
        <v>0.017875115323107014</v>
      </c>
      <c r="D78" s="95">
        <v>0.27058768751327733</v>
      </c>
      <c r="E78" s="95">
        <v>0.07999384285568285</v>
      </c>
      <c r="F78" s="95">
        <v>0</v>
      </c>
      <c r="G78" s="95">
        <v>0.1282040244390141</v>
      </c>
      <c r="H78" s="95">
        <v>0.4113042590825345</v>
      </c>
      <c r="I78" s="95">
        <v>0.05717737122984194</v>
      </c>
      <c r="J78" s="95">
        <v>0.031007396365010355</v>
      </c>
      <c r="K78" s="95">
        <v>0.0038503031915314745</v>
      </c>
      <c r="L78" s="341"/>
      <c r="M78" s="341"/>
    </row>
    <row r="79" spans="1:13" ht="12.75">
      <c r="A79" s="94" t="s">
        <v>180</v>
      </c>
      <c r="B79" s="94" t="s">
        <v>74</v>
      </c>
      <c r="C79" s="95">
        <v>0.017875115323107017</v>
      </c>
      <c r="D79" s="95">
        <v>0.27058768751327733</v>
      </c>
      <c r="E79" s="95">
        <v>0.07999384285568284</v>
      </c>
      <c r="F79" s="95">
        <v>0</v>
      </c>
      <c r="G79" s="95">
        <v>0.12820402443901416</v>
      </c>
      <c r="H79" s="95">
        <v>0.41130425908253476</v>
      </c>
      <c r="I79" s="95">
        <v>0.05717737122984192</v>
      </c>
      <c r="J79" s="95">
        <v>0.031007396365010376</v>
      </c>
      <c r="K79" s="95">
        <v>0.003850303191531473</v>
      </c>
      <c r="L79" s="95"/>
      <c r="M79" s="95"/>
    </row>
    <row r="80" spans="1:13" ht="12.75">
      <c r="A80" s="94" t="s">
        <v>181</v>
      </c>
      <c r="B80" s="94" t="s">
        <v>75</v>
      </c>
      <c r="C80" s="95">
        <v>0.01787511532310702</v>
      </c>
      <c r="D80" s="95">
        <v>0.2705876875132774</v>
      </c>
      <c r="E80" s="95">
        <v>0.07999384285568285</v>
      </c>
      <c r="F80" s="95">
        <v>0</v>
      </c>
      <c r="G80" s="95">
        <v>0.12820402443901416</v>
      </c>
      <c r="H80" s="95">
        <v>0.4113042590825349</v>
      </c>
      <c r="I80" s="95">
        <v>0.05717737122984196</v>
      </c>
      <c r="J80" s="95">
        <v>0.03100739636501037</v>
      </c>
      <c r="K80" s="95">
        <v>0.003850303191531474</v>
      </c>
      <c r="L80" s="341"/>
      <c r="M80" s="341"/>
    </row>
    <row r="81" spans="1:13" ht="12.75">
      <c r="A81" s="94" t="s">
        <v>182</v>
      </c>
      <c r="B81" s="94" t="s">
        <v>76</v>
      </c>
      <c r="C81" s="95">
        <v>0.01787511532310702</v>
      </c>
      <c r="D81" s="95">
        <v>0.27058768751327744</v>
      </c>
      <c r="E81" s="95">
        <v>0.07999384285568287</v>
      </c>
      <c r="F81" s="95">
        <v>0</v>
      </c>
      <c r="G81" s="95">
        <v>0.12820402443901407</v>
      </c>
      <c r="H81" s="95">
        <v>0.41130425908253476</v>
      </c>
      <c r="I81" s="95">
        <v>0.05717737122984195</v>
      </c>
      <c r="J81" s="95">
        <v>0.031007396365010355</v>
      </c>
      <c r="K81" s="95">
        <v>0.0038503031915314736</v>
      </c>
      <c r="L81" s="341"/>
      <c r="M81" s="341"/>
    </row>
    <row r="82" spans="1:13" ht="12.75">
      <c r="A82" s="94" t="s">
        <v>183</v>
      </c>
      <c r="B82" s="94" t="s">
        <v>77</v>
      </c>
      <c r="C82" s="95">
        <v>0.025287216702881223</v>
      </c>
      <c r="D82" s="95">
        <v>0.2976391393737392</v>
      </c>
      <c r="E82" s="95">
        <v>0.07982624376855013</v>
      </c>
      <c r="F82" s="95">
        <v>0</v>
      </c>
      <c r="G82" s="95">
        <v>0.11784020750051498</v>
      </c>
      <c r="H82" s="95">
        <v>0.38898969423654656</v>
      </c>
      <c r="I82" s="95">
        <v>0.0639453626200081</v>
      </c>
      <c r="J82" s="95">
        <v>0.024981800352463057</v>
      </c>
      <c r="K82" s="95">
        <v>0.0014903354452964499</v>
      </c>
      <c r="L82" s="341"/>
      <c r="M82" s="341"/>
    </row>
    <row r="83" spans="1:13" ht="12.75">
      <c r="A83" s="94" t="s">
        <v>184</v>
      </c>
      <c r="B83" s="94" t="s">
        <v>78</v>
      </c>
      <c r="C83" s="95">
        <v>0.021099139856204003</v>
      </c>
      <c r="D83" s="95">
        <v>0.2772305738535386</v>
      </c>
      <c r="E83" s="95">
        <v>0.07718769038692708</v>
      </c>
      <c r="F83" s="95">
        <v>0</v>
      </c>
      <c r="G83" s="95">
        <v>0.11780385260879365</v>
      </c>
      <c r="H83" s="95">
        <v>0.4160026232588003</v>
      </c>
      <c r="I83" s="95">
        <v>0.061155962050047835</v>
      </c>
      <c r="J83" s="95">
        <v>0.026576246635993058</v>
      </c>
      <c r="K83" s="95">
        <v>0.002943911349695432</v>
      </c>
      <c r="L83" s="341"/>
      <c r="M83" s="341"/>
    </row>
    <row r="84" spans="1:13" ht="12.75">
      <c r="A84" s="94" t="s">
        <v>185</v>
      </c>
      <c r="B84" s="94" t="s">
        <v>79</v>
      </c>
      <c r="C84" s="95">
        <v>0.017664305604232648</v>
      </c>
      <c r="D84" s="95">
        <v>0.2677330250712756</v>
      </c>
      <c r="E84" s="95">
        <v>0.07908439361647869</v>
      </c>
      <c r="F84" s="95">
        <v>0</v>
      </c>
      <c r="G84" s="95">
        <v>0.1304881435907925</v>
      </c>
      <c r="H84" s="95">
        <v>0.4111072059678432</v>
      </c>
      <c r="I84" s="95">
        <v>0.05831642881578533</v>
      </c>
      <c r="J84" s="95">
        <v>0.031713942600972225</v>
      </c>
      <c r="K84" s="95">
        <v>0.0038925547326197586</v>
      </c>
      <c r="L84" s="341"/>
      <c r="M84" s="341"/>
    </row>
    <row r="85" spans="1:13" ht="12.75">
      <c r="A85" s="94" t="s">
        <v>186</v>
      </c>
      <c r="B85" s="94" t="s">
        <v>80</v>
      </c>
      <c r="C85" s="95">
        <v>0.01762707234740281</v>
      </c>
      <c r="D85" s="95">
        <v>0.2672288339911249</v>
      </c>
      <c r="E85" s="95">
        <v>0.07892376650081347</v>
      </c>
      <c r="F85" s="95">
        <v>0</v>
      </c>
      <c r="G85" s="95">
        <v>0.13089156519517686</v>
      </c>
      <c r="H85" s="95">
        <v>0.4110724024053339</v>
      </c>
      <c r="I85" s="95">
        <v>0.058517609405882694</v>
      </c>
      <c r="J85" s="95">
        <v>0.031838732945583426</v>
      </c>
      <c r="K85" s="95">
        <v>0.0039000172086820412</v>
      </c>
      <c r="L85" s="341"/>
      <c r="M85" s="341"/>
    </row>
    <row r="86" spans="1:13" ht="12.75">
      <c r="A86" s="94" t="s">
        <v>187</v>
      </c>
      <c r="B86" s="94" t="s">
        <v>81</v>
      </c>
      <c r="C86" s="95">
        <v>0.1947871044707132</v>
      </c>
      <c r="D86" s="95">
        <v>-0.08576244689181439</v>
      </c>
      <c r="E86" s="95">
        <v>0.4787715042982834</v>
      </c>
      <c r="F86" s="95">
        <v>0</v>
      </c>
      <c r="G86" s="95">
        <v>0.28381549113557203</v>
      </c>
      <c r="H86" s="95">
        <v>0.5288531515786838</v>
      </c>
      <c r="I86" s="95">
        <v>-0.061938559971979515</v>
      </c>
      <c r="J86" s="95">
        <v>-0.2192991455365531</v>
      </c>
      <c r="K86" s="95">
        <v>-0.043170184111722694</v>
      </c>
      <c r="L86" s="95">
        <v>0.31608077707286675</v>
      </c>
      <c r="M86" s="95">
        <v>-0.3921082959952142</v>
      </c>
    </row>
    <row r="87" spans="1:13" ht="12.75">
      <c r="A87" s="94" t="s">
        <v>188</v>
      </c>
      <c r="B87" s="94" t="s">
        <v>61</v>
      </c>
      <c r="C87" s="95">
        <v>0.024061298197267506</v>
      </c>
      <c r="D87" s="95">
        <v>0.3029889132494507</v>
      </c>
      <c r="E87" s="95">
        <v>0.11635035289415781</v>
      </c>
      <c r="F87" s="95">
        <v>0</v>
      </c>
      <c r="G87" s="95">
        <v>0.1226845038531815</v>
      </c>
      <c r="H87" s="95">
        <v>0.3995774372953471</v>
      </c>
      <c r="I87" s="95">
        <v>0.05533866835485889</v>
      </c>
      <c r="J87" s="95">
        <v>0.016287834292724124</v>
      </c>
      <c r="K87" s="95">
        <v>0.0029222507968744175</v>
      </c>
      <c r="L87" s="95">
        <v>0</v>
      </c>
      <c r="M87" s="95">
        <v>-0.04021125893386204</v>
      </c>
    </row>
    <row r="88" spans="1:13" ht="12.75">
      <c r="A88" s="94" t="s">
        <v>189</v>
      </c>
      <c r="B88" s="94" t="s">
        <v>62</v>
      </c>
      <c r="C88" s="95">
        <v>0.025669711907681175</v>
      </c>
      <c r="D88" s="95">
        <v>0.28761000168089934</v>
      </c>
      <c r="E88" s="95">
        <v>0.07635616869786961</v>
      </c>
      <c r="F88" s="95">
        <v>0</v>
      </c>
      <c r="G88" s="95">
        <v>0.10405476077417572</v>
      </c>
      <c r="H88" s="95">
        <v>0.4370130664553874</v>
      </c>
      <c r="I88" s="95">
        <v>0.06148057700641638</v>
      </c>
      <c r="J88" s="95">
        <v>0.019557920576390178</v>
      </c>
      <c r="K88" s="95">
        <v>0.0023820708473146104</v>
      </c>
      <c r="L88" s="95">
        <v>0</v>
      </c>
      <c r="M88" s="95">
        <v>-0.014124277946134441</v>
      </c>
    </row>
    <row r="89" spans="1:13" ht="12.75">
      <c r="A89" s="94" t="s">
        <v>190</v>
      </c>
      <c r="B89" s="94" t="s">
        <v>59</v>
      </c>
      <c r="C89" s="95">
        <v>0.018942</v>
      </c>
      <c r="D89" s="95">
        <v>0.277431</v>
      </c>
      <c r="E89" s="95">
        <v>0.062503</v>
      </c>
      <c r="F89" s="95">
        <v>0</v>
      </c>
      <c r="G89" s="95">
        <v>0.119323</v>
      </c>
      <c r="H89" s="95">
        <v>0.411816</v>
      </c>
      <c r="I89" s="95">
        <v>0.055566</v>
      </c>
      <c r="J89" s="95">
        <v>0.02447</v>
      </c>
      <c r="K89" s="95">
        <v>0.003267</v>
      </c>
      <c r="L89" s="95">
        <v>0</v>
      </c>
      <c r="M89" s="95">
        <v>0.02668</v>
      </c>
    </row>
    <row r="90" spans="1:13" ht="12.75" hidden="1">
      <c r="A90" s="94" t="s">
        <v>166</v>
      </c>
      <c r="B90" s="97" t="s">
        <v>167</v>
      </c>
      <c r="C90" s="95">
        <v>0</v>
      </c>
      <c r="D90" s="95">
        <v>0</v>
      </c>
      <c r="E90" s="95">
        <v>0</v>
      </c>
      <c r="F90" s="95">
        <v>0</v>
      </c>
      <c r="G90" s="95">
        <v>0</v>
      </c>
      <c r="H90" s="95">
        <v>0</v>
      </c>
      <c r="I90" s="95">
        <v>0</v>
      </c>
      <c r="J90" s="95">
        <v>0</v>
      </c>
      <c r="K90" s="95">
        <v>0</v>
      </c>
      <c r="L90" s="95">
        <v>0</v>
      </c>
      <c r="M90" s="95">
        <v>0</v>
      </c>
    </row>
    <row r="91" spans="1:13" ht="12.75" hidden="1">
      <c r="A91" s="94" t="s">
        <v>166</v>
      </c>
      <c r="B91" s="94" t="s">
        <v>167</v>
      </c>
      <c r="C91" s="95">
        <v>0</v>
      </c>
      <c r="D91" s="95">
        <v>0</v>
      </c>
      <c r="E91" s="95">
        <v>0</v>
      </c>
      <c r="F91" s="95">
        <v>0</v>
      </c>
      <c r="G91" s="95">
        <v>0</v>
      </c>
      <c r="H91" s="95">
        <v>0</v>
      </c>
      <c r="I91" s="95">
        <v>0</v>
      </c>
      <c r="J91" s="95">
        <v>0</v>
      </c>
      <c r="K91" s="95">
        <v>0</v>
      </c>
      <c r="L91" s="95">
        <v>0</v>
      </c>
      <c r="M91" s="95">
        <v>0</v>
      </c>
    </row>
    <row r="92" spans="1:13" ht="12.75" hidden="1">
      <c r="A92" s="94" t="s">
        <v>166</v>
      </c>
      <c r="B92" s="94" t="s">
        <v>167</v>
      </c>
      <c r="C92" s="95">
        <v>0</v>
      </c>
      <c r="D92" s="95">
        <v>0</v>
      </c>
      <c r="E92" s="95">
        <v>0</v>
      </c>
      <c r="F92" s="95">
        <v>0</v>
      </c>
      <c r="G92" s="95">
        <v>0</v>
      </c>
      <c r="H92" s="95">
        <v>0</v>
      </c>
      <c r="I92" s="95">
        <v>0</v>
      </c>
      <c r="J92" s="95">
        <v>0</v>
      </c>
      <c r="K92" s="95">
        <v>0</v>
      </c>
      <c r="L92" s="95">
        <v>0</v>
      </c>
      <c r="M92" s="95">
        <v>0</v>
      </c>
    </row>
    <row r="93" spans="1:13" ht="12.75">
      <c r="A93" s="94" t="s">
        <v>191</v>
      </c>
      <c r="B93" s="94" t="s">
        <v>82</v>
      </c>
      <c r="C93" s="95">
        <v>0.02964496479443798</v>
      </c>
      <c r="D93" s="95">
        <v>0.2885224874895952</v>
      </c>
      <c r="E93" s="95">
        <v>0.08167501458779108</v>
      </c>
      <c r="F93" s="95">
        <v>0</v>
      </c>
      <c r="G93" s="95">
        <v>0.11544205302748467</v>
      </c>
      <c r="H93" s="95">
        <v>0.4019582769567397</v>
      </c>
      <c r="I93" s="95">
        <v>0.05400568186828656</v>
      </c>
      <c r="J93" s="95">
        <v>0.026230799477030754</v>
      </c>
      <c r="K93" s="95">
        <v>0.0025207217986340518</v>
      </c>
      <c r="L93" s="95">
        <v>0</v>
      </c>
      <c r="M93" s="95">
        <v>0</v>
      </c>
    </row>
    <row r="94" spans="1:13" ht="12.75">
      <c r="A94" s="94" t="s">
        <v>192</v>
      </c>
      <c r="B94" s="94" t="s">
        <v>83</v>
      </c>
      <c r="C94" s="95">
        <v>0.02225445082552582</v>
      </c>
      <c r="D94" s="95">
        <v>0.2575676931179357</v>
      </c>
      <c r="E94" s="95">
        <v>0.06553780189828573</v>
      </c>
      <c r="F94" s="95">
        <v>0</v>
      </c>
      <c r="G94" s="95">
        <v>0.11086505002083612</v>
      </c>
      <c r="H94" s="95">
        <v>0.3705019055913585</v>
      </c>
      <c r="I94" s="95">
        <v>0.04909820399992154</v>
      </c>
      <c r="J94" s="95">
        <v>0.023260630968398213</v>
      </c>
      <c r="K94" s="95">
        <v>0.002510550580790188</v>
      </c>
      <c r="L94" s="95">
        <v>0.09840371299694813</v>
      </c>
      <c r="M94" s="95">
        <v>0</v>
      </c>
    </row>
    <row r="95" spans="1:13" ht="12.75">
      <c r="A95" s="94" t="s">
        <v>193</v>
      </c>
      <c r="B95" s="94" t="s">
        <v>84</v>
      </c>
      <c r="C95" s="95">
        <v>0.0179442059565711</v>
      </c>
      <c r="D95" s="95">
        <v>0.27163355907270204</v>
      </c>
      <c r="E95" s="95">
        <v>0.08030303388333351</v>
      </c>
      <c r="F95" s="95">
        <v>0</v>
      </c>
      <c r="G95" s="95">
        <v>0.12869955675312938</v>
      </c>
      <c r="H95" s="95">
        <v>0.41289402626964505</v>
      </c>
      <c r="I95" s="95">
        <v>0.057398372366152056</v>
      </c>
      <c r="J95" s="95">
        <v>0.031127245698466754</v>
      </c>
      <c r="K95" s="341"/>
      <c r="L95" s="341"/>
      <c r="M95" s="341"/>
    </row>
    <row r="96" spans="1:13" ht="12.75">
      <c r="A96" s="100"/>
      <c r="B96" s="100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</row>
    <row r="97" spans="1:13" ht="12.75">
      <c r="A97" s="100"/>
      <c r="B97" s="100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</row>
    <row r="98" spans="1:13" ht="12.75">
      <c r="A98" s="100"/>
      <c r="B98" s="100"/>
      <c r="C98" s="101"/>
      <c r="D98" s="101"/>
      <c r="E98" s="101"/>
      <c r="F98" s="102" t="s">
        <v>332</v>
      </c>
      <c r="G98" s="101"/>
      <c r="H98" s="101"/>
      <c r="I98" s="101"/>
      <c r="J98" s="101"/>
      <c r="K98" s="101"/>
      <c r="L98" s="101"/>
      <c r="M98" s="101"/>
    </row>
    <row r="99" spans="3:13" ht="12.75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</row>
    <row r="100" spans="1:13" ht="12.75">
      <c r="A100" s="88" t="s">
        <v>516</v>
      </c>
      <c r="B100" s="88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</row>
    <row r="101" spans="1:13" ht="12.75">
      <c r="A101" s="92" t="s">
        <v>100</v>
      </c>
      <c r="B101" s="92" t="s">
        <v>101</v>
      </c>
      <c r="C101" s="93">
        <v>0</v>
      </c>
      <c r="D101" s="93">
        <v>0</v>
      </c>
      <c r="E101" s="93">
        <v>0</v>
      </c>
      <c r="F101" s="93">
        <v>0</v>
      </c>
      <c r="G101" s="93">
        <v>0</v>
      </c>
      <c r="H101" s="93">
        <v>1</v>
      </c>
      <c r="I101" s="93">
        <v>0</v>
      </c>
      <c r="J101" s="93">
        <v>0</v>
      </c>
      <c r="K101" s="93">
        <v>0</v>
      </c>
      <c r="L101" s="93">
        <v>0</v>
      </c>
      <c r="M101" s="93">
        <v>0</v>
      </c>
    </row>
    <row r="102" spans="1:13" ht="12.75">
      <c r="A102" s="94" t="s">
        <v>102</v>
      </c>
      <c r="B102" s="94" t="s">
        <v>4</v>
      </c>
      <c r="C102" s="95">
        <v>0.01787511532310702</v>
      </c>
      <c r="D102" s="95">
        <v>0.2705876875132774</v>
      </c>
      <c r="E102" s="95">
        <v>0.07999384285568287</v>
      </c>
      <c r="F102" s="95">
        <v>0</v>
      </c>
      <c r="G102" s="95">
        <v>0.12820402443901413</v>
      </c>
      <c r="H102" s="95">
        <v>0.4113042590825348</v>
      </c>
      <c r="I102" s="95">
        <v>0.057177371229841956</v>
      </c>
      <c r="J102" s="95">
        <v>0.03100739636501037</v>
      </c>
      <c r="K102" s="95">
        <v>0.0038503031915314745</v>
      </c>
      <c r="L102" s="341"/>
      <c r="M102" s="341"/>
    </row>
    <row r="103" spans="1:13" ht="12.75">
      <c r="A103" s="94" t="s">
        <v>103</v>
      </c>
      <c r="B103" s="94" t="s">
        <v>22</v>
      </c>
      <c r="C103" s="95">
        <v>0.01787511532310702</v>
      </c>
      <c r="D103" s="95">
        <v>0.2705876875132774</v>
      </c>
      <c r="E103" s="95">
        <v>0.07999384285568287</v>
      </c>
      <c r="F103" s="95">
        <v>0</v>
      </c>
      <c r="G103" s="95">
        <v>0.12820402443901413</v>
      </c>
      <c r="H103" s="95">
        <v>0.4113042590825348</v>
      </c>
      <c r="I103" s="95">
        <v>0.057177371229841956</v>
      </c>
      <c r="J103" s="95">
        <v>0.03100739636501037</v>
      </c>
      <c r="K103" s="95">
        <v>0.0038503031915314745</v>
      </c>
      <c r="L103" s="341"/>
      <c r="M103" s="341"/>
    </row>
    <row r="104" spans="1:13" ht="12.75">
      <c r="A104" s="94" t="s">
        <v>104</v>
      </c>
      <c r="B104" s="94" t="s">
        <v>23</v>
      </c>
      <c r="C104" s="95">
        <v>0.01787511532310702</v>
      </c>
      <c r="D104" s="95">
        <v>0.2705876875132774</v>
      </c>
      <c r="E104" s="95">
        <v>0.07999384285568287</v>
      </c>
      <c r="F104" s="95">
        <v>0</v>
      </c>
      <c r="G104" s="95">
        <v>0.12820402443901413</v>
      </c>
      <c r="H104" s="95">
        <v>0.4113042590825348</v>
      </c>
      <c r="I104" s="95">
        <v>0.057177371229841956</v>
      </c>
      <c r="J104" s="95">
        <v>0.03100739636501037</v>
      </c>
      <c r="K104" s="95">
        <v>0.0038503031915314745</v>
      </c>
      <c r="L104" s="341"/>
      <c r="M104" s="341"/>
    </row>
    <row r="105" spans="1:13" ht="12.75">
      <c r="A105" s="94" t="s">
        <v>105</v>
      </c>
      <c r="B105" s="94" t="s">
        <v>8</v>
      </c>
      <c r="C105" s="95">
        <v>0.03599059961480204</v>
      </c>
      <c r="D105" s="95">
        <v>0.5448140023687851</v>
      </c>
      <c r="E105" s="95">
        <v>0.1610633731770435</v>
      </c>
      <c r="F105" s="95">
        <v>0</v>
      </c>
      <c r="G105" s="95">
        <v>0.25813202483936937</v>
      </c>
      <c r="H105" s="95">
        <v>0</v>
      </c>
      <c r="I105" s="95">
        <v>0</v>
      </c>
      <c r="J105" s="95">
        <v>0</v>
      </c>
      <c r="K105" s="95">
        <v>0</v>
      </c>
      <c r="L105" s="341"/>
      <c r="M105" s="341"/>
    </row>
    <row r="106" spans="1:13" ht="12.75">
      <c r="A106" s="94" t="s">
        <v>106</v>
      </c>
      <c r="B106" s="94" t="s">
        <v>9</v>
      </c>
      <c r="C106" s="95">
        <v>0</v>
      </c>
      <c r="D106" s="95">
        <v>0</v>
      </c>
      <c r="E106" s="95">
        <v>0</v>
      </c>
      <c r="F106" s="95">
        <v>0</v>
      </c>
      <c r="G106" s="95">
        <v>0</v>
      </c>
      <c r="H106" s="95">
        <v>0.8171510443852026</v>
      </c>
      <c r="I106" s="95">
        <v>0.11359607294095672</v>
      </c>
      <c r="J106" s="95">
        <v>0.06160336481769749</v>
      </c>
      <c r="K106" s="95">
        <v>0.0076495178561432585</v>
      </c>
      <c r="L106" s="341"/>
      <c r="M106" s="341"/>
    </row>
    <row r="107" spans="1:13" ht="12.75">
      <c r="A107" s="94" t="s">
        <v>107</v>
      </c>
      <c r="B107" s="94" t="s">
        <v>29</v>
      </c>
      <c r="C107" s="95">
        <v>0.018337698378302642</v>
      </c>
      <c r="D107" s="95">
        <v>0.27685171784842666</v>
      </c>
      <c r="E107" s="95">
        <v>0.08198946151056613</v>
      </c>
      <c r="F107" s="95">
        <v>0</v>
      </c>
      <c r="G107" s="95">
        <v>0.1231919461472627</v>
      </c>
      <c r="H107" s="95">
        <v>0.4117366558065405</v>
      </c>
      <c r="I107" s="95">
        <v>0.054677919397341616</v>
      </c>
      <c r="J107" s="95">
        <v>0.029457010935850094</v>
      </c>
      <c r="K107" s="95">
        <v>0.003757589975709631</v>
      </c>
      <c r="L107" s="341"/>
      <c r="M107" s="341"/>
    </row>
    <row r="108" spans="1:13" ht="12.75">
      <c r="A108" s="94" t="s">
        <v>108</v>
      </c>
      <c r="B108" s="94" t="s">
        <v>27</v>
      </c>
      <c r="C108" s="95">
        <v>0.016487366157520156</v>
      </c>
      <c r="D108" s="95">
        <v>0.2517955965078296</v>
      </c>
      <c r="E108" s="95">
        <v>0.07400698689103308</v>
      </c>
      <c r="F108" s="95">
        <v>0</v>
      </c>
      <c r="G108" s="95">
        <v>0.14324025931426843</v>
      </c>
      <c r="H108" s="95">
        <v>0.4100070689105177</v>
      </c>
      <c r="I108" s="95">
        <v>0.064675726727343</v>
      </c>
      <c r="J108" s="95">
        <v>0.03565855265249119</v>
      </c>
      <c r="K108" s="95">
        <v>0.004128442838997005</v>
      </c>
      <c r="L108" s="341"/>
      <c r="M108" s="341"/>
    </row>
    <row r="109" spans="1:13" ht="12.75" hidden="1">
      <c r="A109" s="94" t="s">
        <v>109</v>
      </c>
      <c r="B109" s="94" t="s">
        <v>30</v>
      </c>
      <c r="C109" s="95">
        <v>0.016487366157520156</v>
      </c>
      <c r="D109" s="95">
        <v>0.2517955965078296</v>
      </c>
      <c r="E109" s="95">
        <v>0.07400698689103308</v>
      </c>
      <c r="F109" s="95">
        <v>0</v>
      </c>
      <c r="G109" s="95">
        <v>0.14324025931426843</v>
      </c>
      <c r="H109" s="95">
        <v>0.4100070689105177</v>
      </c>
      <c r="I109" s="95">
        <v>0.064675726727343</v>
      </c>
      <c r="J109" s="95">
        <v>0.03565855265249119</v>
      </c>
      <c r="K109" s="95">
        <v>0.004128442838997005</v>
      </c>
      <c r="L109" s="341"/>
      <c r="M109" s="341"/>
    </row>
    <row r="110" spans="1:13" ht="12.75" hidden="1">
      <c r="A110" s="94" t="s">
        <v>110</v>
      </c>
      <c r="B110" s="94" t="s">
        <v>31</v>
      </c>
      <c r="C110" s="95">
        <v>0.016487366157520156</v>
      </c>
      <c r="D110" s="95">
        <v>0.2517955965078296</v>
      </c>
      <c r="E110" s="95">
        <v>0.07400698689103308</v>
      </c>
      <c r="F110" s="95">
        <v>0</v>
      </c>
      <c r="G110" s="95">
        <v>0.14324025931426843</v>
      </c>
      <c r="H110" s="95">
        <v>0.4100070689105177</v>
      </c>
      <c r="I110" s="95">
        <v>0.064675726727343</v>
      </c>
      <c r="J110" s="95">
        <v>0.03565855265249119</v>
      </c>
      <c r="K110" s="95">
        <v>0.004128442838997005</v>
      </c>
      <c r="L110" s="341"/>
      <c r="M110" s="341"/>
    </row>
    <row r="111" spans="1:13" ht="12.75">
      <c r="A111" s="94" t="s">
        <v>111</v>
      </c>
      <c r="B111" s="94" t="s">
        <v>32</v>
      </c>
      <c r="C111" s="95">
        <v>0.033957446635236054</v>
      </c>
      <c r="D111" s="95">
        <v>0.5185992383326858</v>
      </c>
      <c r="E111" s="95">
        <v>0.15242509227834486</v>
      </c>
      <c r="F111" s="95">
        <v>0</v>
      </c>
      <c r="G111" s="95">
        <v>0.29501822275373324</v>
      </c>
      <c r="H111" s="95">
        <v>0</v>
      </c>
      <c r="I111" s="95">
        <v>0</v>
      </c>
      <c r="J111" s="95">
        <v>0</v>
      </c>
      <c r="K111" s="95">
        <v>0</v>
      </c>
      <c r="L111" s="341"/>
      <c r="M111" s="341"/>
    </row>
    <row r="112" spans="1:13" ht="12.75">
      <c r="A112" s="94" t="s">
        <v>112</v>
      </c>
      <c r="B112" s="94" t="s">
        <v>33</v>
      </c>
      <c r="C112" s="95">
        <v>0</v>
      </c>
      <c r="D112" s="95">
        <v>0</v>
      </c>
      <c r="E112" s="95">
        <v>0</v>
      </c>
      <c r="F112" s="95">
        <v>0</v>
      </c>
      <c r="G112" s="95">
        <v>0</v>
      </c>
      <c r="H112" s="95">
        <v>0.7969507169905587</v>
      </c>
      <c r="I112" s="95">
        <v>0.12571336129448676</v>
      </c>
      <c r="J112" s="95">
        <v>0.06931126621490172</v>
      </c>
      <c r="K112" s="95">
        <v>0.008024655500052527</v>
      </c>
      <c r="L112" s="341"/>
      <c r="M112" s="341"/>
    </row>
    <row r="113" spans="1:13" ht="12.75">
      <c r="A113" s="94" t="s">
        <v>113</v>
      </c>
      <c r="B113" s="94" t="s">
        <v>25</v>
      </c>
      <c r="C113" s="95">
        <v>0.024265975367675614</v>
      </c>
      <c r="D113" s="95">
        <v>0.28257092260653166</v>
      </c>
      <c r="E113" s="95">
        <v>0.0781651951612406</v>
      </c>
      <c r="F113" s="95">
        <v>0</v>
      </c>
      <c r="G113" s="95">
        <v>0.11605982098841587</v>
      </c>
      <c r="H113" s="95">
        <v>0.4142264964932957</v>
      </c>
      <c r="I113" s="95">
        <v>0.05565396479131962</v>
      </c>
      <c r="J113" s="95">
        <v>0.026372819837281333</v>
      </c>
      <c r="K113" s="95">
        <v>0.0026848047542398835</v>
      </c>
      <c r="L113" s="341"/>
      <c r="M113" s="341"/>
    </row>
    <row r="114" spans="1:13" ht="12.75" hidden="1">
      <c r="A114" s="94" t="s">
        <v>114</v>
      </c>
      <c r="B114" s="94" t="s">
        <v>34</v>
      </c>
      <c r="C114" s="95">
        <v>0.024265975367675614</v>
      </c>
      <c r="D114" s="95">
        <v>0.28257092260653166</v>
      </c>
      <c r="E114" s="95">
        <v>0.0781651951612406</v>
      </c>
      <c r="F114" s="95">
        <v>0</v>
      </c>
      <c r="G114" s="95">
        <v>0.11605982098841587</v>
      </c>
      <c r="H114" s="95">
        <v>0.4142264964932957</v>
      </c>
      <c r="I114" s="95">
        <v>0.05565396479131962</v>
      </c>
      <c r="J114" s="95">
        <v>0.026372819837281333</v>
      </c>
      <c r="K114" s="95">
        <v>0.0026848047542398835</v>
      </c>
      <c r="L114" s="341"/>
      <c r="M114" s="341"/>
    </row>
    <row r="115" spans="1:13" ht="12.75" hidden="1">
      <c r="A115" s="94" t="s">
        <v>115</v>
      </c>
      <c r="B115" s="94" t="s">
        <v>35</v>
      </c>
      <c r="C115" s="95">
        <v>0.024265975367675614</v>
      </c>
      <c r="D115" s="95">
        <v>0.28257092260653166</v>
      </c>
      <c r="E115" s="95">
        <v>0.0781651951612406</v>
      </c>
      <c r="F115" s="95">
        <v>0</v>
      </c>
      <c r="G115" s="95">
        <v>0.11605982098841587</v>
      </c>
      <c r="H115" s="95">
        <v>0.4142264964932957</v>
      </c>
      <c r="I115" s="95">
        <v>0.05565396479131962</v>
      </c>
      <c r="J115" s="95">
        <v>0.026372819837281333</v>
      </c>
      <c r="K115" s="95">
        <v>0.0026848047542398835</v>
      </c>
      <c r="L115" s="341"/>
      <c r="M115" s="341"/>
    </row>
    <row r="116" spans="1:13" ht="12.75" hidden="1">
      <c r="A116" s="94" t="s">
        <v>116</v>
      </c>
      <c r="B116" s="94" t="s">
        <v>36</v>
      </c>
      <c r="C116" s="95">
        <v>0</v>
      </c>
      <c r="D116" s="95">
        <v>0</v>
      </c>
      <c r="E116" s="95">
        <v>0</v>
      </c>
      <c r="F116" s="95">
        <v>0</v>
      </c>
      <c r="G116" s="95">
        <v>0</v>
      </c>
      <c r="H116" s="95">
        <v>0</v>
      </c>
      <c r="I116" s="95">
        <v>0</v>
      </c>
      <c r="J116" s="95">
        <v>0</v>
      </c>
      <c r="K116" s="95">
        <v>0</v>
      </c>
      <c r="L116" s="341"/>
      <c r="M116" s="341"/>
    </row>
    <row r="117" spans="1:13" ht="12.75" hidden="1">
      <c r="A117" s="94" t="s">
        <v>195</v>
      </c>
      <c r="B117" s="94" t="s">
        <v>37</v>
      </c>
      <c r="C117" s="95">
        <v>0</v>
      </c>
      <c r="D117" s="95">
        <v>0</v>
      </c>
      <c r="E117" s="95">
        <v>0</v>
      </c>
      <c r="F117" s="95">
        <v>0</v>
      </c>
      <c r="G117" s="95">
        <v>0</v>
      </c>
      <c r="H117" s="95">
        <v>0</v>
      </c>
      <c r="I117" s="95">
        <v>0</v>
      </c>
      <c r="J117" s="95">
        <v>0</v>
      </c>
      <c r="K117" s="95">
        <v>0</v>
      </c>
      <c r="L117" s="341"/>
      <c r="M117" s="341"/>
    </row>
    <row r="118" spans="1:13" ht="12.75">
      <c r="A118" s="94" t="s">
        <v>117</v>
      </c>
      <c r="B118" s="94" t="s">
        <v>38</v>
      </c>
      <c r="C118" s="95">
        <v>0.02426597536767561</v>
      </c>
      <c r="D118" s="95">
        <v>0.28257092260653155</v>
      </c>
      <c r="E118" s="95">
        <v>0.07816519516124058</v>
      </c>
      <c r="F118" s="95">
        <v>0</v>
      </c>
      <c r="G118" s="95">
        <v>0.11605982098841583</v>
      </c>
      <c r="H118" s="95">
        <v>0.4142264964932955</v>
      </c>
      <c r="I118" s="95">
        <v>0.05565396479131961</v>
      </c>
      <c r="J118" s="95">
        <v>0.026372819837281326</v>
      </c>
      <c r="K118" s="95">
        <v>0.0026848047542398826</v>
      </c>
      <c r="L118" s="341"/>
      <c r="M118" s="341"/>
    </row>
    <row r="119" spans="1:13" ht="12.75" hidden="1">
      <c r="A119" s="94" t="s">
        <v>118</v>
      </c>
      <c r="B119" s="94" t="s">
        <v>39</v>
      </c>
      <c r="C119" s="95">
        <v>0</v>
      </c>
      <c r="D119" s="95">
        <v>0</v>
      </c>
      <c r="E119" s="95">
        <v>0</v>
      </c>
      <c r="F119" s="95">
        <v>0</v>
      </c>
      <c r="G119" s="95">
        <v>0</v>
      </c>
      <c r="H119" s="95">
        <v>0</v>
      </c>
      <c r="I119" s="95">
        <v>0</v>
      </c>
      <c r="J119" s="95">
        <v>0</v>
      </c>
      <c r="K119" s="95">
        <v>0</v>
      </c>
      <c r="L119" s="341"/>
      <c r="M119" s="341"/>
    </row>
    <row r="120" spans="1:13" ht="12.75" hidden="1">
      <c r="A120" s="94" t="s">
        <v>119</v>
      </c>
      <c r="B120" s="94" t="s">
        <v>40</v>
      </c>
      <c r="C120" s="95">
        <v>0</v>
      </c>
      <c r="D120" s="95">
        <v>0</v>
      </c>
      <c r="E120" s="95">
        <v>0</v>
      </c>
      <c r="F120" s="95">
        <v>0</v>
      </c>
      <c r="G120" s="95">
        <v>0</v>
      </c>
      <c r="H120" s="95">
        <v>0</v>
      </c>
      <c r="I120" s="95">
        <v>0</v>
      </c>
      <c r="J120" s="95">
        <v>0</v>
      </c>
      <c r="K120" s="95">
        <v>0</v>
      </c>
      <c r="L120" s="341"/>
      <c r="M120" s="341"/>
    </row>
    <row r="121" spans="1:13" ht="12.75">
      <c r="A121" s="94" t="s">
        <v>120</v>
      </c>
      <c r="B121" s="94" t="s">
        <v>41</v>
      </c>
      <c r="C121" s="95">
        <v>0.022723399042436837</v>
      </c>
      <c r="D121" s="95">
        <v>0.2744213556766335</v>
      </c>
      <c r="E121" s="95">
        <v>0.07620153858516573</v>
      </c>
      <c r="F121" s="95">
        <v>0</v>
      </c>
      <c r="G121" s="95">
        <v>0.11604787900842592</v>
      </c>
      <c r="H121" s="95">
        <v>0.4265493148641887</v>
      </c>
      <c r="I121" s="95">
        <v>0.05508149403609216</v>
      </c>
      <c r="J121" s="95">
        <v>0.026220505346850137</v>
      </c>
      <c r="K121" s="95">
        <v>0.0027545134402067947</v>
      </c>
      <c r="L121" s="341"/>
      <c r="M121" s="341"/>
    </row>
    <row r="122" spans="1:13" ht="12.75">
      <c r="A122" s="94" t="s">
        <v>121</v>
      </c>
      <c r="B122" s="94" t="s">
        <v>122</v>
      </c>
      <c r="C122" s="95">
        <v>0.017014651351286054</v>
      </c>
      <c r="D122" s="95">
        <v>0.2592200808247145</v>
      </c>
      <c r="E122" s="95">
        <v>0.07797529219657588</v>
      </c>
      <c r="F122" s="95">
        <v>0</v>
      </c>
      <c r="G122" s="95">
        <v>0.11259478547534002</v>
      </c>
      <c r="H122" s="95">
        <v>0.45202873021565637</v>
      </c>
      <c r="I122" s="95">
        <v>0.050125469494374984</v>
      </c>
      <c r="J122" s="95">
        <v>0.026514943285626813</v>
      </c>
      <c r="K122" s="95">
        <v>0.004526047156425531</v>
      </c>
      <c r="L122" s="341"/>
      <c r="M122" s="341"/>
    </row>
    <row r="123" spans="1:13" ht="12.75">
      <c r="A123" s="94" t="s">
        <v>123</v>
      </c>
      <c r="B123" s="94" t="s">
        <v>124</v>
      </c>
      <c r="C123" s="95">
        <v>0.016483361438260923</v>
      </c>
      <c r="D123" s="95">
        <v>0.23704215595633085</v>
      </c>
      <c r="E123" s="95">
        <v>0.07097553353894485</v>
      </c>
      <c r="F123" s="95">
        <v>0</v>
      </c>
      <c r="G123" s="95">
        <v>0.13365776902576454</v>
      </c>
      <c r="H123" s="95">
        <v>0.4291123987171069</v>
      </c>
      <c r="I123" s="95">
        <v>0.074440983119491</v>
      </c>
      <c r="J123" s="95">
        <v>0.03355986243689129</v>
      </c>
      <c r="K123" s="95">
        <v>0.004727935767209739</v>
      </c>
      <c r="L123" s="341"/>
      <c r="M123" s="341"/>
    </row>
    <row r="124" spans="1:13" ht="12.75">
      <c r="A124" s="94" t="s">
        <v>125</v>
      </c>
      <c r="B124" s="94" t="s">
        <v>126</v>
      </c>
      <c r="C124" s="95">
        <v>0.01860594005159463</v>
      </c>
      <c r="D124" s="95">
        <v>0.284869113639631</v>
      </c>
      <c r="E124" s="95">
        <v>0.08413083335243601</v>
      </c>
      <c r="F124" s="95">
        <v>0</v>
      </c>
      <c r="G124" s="95">
        <v>0.12515236187874149</v>
      </c>
      <c r="H124" s="95">
        <v>0.3987182756940472</v>
      </c>
      <c r="I124" s="95">
        <v>0.05490959323433064</v>
      </c>
      <c r="J124" s="95">
        <v>0.030092786962837088</v>
      </c>
      <c r="K124" s="95">
        <v>0.0035210951863821486</v>
      </c>
      <c r="L124" s="341"/>
      <c r="M124" s="341"/>
    </row>
    <row r="125" spans="1:13" ht="12.75">
      <c r="A125" s="94" t="s">
        <v>127</v>
      </c>
      <c r="B125" s="94" t="s">
        <v>128</v>
      </c>
      <c r="C125" s="95">
        <v>0.016376548271068932</v>
      </c>
      <c r="D125" s="95">
        <v>0.2564552945100103</v>
      </c>
      <c r="E125" s="95">
        <v>0.07621770309031344</v>
      </c>
      <c r="F125" s="95">
        <v>0</v>
      </c>
      <c r="G125" s="95">
        <v>0.1448677554484446</v>
      </c>
      <c r="H125" s="95">
        <v>0.40507306044056074</v>
      </c>
      <c r="I125" s="95">
        <v>0.061232594270451045</v>
      </c>
      <c r="J125" s="95">
        <v>0.03581638692594995</v>
      </c>
      <c r="K125" s="95">
        <v>0.003960657043200841</v>
      </c>
      <c r="L125" s="341"/>
      <c r="M125" s="341"/>
    </row>
    <row r="126" spans="1:13" ht="12.75">
      <c r="A126" s="94" t="s">
        <v>129</v>
      </c>
      <c r="B126" s="94" t="s">
        <v>21</v>
      </c>
      <c r="C126" s="95">
        <v>0.018048592106463205</v>
      </c>
      <c r="D126" s="95">
        <v>0.2777656588572258</v>
      </c>
      <c r="E126" s="95">
        <v>0.08215255078690538</v>
      </c>
      <c r="F126" s="95">
        <v>0</v>
      </c>
      <c r="G126" s="95">
        <v>0.13008121027116726</v>
      </c>
      <c r="H126" s="95">
        <v>0.4003069718806756</v>
      </c>
      <c r="I126" s="95">
        <v>0.05649034349336074</v>
      </c>
      <c r="J126" s="95">
        <v>0.03152368695361531</v>
      </c>
      <c r="K126" s="95">
        <v>0.003630985650586822</v>
      </c>
      <c r="L126" s="341"/>
      <c r="M126" s="341"/>
    </row>
    <row r="127" spans="1:13" ht="12.75">
      <c r="A127" s="94" t="s">
        <v>130</v>
      </c>
      <c r="B127" s="94" t="s">
        <v>131</v>
      </c>
      <c r="C127" s="95">
        <v>0.017295374552809738</v>
      </c>
      <c r="D127" s="95">
        <v>0.2596313196894376</v>
      </c>
      <c r="E127" s="95">
        <v>0.07892415653049652</v>
      </c>
      <c r="F127" s="95">
        <v>0</v>
      </c>
      <c r="G127" s="95">
        <v>0.11185548242101688</v>
      </c>
      <c r="H127" s="95">
        <v>0.4529411387706975</v>
      </c>
      <c r="I127" s="95">
        <v>0.048681690498439435</v>
      </c>
      <c r="J127" s="95">
        <v>0.02603879147389003</v>
      </c>
      <c r="K127" s="95">
        <v>0.00463204606321215</v>
      </c>
      <c r="L127" s="341"/>
      <c r="M127" s="341"/>
    </row>
    <row r="128" spans="1:13" ht="12.75">
      <c r="A128" s="94" t="s">
        <v>132</v>
      </c>
      <c r="B128" s="94" t="s">
        <v>133</v>
      </c>
      <c r="C128" s="95">
        <v>0.016630888804627687</v>
      </c>
      <c r="D128" s="95">
        <v>0.23511173424136325</v>
      </c>
      <c r="E128" s="95">
        <v>0.07025046730666006</v>
      </c>
      <c r="F128" s="95">
        <v>0</v>
      </c>
      <c r="G128" s="95">
        <v>0.1306993814584596</v>
      </c>
      <c r="H128" s="95">
        <v>0.4311502880479897</v>
      </c>
      <c r="I128" s="95">
        <v>0.07849241157395938</v>
      </c>
      <c r="J128" s="95">
        <v>0.032766608334361735</v>
      </c>
      <c r="K128" s="95">
        <v>0.004898220232578537</v>
      </c>
      <c r="L128" s="341"/>
      <c r="M128" s="341"/>
    </row>
    <row r="129" spans="1:13" ht="12.75">
      <c r="A129" s="94" t="s">
        <v>134</v>
      </c>
      <c r="B129" s="94" t="s">
        <v>135</v>
      </c>
      <c r="C129" s="95">
        <v>0.017129253115764225</v>
      </c>
      <c r="D129" s="95">
        <v>0.25350142332741904</v>
      </c>
      <c r="E129" s="95">
        <v>0.07675573422453741</v>
      </c>
      <c r="F129" s="95">
        <v>0</v>
      </c>
      <c r="G129" s="95">
        <v>0.11656645718037756</v>
      </c>
      <c r="H129" s="95">
        <v>0.4474934260900205</v>
      </c>
      <c r="I129" s="95">
        <v>0.05613437076731942</v>
      </c>
      <c r="J129" s="95">
        <v>0.027720745689007956</v>
      </c>
      <c r="K129" s="95">
        <v>0.0046985896055537464</v>
      </c>
      <c r="L129" s="341"/>
      <c r="M129" s="341"/>
    </row>
    <row r="130" spans="1:13" ht="12.75">
      <c r="A130" s="94" t="s">
        <v>136</v>
      </c>
      <c r="B130" s="94" t="s">
        <v>24</v>
      </c>
      <c r="C130" s="95">
        <v>0.01688182887302977</v>
      </c>
      <c r="D130" s="95">
        <v>0.2536755996076186</v>
      </c>
      <c r="E130" s="95">
        <v>0.07622535253216813</v>
      </c>
      <c r="F130" s="95">
        <v>0</v>
      </c>
      <c r="G130" s="95">
        <v>0.11786053136294615</v>
      </c>
      <c r="H130" s="95">
        <v>0.446299647341019</v>
      </c>
      <c r="I130" s="95">
        <v>0.056204347900653984</v>
      </c>
      <c r="J130" s="95">
        <v>0.028276173073442934</v>
      </c>
      <c r="K130" s="95">
        <v>0.004576519309121583</v>
      </c>
      <c r="L130" s="341"/>
      <c r="M130" s="341"/>
    </row>
    <row r="131" spans="1:13" ht="12.75">
      <c r="A131" s="94" t="s">
        <v>137</v>
      </c>
      <c r="B131" s="94" t="s">
        <v>138</v>
      </c>
      <c r="C131" s="95">
        <v>0.007420790567243784</v>
      </c>
      <c r="D131" s="95">
        <v>0.6971870720668392</v>
      </c>
      <c r="E131" s="95">
        <v>0.03320915942476009</v>
      </c>
      <c r="F131" s="95">
        <v>0</v>
      </c>
      <c r="G131" s="95">
        <v>0.053223444886528505</v>
      </c>
      <c r="H131" s="95">
        <v>0.170751500669834</v>
      </c>
      <c r="I131" s="95">
        <v>0.02373698235858184</v>
      </c>
      <c r="J131" s="95">
        <v>0.012872610346899998</v>
      </c>
      <c r="K131" s="95">
        <v>0.0015984396793127385</v>
      </c>
      <c r="L131" s="341"/>
      <c r="M131" s="341"/>
    </row>
    <row r="132" spans="1:13" ht="12.75">
      <c r="A132" s="94" t="s">
        <v>139</v>
      </c>
      <c r="B132" s="94" t="s">
        <v>42</v>
      </c>
      <c r="C132" s="95">
        <v>0.03555512776459525</v>
      </c>
      <c r="D132" s="95">
        <v>0.28192465135603</v>
      </c>
      <c r="E132" s="95">
        <v>0.06580368086105505</v>
      </c>
      <c r="F132" s="95">
        <v>0</v>
      </c>
      <c r="G132" s="95">
        <v>0.08153539507367494</v>
      </c>
      <c r="H132" s="95">
        <v>0.4754513649953301</v>
      </c>
      <c r="I132" s="95">
        <v>0.046596907517319125</v>
      </c>
      <c r="J132" s="95">
        <v>0.013132872431995528</v>
      </c>
      <c r="K132" s="95">
        <v>0</v>
      </c>
      <c r="L132" s="341"/>
      <c r="M132" s="341"/>
    </row>
    <row r="133" spans="1:13" ht="12.75" hidden="1">
      <c r="A133" s="94" t="s">
        <v>140</v>
      </c>
      <c r="B133" s="94" t="s">
        <v>141</v>
      </c>
      <c r="C133" s="95">
        <v>0</v>
      </c>
      <c r="D133" s="95">
        <v>0</v>
      </c>
      <c r="E133" s="95">
        <v>0</v>
      </c>
      <c r="F133" s="95">
        <v>0</v>
      </c>
      <c r="G133" s="95">
        <v>0</v>
      </c>
      <c r="H133" s="95">
        <v>0.8171510443852026</v>
      </c>
      <c r="I133" s="95">
        <v>0.11359607294095672</v>
      </c>
      <c r="J133" s="95">
        <v>0.06160336481769749</v>
      </c>
      <c r="K133" s="95">
        <v>0.0076495178561432585</v>
      </c>
      <c r="L133" s="341"/>
      <c r="M133" s="341"/>
    </row>
    <row r="134" spans="1:13" ht="12.75" hidden="1">
      <c r="A134" s="94" t="s">
        <v>142</v>
      </c>
      <c r="B134" s="94" t="s">
        <v>143</v>
      </c>
      <c r="C134" s="95">
        <v>0</v>
      </c>
      <c r="D134" s="95">
        <v>0</v>
      </c>
      <c r="E134" s="95">
        <v>0</v>
      </c>
      <c r="F134" s="95">
        <v>0</v>
      </c>
      <c r="G134" s="95">
        <v>0</v>
      </c>
      <c r="H134" s="95">
        <v>0.7969507169905587</v>
      </c>
      <c r="I134" s="95">
        <v>0.12571336129448676</v>
      </c>
      <c r="J134" s="95">
        <v>0.06931126621490172</v>
      </c>
      <c r="K134" s="95">
        <v>0.008024655500052527</v>
      </c>
      <c r="L134" s="341"/>
      <c r="M134" s="341"/>
    </row>
    <row r="135" spans="1:13" ht="12.75" hidden="1">
      <c r="A135" s="94" t="s">
        <v>144</v>
      </c>
      <c r="B135" s="94" t="s">
        <v>43</v>
      </c>
      <c r="C135" s="95">
        <v>0</v>
      </c>
      <c r="D135" s="95">
        <v>0</v>
      </c>
      <c r="E135" s="95">
        <v>0</v>
      </c>
      <c r="F135" s="95">
        <v>0</v>
      </c>
      <c r="G135" s="95">
        <v>0</v>
      </c>
      <c r="H135" s="95">
        <v>0</v>
      </c>
      <c r="I135" s="95">
        <v>0</v>
      </c>
      <c r="J135" s="95">
        <v>0</v>
      </c>
      <c r="K135" s="95">
        <v>0</v>
      </c>
      <c r="L135" s="341"/>
      <c r="M135" s="341"/>
    </row>
    <row r="136" spans="1:13" ht="12.75" hidden="1">
      <c r="A136" s="94" t="s">
        <v>145</v>
      </c>
      <c r="B136" s="94" t="s">
        <v>44</v>
      </c>
      <c r="C136" s="95">
        <v>0.016487366157520156</v>
      </c>
      <c r="D136" s="95">
        <v>0.2517955965078297</v>
      </c>
      <c r="E136" s="95">
        <v>0.07400698689103308</v>
      </c>
      <c r="F136" s="95">
        <v>0</v>
      </c>
      <c r="G136" s="95">
        <v>0.14324025931426843</v>
      </c>
      <c r="H136" s="95">
        <v>0.4100070689105177</v>
      </c>
      <c r="I136" s="95">
        <v>0.064675726727343</v>
      </c>
      <c r="J136" s="95">
        <v>0.03565855265249119</v>
      </c>
      <c r="K136" s="95">
        <v>0.004128442838997006</v>
      </c>
      <c r="L136" s="341"/>
      <c r="M136" s="341"/>
    </row>
    <row r="137" spans="1:13" ht="12.75" hidden="1">
      <c r="A137" s="94" t="s">
        <v>146</v>
      </c>
      <c r="B137" s="94" t="s">
        <v>45</v>
      </c>
      <c r="C137" s="95">
        <v>0</v>
      </c>
      <c r="D137" s="95">
        <v>0</v>
      </c>
      <c r="E137" s="95">
        <v>0</v>
      </c>
      <c r="F137" s="95">
        <v>0</v>
      </c>
      <c r="G137" s="95">
        <v>0</v>
      </c>
      <c r="H137" s="95">
        <v>0</v>
      </c>
      <c r="I137" s="95">
        <v>0</v>
      </c>
      <c r="J137" s="95">
        <v>0</v>
      </c>
      <c r="K137" s="95">
        <v>0</v>
      </c>
      <c r="L137" s="341"/>
      <c r="M137" s="341"/>
    </row>
    <row r="138" spans="1:13" ht="12.75" hidden="1">
      <c r="A138" s="94" t="s">
        <v>147</v>
      </c>
      <c r="B138" s="94" t="s">
        <v>46</v>
      </c>
      <c r="C138" s="95">
        <v>0</v>
      </c>
      <c r="D138" s="95">
        <v>0</v>
      </c>
      <c r="E138" s="95">
        <v>0</v>
      </c>
      <c r="F138" s="95">
        <v>0</v>
      </c>
      <c r="G138" s="95">
        <v>0</v>
      </c>
      <c r="H138" s="95">
        <v>0</v>
      </c>
      <c r="I138" s="95">
        <v>0</v>
      </c>
      <c r="J138" s="95">
        <v>0</v>
      </c>
      <c r="K138" s="95">
        <v>0</v>
      </c>
      <c r="L138" s="341"/>
      <c r="M138" s="341"/>
    </row>
    <row r="139" spans="1:13" ht="12.75" hidden="1">
      <c r="A139" s="94" t="s">
        <v>148</v>
      </c>
      <c r="B139" s="94" t="s">
        <v>47</v>
      </c>
      <c r="C139" s="95">
        <v>0</v>
      </c>
      <c r="D139" s="95">
        <v>0</v>
      </c>
      <c r="E139" s="95">
        <v>0</v>
      </c>
      <c r="F139" s="95">
        <v>0</v>
      </c>
      <c r="G139" s="95">
        <v>0</v>
      </c>
      <c r="H139" s="95">
        <v>0</v>
      </c>
      <c r="I139" s="95">
        <v>0</v>
      </c>
      <c r="J139" s="95">
        <v>0</v>
      </c>
      <c r="K139" s="95">
        <v>0</v>
      </c>
      <c r="L139" s="341"/>
      <c r="M139" s="341"/>
    </row>
    <row r="140" spans="1:13" ht="12.75" hidden="1">
      <c r="A140" s="94" t="s">
        <v>149</v>
      </c>
      <c r="B140" s="94" t="s">
        <v>48</v>
      </c>
      <c r="C140" s="95">
        <v>0</v>
      </c>
      <c r="D140" s="95">
        <v>0</v>
      </c>
      <c r="E140" s="95">
        <v>0</v>
      </c>
      <c r="F140" s="95">
        <v>0</v>
      </c>
      <c r="G140" s="95">
        <v>0</v>
      </c>
      <c r="H140" s="95">
        <v>0</v>
      </c>
      <c r="I140" s="95">
        <v>0</v>
      </c>
      <c r="J140" s="95">
        <v>0</v>
      </c>
      <c r="K140" s="95">
        <v>0</v>
      </c>
      <c r="L140" s="341"/>
      <c r="M140" s="341"/>
    </row>
    <row r="141" spans="1:13" ht="12.75" hidden="1">
      <c r="A141" s="94" t="s">
        <v>150</v>
      </c>
      <c r="B141" s="94" t="s">
        <v>49</v>
      </c>
      <c r="C141" s="95">
        <v>0</v>
      </c>
      <c r="D141" s="95">
        <v>0</v>
      </c>
      <c r="E141" s="95">
        <v>0</v>
      </c>
      <c r="F141" s="95">
        <v>0</v>
      </c>
      <c r="G141" s="95">
        <v>0</v>
      </c>
      <c r="H141" s="95">
        <v>0</v>
      </c>
      <c r="I141" s="95">
        <v>0</v>
      </c>
      <c r="J141" s="95">
        <v>0</v>
      </c>
      <c r="K141" s="95">
        <v>0</v>
      </c>
      <c r="L141" s="341"/>
      <c r="M141" s="341"/>
    </row>
    <row r="142" spans="1:13" ht="12.75" hidden="1">
      <c r="A142" s="94" t="s">
        <v>151</v>
      </c>
      <c r="B142" s="94" t="s">
        <v>50</v>
      </c>
      <c r="C142" s="95">
        <v>0</v>
      </c>
      <c r="D142" s="95">
        <v>0</v>
      </c>
      <c r="E142" s="95">
        <v>0</v>
      </c>
      <c r="F142" s="95">
        <v>0</v>
      </c>
      <c r="G142" s="95">
        <v>0</v>
      </c>
      <c r="H142" s="95">
        <v>0</v>
      </c>
      <c r="I142" s="95">
        <v>0</v>
      </c>
      <c r="J142" s="95">
        <v>0</v>
      </c>
      <c r="K142" s="95">
        <v>0</v>
      </c>
      <c r="L142" s="341"/>
      <c r="M142" s="341"/>
    </row>
    <row r="143" spans="1:13" ht="12.75">
      <c r="A143" s="94" t="s">
        <v>152</v>
      </c>
      <c r="B143" s="94" t="s">
        <v>153</v>
      </c>
      <c r="C143" s="95">
        <v>0.017875115323107017</v>
      </c>
      <c r="D143" s="95">
        <v>0.27058768751327733</v>
      </c>
      <c r="E143" s="95">
        <v>0.07999384285568284</v>
      </c>
      <c r="F143" s="95">
        <v>0</v>
      </c>
      <c r="G143" s="95">
        <v>0.12820402443901416</v>
      </c>
      <c r="H143" s="95">
        <v>0.41130425908253476</v>
      </c>
      <c r="I143" s="95">
        <v>0.05717737122984192</v>
      </c>
      <c r="J143" s="95">
        <v>0.031007396365010376</v>
      </c>
      <c r="K143" s="95">
        <v>0.003850303191531473</v>
      </c>
      <c r="L143" s="341"/>
      <c r="M143" s="341"/>
    </row>
    <row r="144" spans="1:13" ht="12.75">
      <c r="A144" s="94" t="s">
        <v>154</v>
      </c>
      <c r="B144" s="94" t="s">
        <v>155</v>
      </c>
      <c r="C144" s="95">
        <v>0.017875115323107017</v>
      </c>
      <c r="D144" s="95">
        <v>0.27058768751327733</v>
      </c>
      <c r="E144" s="95">
        <v>0.07999384285568284</v>
      </c>
      <c r="F144" s="95">
        <v>0</v>
      </c>
      <c r="G144" s="95">
        <v>0.12820402443901416</v>
      </c>
      <c r="H144" s="95">
        <v>0.41130425908253476</v>
      </c>
      <c r="I144" s="95">
        <v>0.05717737122984192</v>
      </c>
      <c r="J144" s="95">
        <v>0.031007396365010376</v>
      </c>
      <c r="K144" s="95">
        <v>0.003850303191531473</v>
      </c>
      <c r="L144" s="341"/>
      <c r="M144" s="341"/>
    </row>
    <row r="145" spans="1:13" ht="12.75">
      <c r="A145" s="94" t="s">
        <v>156</v>
      </c>
      <c r="B145" s="94" t="s">
        <v>26</v>
      </c>
      <c r="C145" s="95">
        <v>0.025622570419392577</v>
      </c>
      <c r="D145" s="95">
        <v>0.31067767194972074</v>
      </c>
      <c r="E145" s="95">
        <v>0.07057184634906648</v>
      </c>
      <c r="F145" s="95">
        <v>0</v>
      </c>
      <c r="G145" s="95">
        <v>0.06703674521566617</v>
      </c>
      <c r="H145" s="95">
        <v>0.4781353955716365</v>
      </c>
      <c r="I145" s="95">
        <v>0.03933427509889823</v>
      </c>
      <c r="J145" s="95">
        <v>0.008621495395619298</v>
      </c>
      <c r="K145" s="95">
        <v>0</v>
      </c>
      <c r="L145" s="342">
        <v>0</v>
      </c>
      <c r="M145" s="342">
        <v>0</v>
      </c>
    </row>
    <row r="146" spans="1:13" ht="12.75" hidden="1">
      <c r="A146" s="94" t="s">
        <v>157</v>
      </c>
      <c r="B146" s="94" t="s">
        <v>51</v>
      </c>
      <c r="C146" s="95">
        <v>0.05406645452608147</v>
      </c>
      <c r="D146" s="95">
        <v>0.6555642134180789</v>
      </c>
      <c r="E146" s="95">
        <v>0.14891439301365242</v>
      </c>
      <c r="F146" s="95">
        <v>0</v>
      </c>
      <c r="G146" s="95">
        <v>0.14145493904218714</v>
      </c>
      <c r="H146" s="95">
        <v>0</v>
      </c>
      <c r="I146" s="95">
        <v>0</v>
      </c>
      <c r="J146" s="95">
        <v>0</v>
      </c>
      <c r="K146" s="95">
        <v>0</v>
      </c>
      <c r="L146" s="342">
        <v>0</v>
      </c>
      <c r="M146" s="342">
        <v>0</v>
      </c>
    </row>
    <row r="147" spans="1:13" ht="12.75" hidden="1">
      <c r="A147" s="94" t="s">
        <v>158</v>
      </c>
      <c r="B147" s="96" t="s">
        <v>52</v>
      </c>
      <c r="C147" s="95">
        <v>0</v>
      </c>
      <c r="D147" s="95">
        <v>0</v>
      </c>
      <c r="E147" s="95">
        <v>0</v>
      </c>
      <c r="F147" s="95">
        <v>0</v>
      </c>
      <c r="G147" s="95">
        <v>0</v>
      </c>
      <c r="H147" s="95">
        <v>0.9088451325782435</v>
      </c>
      <c r="I147" s="95">
        <v>0.07476703209639543</v>
      </c>
      <c r="J147" s="95">
        <v>0.016387835325361033</v>
      </c>
      <c r="K147" s="95">
        <v>0</v>
      </c>
      <c r="L147" s="342">
        <v>0</v>
      </c>
      <c r="M147" s="342">
        <v>0</v>
      </c>
    </row>
    <row r="148" spans="1:13" ht="12.75" hidden="1">
      <c r="A148" s="94" t="s">
        <v>159</v>
      </c>
      <c r="B148" s="94" t="s">
        <v>53</v>
      </c>
      <c r="C148" s="95">
        <v>0</v>
      </c>
      <c r="D148" s="95">
        <v>0</v>
      </c>
      <c r="E148" s="95">
        <v>1</v>
      </c>
      <c r="F148" s="95">
        <v>0</v>
      </c>
      <c r="G148" s="95">
        <v>0</v>
      </c>
      <c r="H148" s="95">
        <v>0</v>
      </c>
      <c r="I148" s="95">
        <v>0</v>
      </c>
      <c r="J148" s="95">
        <v>0</v>
      </c>
      <c r="K148" s="95">
        <v>0</v>
      </c>
      <c r="L148" s="342">
        <v>0</v>
      </c>
      <c r="M148" s="342">
        <v>0</v>
      </c>
    </row>
    <row r="149" spans="1:13" ht="12.75" hidden="1">
      <c r="A149" s="94" t="s">
        <v>160</v>
      </c>
      <c r="B149" s="94" t="s">
        <v>161</v>
      </c>
      <c r="C149" s="95">
        <v>0</v>
      </c>
      <c r="D149" s="95">
        <v>0</v>
      </c>
      <c r="E149" s="95">
        <v>0</v>
      </c>
      <c r="F149" s="95">
        <v>0</v>
      </c>
      <c r="G149" s="95">
        <v>0</v>
      </c>
      <c r="H149" s="95">
        <v>0</v>
      </c>
      <c r="I149" s="95">
        <v>0</v>
      </c>
      <c r="J149" s="95">
        <v>0</v>
      </c>
      <c r="K149" s="95">
        <v>0</v>
      </c>
      <c r="L149" s="341"/>
      <c r="M149" s="341"/>
    </row>
    <row r="150" spans="1:13" ht="12.75" hidden="1">
      <c r="A150" s="94" t="s">
        <v>162</v>
      </c>
      <c r="B150" s="94" t="s">
        <v>54</v>
      </c>
      <c r="C150" s="95">
        <v>0</v>
      </c>
      <c r="D150" s="95">
        <v>0</v>
      </c>
      <c r="E150" s="95">
        <v>0</v>
      </c>
      <c r="F150" s="95">
        <v>0</v>
      </c>
      <c r="G150" s="95">
        <v>0</v>
      </c>
      <c r="H150" s="95">
        <v>0</v>
      </c>
      <c r="I150" s="95">
        <v>0</v>
      </c>
      <c r="J150" s="95">
        <v>0</v>
      </c>
      <c r="K150" s="95">
        <v>0</v>
      </c>
      <c r="L150" s="341"/>
      <c r="M150" s="341"/>
    </row>
    <row r="151" spans="1:13" ht="12.75" hidden="1">
      <c r="A151" s="94" t="s">
        <v>163</v>
      </c>
      <c r="B151" s="94" t="s">
        <v>55</v>
      </c>
      <c r="C151" s="95">
        <v>0.2990355451281618</v>
      </c>
      <c r="D151" s="95">
        <v>-0.5063619940030045</v>
      </c>
      <c r="E151" s="95">
        <v>0.6924632299609557</v>
      </c>
      <c r="F151" s="95">
        <v>0</v>
      </c>
      <c r="G151" s="95">
        <v>0.3063035196385511</v>
      </c>
      <c r="H151" s="95">
        <v>0.9428250621027199</v>
      </c>
      <c r="I151" s="95">
        <v>-0.17841538288526046</v>
      </c>
      <c r="J151" s="95">
        <v>-0.40633612238771905</v>
      </c>
      <c r="K151" s="95">
        <v>-0.07694254935187468</v>
      </c>
      <c r="L151" s="95">
        <v>0.5908549693097537</v>
      </c>
      <c r="M151" s="95">
        <v>-0.6633765492399374</v>
      </c>
    </row>
    <row r="152" spans="1:13" ht="12.75" hidden="1">
      <c r="A152" s="94" t="s">
        <v>164</v>
      </c>
      <c r="B152" s="94" t="s">
        <v>56</v>
      </c>
      <c r="C152" s="95">
        <v>0.022723399042436837</v>
      </c>
      <c r="D152" s="95">
        <v>0.2744213556766335</v>
      </c>
      <c r="E152" s="95">
        <v>0.07620153858516573</v>
      </c>
      <c r="F152" s="95">
        <v>0</v>
      </c>
      <c r="G152" s="95">
        <v>0.11604787900842592</v>
      </c>
      <c r="H152" s="95">
        <v>0.4265493148641887</v>
      </c>
      <c r="I152" s="95">
        <v>0.05508149403609216</v>
      </c>
      <c r="J152" s="95">
        <v>0.026220505346850137</v>
      </c>
      <c r="K152" s="95">
        <v>0.0027545134402067947</v>
      </c>
      <c r="L152" s="341"/>
      <c r="M152" s="95">
        <v>0</v>
      </c>
    </row>
    <row r="153" spans="1:13" ht="12.75">
      <c r="A153" s="94" t="s">
        <v>57</v>
      </c>
      <c r="B153" s="94" t="s">
        <v>57</v>
      </c>
      <c r="C153" s="95">
        <v>0.03555512776459525</v>
      </c>
      <c r="D153" s="95">
        <v>0.28192465135603</v>
      </c>
      <c r="E153" s="95">
        <v>0.06580368086105505</v>
      </c>
      <c r="F153" s="95">
        <v>0</v>
      </c>
      <c r="G153" s="95">
        <v>0.08153539507367494</v>
      </c>
      <c r="H153" s="95">
        <v>0.4754513649953301</v>
      </c>
      <c r="I153" s="95">
        <v>0.046596907517319125</v>
      </c>
      <c r="J153" s="95">
        <v>0.013132872431995528</v>
      </c>
      <c r="K153" s="95">
        <v>0</v>
      </c>
      <c r="L153" s="341"/>
      <c r="M153" s="341"/>
    </row>
    <row r="154" spans="1:13" ht="12.75" hidden="1">
      <c r="A154" s="94" t="s">
        <v>165</v>
      </c>
      <c r="B154" s="94" t="s">
        <v>58</v>
      </c>
      <c r="C154" s="342">
        <v>0</v>
      </c>
      <c r="D154" s="342">
        <v>0</v>
      </c>
      <c r="E154" s="342">
        <v>0</v>
      </c>
      <c r="F154" s="342">
        <v>0</v>
      </c>
      <c r="G154" s="342">
        <v>0</v>
      </c>
      <c r="H154" s="342">
        <v>0</v>
      </c>
      <c r="I154" s="342">
        <v>1</v>
      </c>
      <c r="J154" s="342">
        <v>0</v>
      </c>
      <c r="K154" s="342">
        <v>0</v>
      </c>
      <c r="L154" s="341"/>
      <c r="M154" s="95">
        <v>0</v>
      </c>
    </row>
    <row r="155" spans="1:13" ht="12.75" hidden="1">
      <c r="A155" s="97" t="s">
        <v>166</v>
      </c>
      <c r="B155" s="94" t="s">
        <v>167</v>
      </c>
      <c r="C155" s="95">
        <v>0</v>
      </c>
      <c r="D155" s="95">
        <v>0</v>
      </c>
      <c r="E155" s="95">
        <v>0</v>
      </c>
      <c r="F155" s="95">
        <v>0</v>
      </c>
      <c r="G155" s="95">
        <v>0</v>
      </c>
      <c r="H155" s="95">
        <v>0</v>
      </c>
      <c r="I155" s="95">
        <v>0</v>
      </c>
      <c r="J155" s="95">
        <v>0</v>
      </c>
      <c r="K155" s="95">
        <v>0</v>
      </c>
      <c r="L155" s="341"/>
      <c r="M155" s="341"/>
    </row>
    <row r="156" spans="1:13" ht="12.75">
      <c r="A156" s="94" t="s">
        <v>168</v>
      </c>
      <c r="B156" s="94" t="s">
        <v>60</v>
      </c>
      <c r="C156" s="95">
        <v>0.006435898745843826</v>
      </c>
      <c r="D156" s="95">
        <v>0.4773396556178292</v>
      </c>
      <c r="E156" s="95">
        <v>0.14287712219230567</v>
      </c>
      <c r="F156" s="95">
        <v>0</v>
      </c>
      <c r="G156" s="95">
        <v>0.07351803235939305</v>
      </c>
      <c r="H156" s="95">
        <v>0.27669903292869336</v>
      </c>
      <c r="I156" s="95">
        <v>0.023122640600790587</v>
      </c>
      <c r="J156" s="95">
        <v>7.617555144315033E-06</v>
      </c>
      <c r="K156" s="95">
        <v>0</v>
      </c>
      <c r="L156" s="95">
        <v>0</v>
      </c>
      <c r="M156" s="95">
        <v>0</v>
      </c>
    </row>
    <row r="157" spans="1:13" ht="12.75" hidden="1">
      <c r="A157" s="97" t="s">
        <v>166</v>
      </c>
      <c r="B157" s="94" t="s">
        <v>167</v>
      </c>
      <c r="C157" s="95">
        <v>0</v>
      </c>
      <c r="D157" s="95">
        <v>0</v>
      </c>
      <c r="E157" s="95">
        <v>0</v>
      </c>
      <c r="F157" s="95">
        <v>0</v>
      </c>
      <c r="G157" s="95">
        <v>0</v>
      </c>
      <c r="H157" s="95">
        <v>0</v>
      </c>
      <c r="I157" s="95">
        <v>0</v>
      </c>
      <c r="J157" s="95">
        <v>0</v>
      </c>
      <c r="K157" s="95">
        <v>0</v>
      </c>
      <c r="L157" s="95">
        <v>0</v>
      </c>
      <c r="M157" s="95">
        <v>0</v>
      </c>
    </row>
    <row r="158" spans="1:13" ht="12.75" hidden="1">
      <c r="A158" s="97" t="s">
        <v>166</v>
      </c>
      <c r="B158" s="94" t="s">
        <v>167</v>
      </c>
      <c r="C158" s="95">
        <v>0</v>
      </c>
      <c r="D158" s="95">
        <v>0</v>
      </c>
      <c r="E158" s="95">
        <v>0</v>
      </c>
      <c r="F158" s="95">
        <v>0</v>
      </c>
      <c r="G158" s="95">
        <v>0</v>
      </c>
      <c r="H158" s="95">
        <v>0</v>
      </c>
      <c r="I158" s="95">
        <v>0</v>
      </c>
      <c r="J158" s="95">
        <v>0</v>
      </c>
      <c r="K158" s="95">
        <v>0</v>
      </c>
      <c r="L158" s="95">
        <v>0</v>
      </c>
      <c r="M158" s="95">
        <v>0</v>
      </c>
    </row>
    <row r="159" spans="1:13" ht="12.75">
      <c r="A159" s="94" t="s">
        <v>169</v>
      </c>
      <c r="B159" s="94" t="s">
        <v>63</v>
      </c>
      <c r="C159" s="342">
        <v>0.03287</v>
      </c>
      <c r="D159" s="342">
        <v>0.70976</v>
      </c>
      <c r="E159" s="342">
        <v>0.1418</v>
      </c>
      <c r="F159" s="342">
        <v>0</v>
      </c>
      <c r="G159" s="342">
        <v>0.10946</v>
      </c>
      <c r="H159" s="341"/>
      <c r="I159" s="341"/>
      <c r="J159" s="341"/>
      <c r="K159" s="341"/>
      <c r="L159" s="342"/>
      <c r="M159" s="342">
        <v>0.00611</v>
      </c>
    </row>
    <row r="160" spans="1:13" ht="12.75">
      <c r="A160" s="94" t="s">
        <v>170</v>
      </c>
      <c r="B160" s="94" t="s">
        <v>64</v>
      </c>
      <c r="C160" s="342">
        <v>0.0542</v>
      </c>
      <c r="D160" s="342">
        <v>0.6769</v>
      </c>
      <c r="E160" s="342">
        <v>0.1336</v>
      </c>
      <c r="F160" s="342">
        <v>0</v>
      </c>
      <c r="G160" s="342">
        <v>0.1161</v>
      </c>
      <c r="H160" s="341"/>
      <c r="I160" s="341"/>
      <c r="J160" s="341"/>
      <c r="K160" s="341"/>
      <c r="L160" s="342"/>
      <c r="M160" s="342">
        <v>0.0192</v>
      </c>
    </row>
    <row r="161" spans="1:13" ht="12.75">
      <c r="A161" s="94" t="s">
        <v>171</v>
      </c>
      <c r="B161" s="94" t="s">
        <v>65</v>
      </c>
      <c r="C161" s="342">
        <v>0.04789</v>
      </c>
      <c r="D161" s="342">
        <v>0.64608</v>
      </c>
      <c r="E161" s="342">
        <v>0.13126</v>
      </c>
      <c r="F161" s="342">
        <v>0</v>
      </c>
      <c r="G161" s="342">
        <v>0.155</v>
      </c>
      <c r="H161" s="341"/>
      <c r="I161" s="341"/>
      <c r="J161" s="341"/>
      <c r="K161" s="341"/>
      <c r="L161" s="342"/>
      <c r="M161" s="342">
        <v>0.01977</v>
      </c>
    </row>
    <row r="162" spans="1:13" ht="12.75">
      <c r="A162" s="94" t="s">
        <v>172</v>
      </c>
      <c r="B162" s="94" t="s">
        <v>66</v>
      </c>
      <c r="C162" s="342">
        <v>0.0427</v>
      </c>
      <c r="D162" s="342">
        <v>0.612</v>
      </c>
      <c r="E162" s="342">
        <v>0.1496</v>
      </c>
      <c r="F162" s="342">
        <v>0</v>
      </c>
      <c r="G162" s="342">
        <v>0.1671</v>
      </c>
      <c r="H162" s="341"/>
      <c r="I162" s="341"/>
      <c r="J162" s="341"/>
      <c r="K162" s="341"/>
      <c r="L162" s="342"/>
      <c r="M162" s="342">
        <v>0.0286</v>
      </c>
    </row>
    <row r="163" spans="1:13" ht="12.75">
      <c r="A163" s="94" t="s">
        <v>173</v>
      </c>
      <c r="B163" s="94" t="s">
        <v>67</v>
      </c>
      <c r="C163" s="342">
        <v>0.048806</v>
      </c>
      <c r="D163" s="342">
        <v>0.563558</v>
      </c>
      <c r="E163" s="342">
        <v>0.152688</v>
      </c>
      <c r="F163" s="342">
        <v>0</v>
      </c>
      <c r="G163" s="342">
        <v>0.206776</v>
      </c>
      <c r="H163" s="341"/>
      <c r="I163" s="341"/>
      <c r="J163" s="341"/>
      <c r="K163" s="341"/>
      <c r="L163" s="342"/>
      <c r="M163" s="342">
        <v>0.028172</v>
      </c>
    </row>
    <row r="164" spans="1:13" ht="12.75">
      <c r="A164" s="94" t="s">
        <v>174</v>
      </c>
      <c r="B164" s="94" t="s">
        <v>68</v>
      </c>
      <c r="C164" s="342">
        <v>0.015047</v>
      </c>
      <c r="D164" s="342">
        <v>0.159356</v>
      </c>
      <c r="E164" s="342">
        <v>0.039132</v>
      </c>
      <c r="F164" s="342">
        <v>0</v>
      </c>
      <c r="G164" s="342">
        <v>0.038051</v>
      </c>
      <c r="H164" s="342">
        <v>0.469355</v>
      </c>
      <c r="I164" s="342">
        <v>0.139815</v>
      </c>
      <c r="J164" s="342">
        <v>0.135384</v>
      </c>
      <c r="K164" s="341"/>
      <c r="L164" s="342"/>
      <c r="M164" s="342">
        <v>0.00386</v>
      </c>
    </row>
    <row r="165" spans="1:13" ht="12.75" hidden="1">
      <c r="A165" s="94" t="s">
        <v>175</v>
      </c>
      <c r="B165" s="94" t="s">
        <v>69</v>
      </c>
      <c r="C165" s="342">
        <v>0</v>
      </c>
      <c r="D165" s="342">
        <v>0</v>
      </c>
      <c r="E165" s="342">
        <v>0</v>
      </c>
      <c r="F165" s="342">
        <v>0</v>
      </c>
      <c r="G165" s="342">
        <v>0</v>
      </c>
      <c r="H165" s="342">
        <v>0</v>
      </c>
      <c r="I165" s="342">
        <v>0</v>
      </c>
      <c r="J165" s="342">
        <v>0</v>
      </c>
      <c r="K165" s="342">
        <v>0</v>
      </c>
      <c r="L165" s="342">
        <v>1</v>
      </c>
      <c r="M165" s="342">
        <v>0</v>
      </c>
    </row>
    <row r="166" spans="1:13" ht="12.75" hidden="1">
      <c r="A166" s="94" t="s">
        <v>176</v>
      </c>
      <c r="B166" s="94" t="s">
        <v>70</v>
      </c>
      <c r="C166" s="342">
        <v>0</v>
      </c>
      <c r="D166" s="342">
        <v>0</v>
      </c>
      <c r="E166" s="342">
        <v>0</v>
      </c>
      <c r="F166" s="342">
        <v>0</v>
      </c>
      <c r="G166" s="342">
        <v>0</v>
      </c>
      <c r="H166" s="342">
        <v>0</v>
      </c>
      <c r="I166" s="342">
        <v>0</v>
      </c>
      <c r="J166" s="342">
        <v>0</v>
      </c>
      <c r="K166" s="342">
        <v>0</v>
      </c>
      <c r="L166" s="342">
        <v>0</v>
      </c>
      <c r="M166" s="342">
        <v>1</v>
      </c>
    </row>
    <row r="167" spans="1:13" ht="12.75">
      <c r="A167" s="94" t="s">
        <v>177</v>
      </c>
      <c r="B167" s="94" t="s">
        <v>71</v>
      </c>
      <c r="C167" s="95">
        <v>0.017875115323107014</v>
      </c>
      <c r="D167" s="95">
        <v>0.2705876875132774</v>
      </c>
      <c r="E167" s="95">
        <v>0.07999384285568287</v>
      </c>
      <c r="F167" s="95">
        <v>0</v>
      </c>
      <c r="G167" s="95">
        <v>0.12820402443901419</v>
      </c>
      <c r="H167" s="95">
        <v>0.4113042590825347</v>
      </c>
      <c r="I167" s="95">
        <v>0.05717737122984194</v>
      </c>
      <c r="J167" s="95">
        <v>0.03100739636501035</v>
      </c>
      <c r="K167" s="95">
        <v>0.0038503031915314723</v>
      </c>
      <c r="L167" s="341"/>
      <c r="M167" s="341"/>
    </row>
    <row r="168" spans="1:13" ht="12.75">
      <c r="A168" s="94" t="s">
        <v>178</v>
      </c>
      <c r="B168" s="94" t="s">
        <v>72</v>
      </c>
      <c r="C168" s="95">
        <v>0.01787511532310703</v>
      </c>
      <c r="D168" s="95">
        <v>0.2705876875132775</v>
      </c>
      <c r="E168" s="95">
        <v>0.0799938428556829</v>
      </c>
      <c r="F168" s="95">
        <v>0</v>
      </c>
      <c r="G168" s="95">
        <v>0.12820402443901419</v>
      </c>
      <c r="H168" s="95">
        <v>0.4113042590825349</v>
      </c>
      <c r="I168" s="95">
        <v>0.05717737122984199</v>
      </c>
      <c r="J168" s="95">
        <v>0.03100739636501037</v>
      </c>
      <c r="K168" s="95">
        <v>0.003850303191531476</v>
      </c>
      <c r="L168" s="341"/>
      <c r="M168" s="341"/>
    </row>
    <row r="169" spans="1:13" ht="12.75">
      <c r="A169" s="94" t="s">
        <v>179</v>
      </c>
      <c r="B169" s="94" t="s">
        <v>73</v>
      </c>
      <c r="C169" s="95">
        <v>0.017875115323107017</v>
      </c>
      <c r="D169" s="95">
        <v>0.2705876875132774</v>
      </c>
      <c r="E169" s="95">
        <v>0.07999384285568285</v>
      </c>
      <c r="F169" s="95">
        <v>0</v>
      </c>
      <c r="G169" s="95">
        <v>0.12820402443901416</v>
      </c>
      <c r="H169" s="95">
        <v>0.4113042590825347</v>
      </c>
      <c r="I169" s="95">
        <v>0.057177371229841935</v>
      </c>
      <c r="J169" s="95">
        <v>0.031007396365010355</v>
      </c>
      <c r="K169" s="95">
        <v>0.0038503031915314736</v>
      </c>
      <c r="L169" s="341"/>
      <c r="M169" s="341"/>
    </row>
    <row r="170" spans="1:13" ht="12.75">
      <c r="A170" s="94" t="s">
        <v>180</v>
      </c>
      <c r="B170" s="94" t="s">
        <v>74</v>
      </c>
      <c r="C170" s="95">
        <v>0.017875115323107017</v>
      </c>
      <c r="D170" s="95">
        <v>0.27058768751327733</v>
      </c>
      <c r="E170" s="95">
        <v>0.07999384285568284</v>
      </c>
      <c r="F170" s="95">
        <v>0</v>
      </c>
      <c r="G170" s="95">
        <v>0.12820402443901416</v>
      </c>
      <c r="H170" s="95">
        <v>0.41130425908253476</v>
      </c>
      <c r="I170" s="95">
        <v>0.05717737122984192</v>
      </c>
      <c r="J170" s="95">
        <v>0.031007396365010376</v>
      </c>
      <c r="K170" s="95">
        <v>0.003850303191531473</v>
      </c>
      <c r="L170" s="95"/>
      <c r="M170" s="95"/>
    </row>
    <row r="171" spans="1:13" ht="12.75">
      <c r="A171" s="94" t="s">
        <v>181</v>
      </c>
      <c r="B171" s="94" t="s">
        <v>75</v>
      </c>
      <c r="C171" s="95">
        <v>0.01787511532310702</v>
      </c>
      <c r="D171" s="95">
        <v>0.2705876875132774</v>
      </c>
      <c r="E171" s="95">
        <v>0.07999384285568285</v>
      </c>
      <c r="F171" s="95">
        <v>0</v>
      </c>
      <c r="G171" s="95">
        <v>0.12820402443901416</v>
      </c>
      <c r="H171" s="95">
        <v>0.4113042590825349</v>
      </c>
      <c r="I171" s="95">
        <v>0.05717737122984196</v>
      </c>
      <c r="J171" s="95">
        <v>0.03100739636501037</v>
      </c>
      <c r="K171" s="95">
        <v>0.003850303191531474</v>
      </c>
      <c r="L171" s="341"/>
      <c r="M171" s="341"/>
    </row>
    <row r="172" spans="1:13" ht="12.75">
      <c r="A172" s="94" t="s">
        <v>182</v>
      </c>
      <c r="B172" s="94" t="s">
        <v>76</v>
      </c>
      <c r="C172" s="95">
        <v>0.01787511532310702</v>
      </c>
      <c r="D172" s="95">
        <v>0.27058768751327744</v>
      </c>
      <c r="E172" s="95">
        <v>0.07999384285568287</v>
      </c>
      <c r="F172" s="95">
        <v>0</v>
      </c>
      <c r="G172" s="95">
        <v>0.12820402443901407</v>
      </c>
      <c r="H172" s="95">
        <v>0.41130425908253476</v>
      </c>
      <c r="I172" s="95">
        <v>0.05717737122984195</v>
      </c>
      <c r="J172" s="95">
        <v>0.031007396365010355</v>
      </c>
      <c r="K172" s="95">
        <v>0.0038503031915314736</v>
      </c>
      <c r="L172" s="341"/>
      <c r="M172" s="341"/>
    </row>
    <row r="173" spans="1:13" ht="12.75">
      <c r="A173" s="94" t="s">
        <v>183</v>
      </c>
      <c r="B173" s="94" t="s">
        <v>77</v>
      </c>
      <c r="C173" s="95">
        <v>0.025242523361214162</v>
      </c>
      <c r="D173" s="95">
        <v>0.29755533675303336</v>
      </c>
      <c r="E173" s="95">
        <v>0.07983903209056416</v>
      </c>
      <c r="F173" s="95">
        <v>0</v>
      </c>
      <c r="G173" s="95">
        <v>0.11792513582476354</v>
      </c>
      <c r="H173" s="95">
        <v>0.3889692580895929</v>
      </c>
      <c r="I173" s="95">
        <v>0.06395601629165479</v>
      </c>
      <c r="J173" s="95">
        <v>0.025014211438105907</v>
      </c>
      <c r="K173" s="95">
        <v>0.0014984861510711097</v>
      </c>
      <c r="L173" s="341"/>
      <c r="M173" s="341"/>
    </row>
    <row r="174" spans="1:13" ht="12.75">
      <c r="A174" s="94" t="s">
        <v>184</v>
      </c>
      <c r="B174" s="94" t="s">
        <v>78</v>
      </c>
      <c r="C174" s="95">
        <v>0.021024620756804797</v>
      </c>
      <c r="D174" s="95">
        <v>0.2770908461986047</v>
      </c>
      <c r="E174" s="95">
        <v>0.0772090128972556</v>
      </c>
      <c r="F174" s="95">
        <v>0</v>
      </c>
      <c r="G174" s="95">
        <v>0.11794545719686918</v>
      </c>
      <c r="H174" s="95">
        <v>0.4159685492063939</v>
      </c>
      <c r="I174" s="95">
        <v>0.061173725367508404</v>
      </c>
      <c r="J174" s="95">
        <v>0.026630287010298646</v>
      </c>
      <c r="K174" s="95">
        <v>0.0029575013662647928</v>
      </c>
      <c r="L174" s="341"/>
      <c r="M174" s="341"/>
    </row>
    <row r="175" spans="1:13" ht="12.75">
      <c r="A175" s="94" t="s">
        <v>185</v>
      </c>
      <c r="B175" s="94" t="s">
        <v>79</v>
      </c>
      <c r="C175" s="95">
        <v>0.017664305604232648</v>
      </c>
      <c r="D175" s="95">
        <v>0.2677330250712756</v>
      </c>
      <c r="E175" s="95">
        <v>0.07908439361647869</v>
      </c>
      <c r="F175" s="95">
        <v>0</v>
      </c>
      <c r="G175" s="95">
        <v>0.1304881435907925</v>
      </c>
      <c r="H175" s="95">
        <v>0.4111072059678432</v>
      </c>
      <c r="I175" s="95">
        <v>0.05831642881578533</v>
      </c>
      <c r="J175" s="95">
        <v>0.031713942600972225</v>
      </c>
      <c r="K175" s="95">
        <v>0.0038925547326197586</v>
      </c>
      <c r="L175" s="341"/>
      <c r="M175" s="341"/>
    </row>
    <row r="176" spans="1:13" ht="12.75">
      <c r="A176" s="94" t="s">
        <v>186</v>
      </c>
      <c r="B176" s="94" t="s">
        <v>80</v>
      </c>
      <c r="C176" s="95">
        <v>0.01762707234740281</v>
      </c>
      <c r="D176" s="95">
        <v>0.2672288339911249</v>
      </c>
      <c r="E176" s="95">
        <v>0.07892376650081347</v>
      </c>
      <c r="F176" s="95">
        <v>0</v>
      </c>
      <c r="G176" s="95">
        <v>0.13089156519517686</v>
      </c>
      <c r="H176" s="95">
        <v>0.4110724024053339</v>
      </c>
      <c r="I176" s="95">
        <v>0.058517609405882694</v>
      </c>
      <c r="J176" s="95">
        <v>0.031838732945583426</v>
      </c>
      <c r="K176" s="95">
        <v>0.0039000172086820412</v>
      </c>
      <c r="L176" s="341"/>
      <c r="M176" s="341"/>
    </row>
    <row r="177" spans="1:13" ht="12.75">
      <c r="A177" s="94" t="s">
        <v>187</v>
      </c>
      <c r="B177" s="94" t="s">
        <v>81</v>
      </c>
      <c r="C177" s="95">
        <v>0.32675801644486024</v>
      </c>
      <c r="D177" s="95">
        <v>-0.563906696768409</v>
      </c>
      <c r="E177" s="95">
        <v>0.7552986591238048</v>
      </c>
      <c r="F177" s="95">
        <v>0</v>
      </c>
      <c r="G177" s="95">
        <v>0.3308272409706167</v>
      </c>
      <c r="H177" s="95">
        <v>1.0177230270142412</v>
      </c>
      <c r="I177" s="95">
        <v>-0.19734628246003852</v>
      </c>
      <c r="J177" s="95">
        <v>-0.44595460667068504</v>
      </c>
      <c r="K177" s="95">
        <v>-0.08437335972410041</v>
      </c>
      <c r="L177" s="95">
        <v>0.5777705482241008</v>
      </c>
      <c r="M177" s="95">
        <v>-0.7167428125125943</v>
      </c>
    </row>
    <row r="178" spans="1:13" ht="12.75">
      <c r="A178" s="94" t="s">
        <v>188</v>
      </c>
      <c r="B178" s="94" t="s">
        <v>61</v>
      </c>
      <c r="C178" s="95">
        <v>0.024061298197267506</v>
      </c>
      <c r="D178" s="95">
        <v>0.3029889132494507</v>
      </c>
      <c r="E178" s="95">
        <v>0.11635035289415781</v>
      </c>
      <c r="F178" s="95">
        <v>0</v>
      </c>
      <c r="G178" s="95">
        <v>0.1226845038531815</v>
      </c>
      <c r="H178" s="95">
        <v>0.3995774372953471</v>
      </c>
      <c r="I178" s="95">
        <v>0.05533866835485889</v>
      </c>
      <c r="J178" s="95">
        <v>0.016287834292724124</v>
      </c>
      <c r="K178" s="95">
        <v>0.0029222507968744175</v>
      </c>
      <c r="L178" s="95">
        <v>0</v>
      </c>
      <c r="M178" s="95">
        <v>-0.04021125893386204</v>
      </c>
    </row>
    <row r="179" spans="1:13" ht="12.75">
      <c r="A179" s="94" t="s">
        <v>189</v>
      </c>
      <c r="B179" s="94" t="s">
        <v>62</v>
      </c>
      <c r="C179" s="95">
        <v>0.025669711907681175</v>
      </c>
      <c r="D179" s="95">
        <v>0.28761000168089934</v>
      </c>
      <c r="E179" s="95">
        <v>0.07635616869786961</v>
      </c>
      <c r="F179" s="95">
        <v>0</v>
      </c>
      <c r="G179" s="95">
        <v>0.10405476077417572</v>
      </c>
      <c r="H179" s="95">
        <v>0.4370130664553874</v>
      </c>
      <c r="I179" s="95">
        <v>0.06148057700641638</v>
      </c>
      <c r="J179" s="95">
        <v>0.019557920576390178</v>
      </c>
      <c r="K179" s="95">
        <v>0.0023820708473146104</v>
      </c>
      <c r="L179" s="95">
        <v>0</v>
      </c>
      <c r="M179" s="95">
        <v>-0.014124277946134441</v>
      </c>
    </row>
    <row r="180" spans="1:13" ht="12.75">
      <c r="A180" s="94" t="s">
        <v>190</v>
      </c>
      <c r="B180" s="94" t="s">
        <v>59</v>
      </c>
      <c r="C180" s="95">
        <v>0.018942</v>
      </c>
      <c r="D180" s="95">
        <v>0.277431</v>
      </c>
      <c r="E180" s="95">
        <v>0.062503</v>
      </c>
      <c r="F180" s="95">
        <v>0</v>
      </c>
      <c r="G180" s="95">
        <v>0.119323</v>
      </c>
      <c r="H180" s="95">
        <v>0.411816</v>
      </c>
      <c r="I180" s="95">
        <v>0.055566</v>
      </c>
      <c r="J180" s="95">
        <v>0.02447</v>
      </c>
      <c r="K180" s="95">
        <v>0.003267</v>
      </c>
      <c r="L180" s="95">
        <v>0</v>
      </c>
      <c r="M180" s="95">
        <v>0.02668</v>
      </c>
    </row>
    <row r="181" spans="1:13" ht="12.75" hidden="1">
      <c r="A181" s="94" t="s">
        <v>166</v>
      </c>
      <c r="B181" s="97" t="s">
        <v>167</v>
      </c>
      <c r="C181" s="95">
        <v>0</v>
      </c>
      <c r="D181" s="95">
        <v>0</v>
      </c>
      <c r="E181" s="95">
        <v>0</v>
      </c>
      <c r="F181" s="95">
        <v>0</v>
      </c>
      <c r="G181" s="95">
        <v>0</v>
      </c>
      <c r="H181" s="95">
        <v>0</v>
      </c>
      <c r="I181" s="95">
        <v>0</v>
      </c>
      <c r="J181" s="95">
        <v>0</v>
      </c>
      <c r="K181" s="95">
        <v>0</v>
      </c>
      <c r="L181" s="95">
        <v>0</v>
      </c>
      <c r="M181" s="95">
        <v>0</v>
      </c>
    </row>
    <row r="182" spans="1:13" ht="12.75" hidden="1">
      <c r="A182" s="94" t="s">
        <v>166</v>
      </c>
      <c r="B182" s="94" t="s">
        <v>167</v>
      </c>
      <c r="C182" s="95">
        <v>0</v>
      </c>
      <c r="D182" s="95">
        <v>0</v>
      </c>
      <c r="E182" s="95">
        <v>0</v>
      </c>
      <c r="F182" s="95">
        <v>0</v>
      </c>
      <c r="G182" s="95">
        <v>0</v>
      </c>
      <c r="H182" s="95">
        <v>0</v>
      </c>
      <c r="I182" s="95">
        <v>0</v>
      </c>
      <c r="J182" s="95">
        <v>0</v>
      </c>
      <c r="K182" s="95">
        <v>0</v>
      </c>
      <c r="L182" s="95">
        <v>0</v>
      </c>
      <c r="M182" s="95">
        <v>0</v>
      </c>
    </row>
    <row r="183" spans="1:13" ht="12.75" hidden="1">
      <c r="A183" s="94" t="s">
        <v>166</v>
      </c>
      <c r="B183" s="94" t="s">
        <v>167</v>
      </c>
      <c r="C183" s="95">
        <v>0</v>
      </c>
      <c r="D183" s="95">
        <v>0</v>
      </c>
      <c r="E183" s="95">
        <v>0</v>
      </c>
      <c r="F183" s="95">
        <v>0</v>
      </c>
      <c r="G183" s="95">
        <v>0</v>
      </c>
      <c r="H183" s="95">
        <v>0</v>
      </c>
      <c r="I183" s="95">
        <v>0</v>
      </c>
      <c r="J183" s="95">
        <v>0</v>
      </c>
      <c r="K183" s="95">
        <v>0</v>
      </c>
      <c r="L183" s="95">
        <v>0</v>
      </c>
      <c r="M183" s="95">
        <v>0</v>
      </c>
    </row>
    <row r="184" spans="1:13" ht="12.75">
      <c r="A184" s="94" t="s">
        <v>191</v>
      </c>
      <c r="B184" s="94" t="s">
        <v>82</v>
      </c>
      <c r="C184" s="95">
        <v>0.02933505931503457</v>
      </c>
      <c r="D184" s="95">
        <v>0.28804838634257357</v>
      </c>
      <c r="E184" s="95">
        <v>0.08163303190619821</v>
      </c>
      <c r="F184" s="95">
        <v>0</v>
      </c>
      <c r="G184" s="95">
        <v>0.11578242467978321</v>
      </c>
      <c r="H184" s="95">
        <v>0.40219770041144937</v>
      </c>
      <c r="I184" s="95">
        <v>0.05408902833327523</v>
      </c>
      <c r="J184" s="95">
        <v>0.02635826930471201</v>
      </c>
      <c r="K184" s="95">
        <v>0.0025560997069739026</v>
      </c>
      <c r="L184" s="95">
        <v>0</v>
      </c>
      <c r="M184" s="95">
        <v>0</v>
      </c>
    </row>
    <row r="185" spans="1:13" ht="12.75">
      <c r="A185" s="94" t="s">
        <v>192</v>
      </c>
      <c r="B185" s="94" t="s">
        <v>83</v>
      </c>
      <c r="C185" s="95">
        <v>0.022175176620742473</v>
      </c>
      <c r="D185" s="95">
        <v>0.25741904936324156</v>
      </c>
      <c r="E185" s="95">
        <v>0.06556048500991624</v>
      </c>
      <c r="F185" s="95">
        <v>0</v>
      </c>
      <c r="G185" s="95">
        <v>0.1110156904768248</v>
      </c>
      <c r="H185" s="95">
        <v>0.3704656572546228</v>
      </c>
      <c r="I185" s="95">
        <v>0.04911710080459784</v>
      </c>
      <c r="J185" s="95">
        <v>0.023318119689193402</v>
      </c>
      <c r="K185" s="95">
        <v>0.0025250077839128033</v>
      </c>
      <c r="L185" s="95">
        <v>0.09840371299694813</v>
      </c>
      <c r="M185" s="95">
        <v>0</v>
      </c>
    </row>
    <row r="186" spans="1:13" ht="12.75">
      <c r="A186" s="94" t="s">
        <v>193</v>
      </c>
      <c r="B186" s="94" t="s">
        <v>84</v>
      </c>
      <c r="C186" s="95">
        <v>0.0179442059565711</v>
      </c>
      <c r="D186" s="95">
        <v>0.27163355907270204</v>
      </c>
      <c r="E186" s="95">
        <v>0.08030303388333351</v>
      </c>
      <c r="F186" s="95">
        <v>0</v>
      </c>
      <c r="G186" s="95">
        <v>0.12869955675312938</v>
      </c>
      <c r="H186" s="95">
        <v>0.41289402626964505</v>
      </c>
      <c r="I186" s="95">
        <v>0.057398372366152056</v>
      </c>
      <c r="J186" s="95">
        <v>0.031127245698466754</v>
      </c>
      <c r="K186" s="341"/>
      <c r="L186" s="341"/>
      <c r="M186" s="341"/>
    </row>
    <row r="187" spans="1:13" ht="12.75">
      <c r="A187" s="100"/>
      <c r="B187" s="100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</row>
    <row r="188" spans="1:13" ht="12.75">
      <c r="A188" s="100"/>
      <c r="B188" s="100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</row>
    <row r="189" ht="12.75">
      <c r="F189" s="102" t="s">
        <v>333</v>
      </c>
    </row>
    <row r="191" spans="1:13" ht="12.75">
      <c r="A191" s="88" t="s">
        <v>517</v>
      </c>
      <c r="B191" s="88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</row>
    <row r="192" spans="1:13" ht="12.75">
      <c r="A192" s="92" t="s">
        <v>100</v>
      </c>
      <c r="B192" s="92" t="s">
        <v>101</v>
      </c>
      <c r="C192" s="93">
        <v>0</v>
      </c>
      <c r="D192" s="93">
        <v>0</v>
      </c>
      <c r="E192" s="93">
        <v>0</v>
      </c>
      <c r="F192" s="93">
        <v>0</v>
      </c>
      <c r="G192" s="93">
        <v>0</v>
      </c>
      <c r="H192" s="93">
        <v>1</v>
      </c>
      <c r="I192" s="93">
        <v>0</v>
      </c>
      <c r="J192" s="93">
        <v>0</v>
      </c>
      <c r="K192" s="93">
        <v>0</v>
      </c>
      <c r="L192" s="93">
        <v>0</v>
      </c>
      <c r="M192" s="93">
        <v>0</v>
      </c>
    </row>
    <row r="193" spans="1:13" ht="12.75">
      <c r="A193" s="94" t="s">
        <v>102</v>
      </c>
      <c r="B193" s="94" t="s">
        <v>4</v>
      </c>
      <c r="C193" s="95">
        <v>0.01787511532310702</v>
      </c>
      <c r="D193" s="95">
        <v>0.2705876875132774</v>
      </c>
      <c r="E193" s="95">
        <v>0.07999384285568287</v>
      </c>
      <c r="F193" s="95">
        <v>0</v>
      </c>
      <c r="G193" s="95">
        <v>0.12820402443901413</v>
      </c>
      <c r="H193" s="95">
        <v>0.4113042590825348</v>
      </c>
      <c r="I193" s="95">
        <v>0.057177371229841956</v>
      </c>
      <c r="J193" s="95">
        <v>0.03100739636501037</v>
      </c>
      <c r="K193" s="95">
        <v>0.0038503031915314745</v>
      </c>
      <c r="L193" s="341"/>
      <c r="M193" s="341"/>
    </row>
    <row r="194" spans="1:13" ht="12.75">
      <c r="A194" s="94" t="s">
        <v>103</v>
      </c>
      <c r="B194" s="94" t="s">
        <v>22</v>
      </c>
      <c r="C194" s="95">
        <v>0.01787511532310702</v>
      </c>
      <c r="D194" s="95">
        <v>0.2705876875132774</v>
      </c>
      <c r="E194" s="95">
        <v>0.07999384285568287</v>
      </c>
      <c r="F194" s="95">
        <v>0</v>
      </c>
      <c r="G194" s="95">
        <v>0.12820402443901413</v>
      </c>
      <c r="H194" s="95">
        <v>0.4113042590825348</v>
      </c>
      <c r="I194" s="95">
        <v>0.057177371229841956</v>
      </c>
      <c r="J194" s="95">
        <v>0.03100739636501037</v>
      </c>
      <c r="K194" s="95">
        <v>0.0038503031915314745</v>
      </c>
      <c r="L194" s="341"/>
      <c r="M194" s="341"/>
    </row>
    <row r="195" spans="1:13" ht="12.75">
      <c r="A195" s="94" t="s">
        <v>104</v>
      </c>
      <c r="B195" s="94" t="s">
        <v>23</v>
      </c>
      <c r="C195" s="95">
        <v>0.01787511532310702</v>
      </c>
      <c r="D195" s="95">
        <v>0.2705876875132774</v>
      </c>
      <c r="E195" s="95">
        <v>0.07999384285568287</v>
      </c>
      <c r="F195" s="95">
        <v>0</v>
      </c>
      <c r="G195" s="95">
        <v>0.12820402443901413</v>
      </c>
      <c r="H195" s="95">
        <v>0.4113042590825348</v>
      </c>
      <c r="I195" s="95">
        <v>0.057177371229841956</v>
      </c>
      <c r="J195" s="95">
        <v>0.03100739636501037</v>
      </c>
      <c r="K195" s="95">
        <v>0.0038503031915314745</v>
      </c>
      <c r="L195" s="341"/>
      <c r="M195" s="341"/>
    </row>
    <row r="196" spans="1:13" ht="12.75">
      <c r="A196" s="94" t="s">
        <v>105</v>
      </c>
      <c r="B196" s="94" t="s">
        <v>8</v>
      </c>
      <c r="C196" s="95">
        <v>0.03599059961480204</v>
      </c>
      <c r="D196" s="95">
        <v>0.5448140023687851</v>
      </c>
      <c r="E196" s="95">
        <v>0.1610633731770435</v>
      </c>
      <c r="F196" s="95">
        <v>0</v>
      </c>
      <c r="G196" s="95">
        <v>0.25813202483936937</v>
      </c>
      <c r="H196" s="95">
        <v>0</v>
      </c>
      <c r="I196" s="95">
        <v>0</v>
      </c>
      <c r="J196" s="95">
        <v>0</v>
      </c>
      <c r="K196" s="95">
        <v>0</v>
      </c>
      <c r="L196" s="341"/>
      <c r="M196" s="341"/>
    </row>
    <row r="197" spans="1:13" ht="12.75">
      <c r="A197" s="94" t="s">
        <v>106</v>
      </c>
      <c r="B197" s="94" t="s">
        <v>9</v>
      </c>
      <c r="C197" s="95">
        <v>0</v>
      </c>
      <c r="D197" s="95">
        <v>0</v>
      </c>
      <c r="E197" s="95">
        <v>0</v>
      </c>
      <c r="F197" s="95">
        <v>0</v>
      </c>
      <c r="G197" s="95">
        <v>0</v>
      </c>
      <c r="H197" s="95">
        <v>0.8171510443852026</v>
      </c>
      <c r="I197" s="95">
        <v>0.11359607294095672</v>
      </c>
      <c r="J197" s="95">
        <v>0.06160336481769749</v>
      </c>
      <c r="K197" s="95">
        <v>0.0076495178561432585</v>
      </c>
      <c r="L197" s="341"/>
      <c r="M197" s="341"/>
    </row>
    <row r="198" spans="1:13" ht="12.75">
      <c r="A198" s="94" t="s">
        <v>107</v>
      </c>
      <c r="B198" s="94" t="s">
        <v>29</v>
      </c>
      <c r="C198" s="95">
        <v>0.018337698378302642</v>
      </c>
      <c r="D198" s="95">
        <v>0.27685171784842666</v>
      </c>
      <c r="E198" s="95">
        <v>0.08198946151056613</v>
      </c>
      <c r="F198" s="95">
        <v>0</v>
      </c>
      <c r="G198" s="95">
        <v>0.1231919461472627</v>
      </c>
      <c r="H198" s="95">
        <v>0.4117366558065405</v>
      </c>
      <c r="I198" s="95">
        <v>0.054677919397341616</v>
      </c>
      <c r="J198" s="95">
        <v>0.029457010935850094</v>
      </c>
      <c r="K198" s="95">
        <v>0.003757589975709631</v>
      </c>
      <c r="L198" s="341"/>
      <c r="M198" s="341"/>
    </row>
    <row r="199" spans="1:13" ht="12.75">
      <c r="A199" s="94" t="s">
        <v>108</v>
      </c>
      <c r="B199" s="94" t="s">
        <v>27</v>
      </c>
      <c r="C199" s="95">
        <v>0.016487366157520156</v>
      </c>
      <c r="D199" s="95">
        <v>0.2517955965078296</v>
      </c>
      <c r="E199" s="95">
        <v>0.07400698689103308</v>
      </c>
      <c r="F199" s="95">
        <v>0</v>
      </c>
      <c r="G199" s="95">
        <v>0.14324025931426843</v>
      </c>
      <c r="H199" s="95">
        <v>0.4100070689105177</v>
      </c>
      <c r="I199" s="95">
        <v>0.064675726727343</v>
      </c>
      <c r="J199" s="95">
        <v>0.03565855265249119</v>
      </c>
      <c r="K199" s="95">
        <v>0.004128442838997005</v>
      </c>
      <c r="L199" s="341"/>
      <c r="M199" s="341"/>
    </row>
    <row r="200" spans="1:13" ht="12.75" hidden="1">
      <c r="A200" s="94" t="s">
        <v>109</v>
      </c>
      <c r="B200" s="94" t="s">
        <v>30</v>
      </c>
      <c r="C200" s="95">
        <v>0.016487366157520156</v>
      </c>
      <c r="D200" s="95">
        <v>0.2517955965078296</v>
      </c>
      <c r="E200" s="95">
        <v>0.07400698689103308</v>
      </c>
      <c r="F200" s="95">
        <v>0</v>
      </c>
      <c r="G200" s="95">
        <v>0.14324025931426843</v>
      </c>
      <c r="H200" s="95">
        <v>0.4100070689105177</v>
      </c>
      <c r="I200" s="95">
        <v>0.064675726727343</v>
      </c>
      <c r="J200" s="95">
        <v>0.03565855265249119</v>
      </c>
      <c r="K200" s="95">
        <v>0.004128442838997005</v>
      </c>
      <c r="L200" s="341"/>
      <c r="M200" s="341"/>
    </row>
    <row r="201" spans="1:13" ht="12.75" hidden="1">
      <c r="A201" s="94" t="s">
        <v>110</v>
      </c>
      <c r="B201" s="94" t="s">
        <v>31</v>
      </c>
      <c r="C201" s="95">
        <v>0.016487366157520156</v>
      </c>
      <c r="D201" s="95">
        <v>0.2517955965078296</v>
      </c>
      <c r="E201" s="95">
        <v>0.07400698689103308</v>
      </c>
      <c r="F201" s="95">
        <v>0</v>
      </c>
      <c r="G201" s="95">
        <v>0.14324025931426843</v>
      </c>
      <c r="H201" s="95">
        <v>0.4100070689105177</v>
      </c>
      <c r="I201" s="95">
        <v>0.064675726727343</v>
      </c>
      <c r="J201" s="95">
        <v>0.03565855265249119</v>
      </c>
      <c r="K201" s="95">
        <v>0.004128442838997005</v>
      </c>
      <c r="L201" s="341"/>
      <c r="M201" s="341"/>
    </row>
    <row r="202" spans="1:13" ht="12.75">
      <c r="A202" s="94" t="s">
        <v>111</v>
      </c>
      <c r="B202" s="94" t="s">
        <v>32</v>
      </c>
      <c r="C202" s="95">
        <v>0.033957446635236054</v>
      </c>
      <c r="D202" s="95">
        <v>0.5185992383326858</v>
      </c>
      <c r="E202" s="95">
        <v>0.15242509227834486</v>
      </c>
      <c r="F202" s="95">
        <v>0</v>
      </c>
      <c r="G202" s="95">
        <v>0.29501822275373324</v>
      </c>
      <c r="H202" s="95">
        <v>0</v>
      </c>
      <c r="I202" s="95">
        <v>0</v>
      </c>
      <c r="J202" s="95">
        <v>0</v>
      </c>
      <c r="K202" s="95">
        <v>0</v>
      </c>
      <c r="L202" s="341"/>
      <c r="M202" s="341"/>
    </row>
    <row r="203" spans="1:13" ht="12.75">
      <c r="A203" s="94" t="s">
        <v>112</v>
      </c>
      <c r="B203" s="94" t="s">
        <v>33</v>
      </c>
      <c r="C203" s="95">
        <v>0</v>
      </c>
      <c r="D203" s="95">
        <v>0</v>
      </c>
      <c r="E203" s="95">
        <v>0</v>
      </c>
      <c r="F203" s="95">
        <v>0</v>
      </c>
      <c r="G203" s="95">
        <v>0</v>
      </c>
      <c r="H203" s="95">
        <v>0.7969507169905587</v>
      </c>
      <c r="I203" s="95">
        <v>0.12571336129448676</v>
      </c>
      <c r="J203" s="95">
        <v>0.06931126621490172</v>
      </c>
      <c r="K203" s="95">
        <v>0.008024655500052527</v>
      </c>
      <c r="L203" s="341"/>
      <c r="M203" s="341"/>
    </row>
    <row r="204" spans="1:13" ht="12.75">
      <c r="A204" s="94" t="s">
        <v>113</v>
      </c>
      <c r="B204" s="94" t="s">
        <v>25</v>
      </c>
      <c r="C204" s="95">
        <v>0.02400953808275932</v>
      </c>
      <c r="D204" s="95">
        <v>0.2820900877501277</v>
      </c>
      <c r="E204" s="95">
        <v>0.07823857080185248</v>
      </c>
      <c r="F204" s="95">
        <v>0</v>
      </c>
      <c r="G204" s="95">
        <v>0.11654711480155283</v>
      </c>
      <c r="H204" s="95">
        <v>0.41410923987646</v>
      </c>
      <c r="I204" s="95">
        <v>0.05571509243426505</v>
      </c>
      <c r="J204" s="95">
        <v>0.026558785139794518</v>
      </c>
      <c r="K204" s="95">
        <v>0.0027315711131882772</v>
      </c>
      <c r="L204" s="341"/>
      <c r="M204" s="341"/>
    </row>
    <row r="205" spans="1:13" ht="12.75" hidden="1">
      <c r="A205" s="94" t="s">
        <v>114</v>
      </c>
      <c r="B205" s="94" t="s">
        <v>34</v>
      </c>
      <c r="C205" s="95">
        <v>0.02400953808275932</v>
      </c>
      <c r="D205" s="95">
        <v>0.2820900877501277</v>
      </c>
      <c r="E205" s="95">
        <v>0.07823857080185248</v>
      </c>
      <c r="F205" s="95">
        <v>0</v>
      </c>
      <c r="G205" s="95">
        <v>0.11654711480155283</v>
      </c>
      <c r="H205" s="95">
        <v>0.41410923987646</v>
      </c>
      <c r="I205" s="95">
        <v>0.05571509243426505</v>
      </c>
      <c r="J205" s="95">
        <v>0.026558785139794518</v>
      </c>
      <c r="K205" s="95">
        <v>0.0027315711131882772</v>
      </c>
      <c r="L205" s="341"/>
      <c r="M205" s="341"/>
    </row>
    <row r="206" spans="1:13" ht="12.75" hidden="1">
      <c r="A206" s="94" t="s">
        <v>115</v>
      </c>
      <c r="B206" s="94" t="s">
        <v>35</v>
      </c>
      <c r="C206" s="95">
        <v>0.02400953808275932</v>
      </c>
      <c r="D206" s="95">
        <v>0.2820900877501277</v>
      </c>
      <c r="E206" s="95">
        <v>0.07823857080185248</v>
      </c>
      <c r="F206" s="95">
        <v>0</v>
      </c>
      <c r="G206" s="95">
        <v>0.11654711480155283</v>
      </c>
      <c r="H206" s="95">
        <v>0.41410923987646</v>
      </c>
      <c r="I206" s="95">
        <v>0.05571509243426505</v>
      </c>
      <c r="J206" s="95">
        <v>0.026558785139794518</v>
      </c>
      <c r="K206" s="95">
        <v>0.0027315711131882772</v>
      </c>
      <c r="L206" s="341"/>
      <c r="M206" s="341"/>
    </row>
    <row r="207" spans="1:13" ht="12.75" hidden="1">
      <c r="A207" s="94" t="s">
        <v>116</v>
      </c>
      <c r="B207" s="94" t="s">
        <v>36</v>
      </c>
      <c r="C207" s="95">
        <v>0</v>
      </c>
      <c r="D207" s="95">
        <v>0</v>
      </c>
      <c r="E207" s="95">
        <v>0</v>
      </c>
      <c r="F207" s="95">
        <v>0</v>
      </c>
      <c r="G207" s="95">
        <v>0</v>
      </c>
      <c r="H207" s="95">
        <v>0</v>
      </c>
      <c r="I207" s="95">
        <v>0</v>
      </c>
      <c r="J207" s="95">
        <v>0</v>
      </c>
      <c r="K207" s="95">
        <v>0</v>
      </c>
      <c r="L207" s="341"/>
      <c r="M207" s="341"/>
    </row>
    <row r="208" spans="1:13" ht="12.75" hidden="1">
      <c r="A208" s="94" t="s">
        <v>195</v>
      </c>
      <c r="B208" s="94" t="s">
        <v>37</v>
      </c>
      <c r="C208" s="95">
        <v>0</v>
      </c>
      <c r="D208" s="95">
        <v>0</v>
      </c>
      <c r="E208" s="95">
        <v>0</v>
      </c>
      <c r="F208" s="95">
        <v>0</v>
      </c>
      <c r="G208" s="95">
        <v>0</v>
      </c>
      <c r="H208" s="95">
        <v>0</v>
      </c>
      <c r="I208" s="95">
        <v>0</v>
      </c>
      <c r="J208" s="95">
        <v>0</v>
      </c>
      <c r="K208" s="95">
        <v>0</v>
      </c>
      <c r="L208" s="341"/>
      <c r="M208" s="341"/>
    </row>
    <row r="209" spans="1:13" ht="12.75">
      <c r="A209" s="94" t="s">
        <v>117</v>
      </c>
      <c r="B209" s="94" t="s">
        <v>38</v>
      </c>
      <c r="C209" s="95">
        <v>0.024009538082759314</v>
      </c>
      <c r="D209" s="95">
        <v>0.2820900877501276</v>
      </c>
      <c r="E209" s="95">
        <v>0.07823857080185248</v>
      </c>
      <c r="F209" s="95">
        <v>0</v>
      </c>
      <c r="G209" s="95">
        <v>0.11654711480155282</v>
      </c>
      <c r="H209" s="95">
        <v>0.41410923987646</v>
      </c>
      <c r="I209" s="95">
        <v>0.05571509243426505</v>
      </c>
      <c r="J209" s="95">
        <v>0.026558785139794514</v>
      </c>
      <c r="K209" s="95">
        <v>0.002731571113188277</v>
      </c>
      <c r="L209" s="341"/>
      <c r="M209" s="341"/>
    </row>
    <row r="210" spans="1:13" ht="12.75" hidden="1">
      <c r="A210" s="94" t="s">
        <v>118</v>
      </c>
      <c r="B210" s="94" t="s">
        <v>39</v>
      </c>
      <c r="C210" s="95">
        <v>0</v>
      </c>
      <c r="D210" s="95">
        <v>0</v>
      </c>
      <c r="E210" s="95">
        <v>0</v>
      </c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95">
        <v>0</v>
      </c>
      <c r="L210" s="341"/>
      <c r="M210" s="341"/>
    </row>
    <row r="211" spans="1:13" ht="12.75" hidden="1">
      <c r="A211" s="94" t="s">
        <v>119</v>
      </c>
      <c r="B211" s="94" t="s">
        <v>40</v>
      </c>
      <c r="C211" s="95">
        <v>0</v>
      </c>
      <c r="D211" s="95">
        <v>0</v>
      </c>
      <c r="E211" s="95">
        <v>0</v>
      </c>
      <c r="F211" s="95">
        <v>0</v>
      </c>
      <c r="G211" s="95">
        <v>0</v>
      </c>
      <c r="H211" s="95">
        <v>0</v>
      </c>
      <c r="I211" s="95">
        <v>0</v>
      </c>
      <c r="J211" s="95">
        <v>0</v>
      </c>
      <c r="K211" s="95">
        <v>0</v>
      </c>
      <c r="L211" s="341"/>
      <c r="M211" s="341"/>
    </row>
    <row r="212" spans="1:13" ht="12.75">
      <c r="A212" s="94" t="s">
        <v>120</v>
      </c>
      <c r="B212" s="94" t="s">
        <v>41</v>
      </c>
      <c r="C212" s="95">
        <v>0.022438328087072298</v>
      </c>
      <c r="D212" s="95">
        <v>0.27419032022293793</v>
      </c>
      <c r="E212" s="95">
        <v>0.07642194767642291</v>
      </c>
      <c r="F212" s="95">
        <v>0</v>
      </c>
      <c r="G212" s="95">
        <v>0.11675949239516491</v>
      </c>
      <c r="H212" s="95">
        <v>0.4256668639552922</v>
      </c>
      <c r="I212" s="95">
        <v>0.055203722638745324</v>
      </c>
      <c r="J212" s="95">
        <v>0.02650060728779002</v>
      </c>
      <c r="K212" s="95">
        <v>0.002818717736574531</v>
      </c>
      <c r="L212" s="341"/>
      <c r="M212" s="341"/>
    </row>
    <row r="213" spans="1:13" ht="12.75">
      <c r="A213" s="94" t="s">
        <v>121</v>
      </c>
      <c r="B213" s="94" t="s">
        <v>122</v>
      </c>
      <c r="C213" s="95">
        <v>0.017004963414282877</v>
      </c>
      <c r="D213" s="95">
        <v>0.2591947310306815</v>
      </c>
      <c r="E213" s="95">
        <v>0.077946919741216</v>
      </c>
      <c r="F213" s="95">
        <v>0</v>
      </c>
      <c r="G213" s="95">
        <v>0.11262455715364336</v>
      </c>
      <c r="H213" s="95">
        <v>0.45201683521814373</v>
      </c>
      <c r="I213" s="95">
        <v>0.05015967657206925</v>
      </c>
      <c r="J213" s="95">
        <v>0.026530212119278796</v>
      </c>
      <c r="K213" s="95">
        <v>0.004522104750684508</v>
      </c>
      <c r="L213" s="341"/>
      <c r="M213" s="341"/>
    </row>
    <row r="214" spans="1:13" ht="12.75">
      <c r="A214" s="94" t="s">
        <v>123</v>
      </c>
      <c r="B214" s="94" t="s">
        <v>124</v>
      </c>
      <c r="C214" s="95">
        <v>0.01648025798537377</v>
      </c>
      <c r="D214" s="95">
        <v>0.23710285545132062</v>
      </c>
      <c r="E214" s="95">
        <v>0.07099650556719934</v>
      </c>
      <c r="F214" s="95">
        <v>0</v>
      </c>
      <c r="G214" s="95">
        <v>0.1337472202285239</v>
      </c>
      <c r="H214" s="95">
        <v>0.4290372530660194</v>
      </c>
      <c r="I214" s="95">
        <v>0.07432868270840134</v>
      </c>
      <c r="J214" s="95">
        <v>0.03358454430473462</v>
      </c>
      <c r="K214" s="95">
        <v>0.004722680688426925</v>
      </c>
      <c r="L214" s="341"/>
      <c r="M214" s="341"/>
    </row>
    <row r="215" spans="1:13" ht="12.75">
      <c r="A215" s="94" t="s">
        <v>125</v>
      </c>
      <c r="B215" s="94" t="s">
        <v>126</v>
      </c>
      <c r="C215" s="95">
        <v>0.01860586645933869</v>
      </c>
      <c r="D215" s="95">
        <v>0.2848986019214283</v>
      </c>
      <c r="E215" s="95">
        <v>0.08413461837991124</v>
      </c>
      <c r="F215" s="95">
        <v>0</v>
      </c>
      <c r="G215" s="95">
        <v>0.1251540853124253</v>
      </c>
      <c r="H215" s="95">
        <v>0.39868507944760523</v>
      </c>
      <c r="I215" s="95">
        <v>0.05490680062011701</v>
      </c>
      <c r="J215" s="95">
        <v>0.03009438974841227</v>
      </c>
      <c r="K215" s="95">
        <v>0.003520558110762087</v>
      </c>
      <c r="L215" s="341"/>
      <c r="M215" s="341"/>
    </row>
    <row r="216" spans="1:13" ht="12.75">
      <c r="A216" s="94" t="s">
        <v>127</v>
      </c>
      <c r="B216" s="94" t="s">
        <v>128</v>
      </c>
      <c r="C216" s="95">
        <v>0.01637576308185463</v>
      </c>
      <c r="D216" s="95">
        <v>0.2564649399641195</v>
      </c>
      <c r="E216" s="95">
        <v>0.0762242407434397</v>
      </c>
      <c r="F216" s="95">
        <v>0</v>
      </c>
      <c r="G216" s="95">
        <v>0.1448693435089944</v>
      </c>
      <c r="H216" s="95">
        <v>0.405067747226356</v>
      </c>
      <c r="I216" s="95">
        <v>0.061221027706648834</v>
      </c>
      <c r="J216" s="95">
        <v>0.03581661653087377</v>
      </c>
      <c r="K216" s="95">
        <v>0.0039603212377132485</v>
      </c>
      <c r="L216" s="341"/>
      <c r="M216" s="341"/>
    </row>
    <row r="217" spans="1:13" ht="12.75">
      <c r="A217" s="94" t="s">
        <v>129</v>
      </c>
      <c r="B217" s="94" t="s">
        <v>21</v>
      </c>
      <c r="C217" s="95">
        <v>0.018048340614967677</v>
      </c>
      <c r="D217" s="95">
        <v>0.27779018643210107</v>
      </c>
      <c r="E217" s="95">
        <v>0.08215702397079336</v>
      </c>
      <c r="F217" s="95">
        <v>0</v>
      </c>
      <c r="G217" s="95">
        <v>0.13008289986156757</v>
      </c>
      <c r="H217" s="95">
        <v>0.4002807463922929</v>
      </c>
      <c r="I217" s="95">
        <v>0.056485357391749966</v>
      </c>
      <c r="J217" s="95">
        <v>0.031524946444027646</v>
      </c>
      <c r="K217" s="95">
        <v>0.003630498892499877</v>
      </c>
      <c r="L217" s="341"/>
      <c r="M217" s="341"/>
    </row>
    <row r="218" spans="1:13" ht="12.75">
      <c r="A218" s="94" t="s">
        <v>130</v>
      </c>
      <c r="B218" s="94" t="s">
        <v>131</v>
      </c>
      <c r="C218" s="95">
        <v>0.017295374552809738</v>
      </c>
      <c r="D218" s="95">
        <v>0.2596313196894376</v>
      </c>
      <c r="E218" s="95">
        <v>0.07892415653049652</v>
      </c>
      <c r="F218" s="95">
        <v>0</v>
      </c>
      <c r="G218" s="95">
        <v>0.11185548242101688</v>
      </c>
      <c r="H218" s="95">
        <v>0.4529411387706975</v>
      </c>
      <c r="I218" s="95">
        <v>0.048681690498439435</v>
      </c>
      <c r="J218" s="95">
        <v>0.02603879147389003</v>
      </c>
      <c r="K218" s="95">
        <v>0.00463204606321215</v>
      </c>
      <c r="L218" s="341"/>
      <c r="M218" s="341"/>
    </row>
    <row r="219" spans="1:13" ht="12.75">
      <c r="A219" s="94" t="s">
        <v>132</v>
      </c>
      <c r="B219" s="94" t="s">
        <v>133</v>
      </c>
      <c r="C219" s="95">
        <v>0.016630888804627687</v>
      </c>
      <c r="D219" s="95">
        <v>0.23511173424136325</v>
      </c>
      <c r="E219" s="95">
        <v>0.07025046730666006</v>
      </c>
      <c r="F219" s="95">
        <v>0</v>
      </c>
      <c r="G219" s="95">
        <v>0.1306993814584596</v>
      </c>
      <c r="H219" s="95">
        <v>0.4311502880479897</v>
      </c>
      <c r="I219" s="95">
        <v>0.07849241157395938</v>
      </c>
      <c r="J219" s="95">
        <v>0.032766608334361735</v>
      </c>
      <c r="K219" s="95">
        <v>0.004898220232578537</v>
      </c>
      <c r="L219" s="341"/>
      <c r="M219" s="341"/>
    </row>
    <row r="220" spans="1:13" ht="12.75">
      <c r="A220" s="94" t="s">
        <v>134</v>
      </c>
      <c r="B220" s="94" t="s">
        <v>135</v>
      </c>
      <c r="C220" s="95">
        <v>0.017129253115764225</v>
      </c>
      <c r="D220" s="95">
        <v>0.25350142332741904</v>
      </c>
      <c r="E220" s="95">
        <v>0.07675573422453741</v>
      </c>
      <c r="F220" s="95">
        <v>0</v>
      </c>
      <c r="G220" s="95">
        <v>0.11656645718037756</v>
      </c>
      <c r="H220" s="95">
        <v>0.4474934260900205</v>
      </c>
      <c r="I220" s="95">
        <v>0.05613437076731942</v>
      </c>
      <c r="J220" s="95">
        <v>0.027720745689007956</v>
      </c>
      <c r="K220" s="95">
        <v>0.0046985896055537464</v>
      </c>
      <c r="L220" s="341"/>
      <c r="M220" s="341"/>
    </row>
    <row r="221" spans="1:13" ht="12.75">
      <c r="A221" s="94" t="s">
        <v>136</v>
      </c>
      <c r="B221" s="94" t="s">
        <v>24</v>
      </c>
      <c r="C221" s="95">
        <v>0.0168737870570556</v>
      </c>
      <c r="D221" s="95">
        <v>0.2536717621358413</v>
      </c>
      <c r="E221" s="95">
        <v>0.07620931619771183</v>
      </c>
      <c r="F221" s="95">
        <v>0</v>
      </c>
      <c r="G221" s="95">
        <v>0.1179052229223635</v>
      </c>
      <c r="H221" s="95">
        <v>0.44627193968011264</v>
      </c>
      <c r="I221" s="95">
        <v>0.05620192810615227</v>
      </c>
      <c r="J221" s="95">
        <v>0.028293795165642753</v>
      </c>
      <c r="K221" s="95">
        <v>0.0045722487351201125</v>
      </c>
      <c r="L221" s="341"/>
      <c r="M221" s="341"/>
    </row>
    <row r="222" spans="1:13" ht="12.75">
      <c r="A222" s="94" t="s">
        <v>137</v>
      </c>
      <c r="B222" s="94" t="s">
        <v>138</v>
      </c>
      <c r="C222" s="95">
        <v>0.007420790567243784</v>
      </c>
      <c r="D222" s="95">
        <v>0.6971870720668392</v>
      </c>
      <c r="E222" s="95">
        <v>0.03320915942476009</v>
      </c>
      <c r="F222" s="95">
        <v>0</v>
      </c>
      <c r="G222" s="95">
        <v>0.053223444886528505</v>
      </c>
      <c r="H222" s="95">
        <v>0.170751500669834</v>
      </c>
      <c r="I222" s="95">
        <v>0.02373698235858184</v>
      </c>
      <c r="J222" s="95">
        <v>0.012872610346899998</v>
      </c>
      <c r="K222" s="95">
        <v>0.0015984396793127385</v>
      </c>
      <c r="L222" s="341"/>
      <c r="M222" s="341"/>
    </row>
    <row r="223" spans="1:13" ht="12.75">
      <c r="A223" s="94" t="s">
        <v>139</v>
      </c>
      <c r="B223" s="94" t="s">
        <v>42</v>
      </c>
      <c r="C223" s="95">
        <v>0.03555512776459525</v>
      </c>
      <c r="D223" s="95">
        <v>0.28192465135603</v>
      </c>
      <c r="E223" s="95">
        <v>0.06580368086105505</v>
      </c>
      <c r="F223" s="95">
        <v>0</v>
      </c>
      <c r="G223" s="95">
        <v>0.08153539507367494</v>
      </c>
      <c r="H223" s="95">
        <v>0.4754513649953301</v>
      </c>
      <c r="I223" s="95">
        <v>0.046596907517319125</v>
      </c>
      <c r="J223" s="95">
        <v>0.013132872431995528</v>
      </c>
      <c r="K223" s="95">
        <v>0</v>
      </c>
      <c r="L223" s="341"/>
      <c r="M223" s="341"/>
    </row>
    <row r="224" spans="1:13" ht="12.75" hidden="1">
      <c r="A224" s="94" t="s">
        <v>140</v>
      </c>
      <c r="B224" s="94" t="s">
        <v>141</v>
      </c>
      <c r="C224" s="95">
        <v>0</v>
      </c>
      <c r="D224" s="95">
        <v>0</v>
      </c>
      <c r="E224" s="95">
        <v>0</v>
      </c>
      <c r="F224" s="95">
        <v>0</v>
      </c>
      <c r="G224" s="95">
        <v>0</v>
      </c>
      <c r="H224" s="95">
        <v>0.8171510443852026</v>
      </c>
      <c r="I224" s="95">
        <v>0.11359607294095672</v>
      </c>
      <c r="J224" s="95">
        <v>0.06160336481769749</v>
      </c>
      <c r="K224" s="95">
        <v>0.0076495178561432585</v>
      </c>
      <c r="L224" s="341"/>
      <c r="M224" s="341"/>
    </row>
    <row r="225" spans="1:13" ht="12.75" hidden="1">
      <c r="A225" s="94" t="s">
        <v>142</v>
      </c>
      <c r="B225" s="94" t="s">
        <v>143</v>
      </c>
      <c r="C225" s="95">
        <v>0</v>
      </c>
      <c r="D225" s="95">
        <v>0</v>
      </c>
      <c r="E225" s="95">
        <v>0</v>
      </c>
      <c r="F225" s="95">
        <v>0</v>
      </c>
      <c r="G225" s="95">
        <v>0</v>
      </c>
      <c r="H225" s="95">
        <v>0.7969507169905587</v>
      </c>
      <c r="I225" s="95">
        <v>0.12571336129448676</v>
      </c>
      <c r="J225" s="95">
        <v>0.06931126621490172</v>
      </c>
      <c r="K225" s="95">
        <v>0.008024655500052527</v>
      </c>
      <c r="L225" s="341"/>
      <c r="M225" s="341"/>
    </row>
    <row r="226" spans="1:13" ht="12.75" hidden="1">
      <c r="A226" s="94" t="s">
        <v>144</v>
      </c>
      <c r="B226" s="94" t="s">
        <v>43</v>
      </c>
      <c r="C226" s="95">
        <v>0</v>
      </c>
      <c r="D226" s="95">
        <v>0</v>
      </c>
      <c r="E226" s="95">
        <v>0</v>
      </c>
      <c r="F226" s="95">
        <v>0</v>
      </c>
      <c r="G226" s="95">
        <v>0</v>
      </c>
      <c r="H226" s="95">
        <v>0</v>
      </c>
      <c r="I226" s="95">
        <v>0</v>
      </c>
      <c r="J226" s="95">
        <v>0</v>
      </c>
      <c r="K226" s="95">
        <v>0</v>
      </c>
      <c r="L226" s="341"/>
      <c r="M226" s="341"/>
    </row>
    <row r="227" spans="1:13" ht="12.75" hidden="1">
      <c r="A227" s="94" t="s">
        <v>145</v>
      </c>
      <c r="B227" s="94" t="s">
        <v>44</v>
      </c>
      <c r="C227" s="95">
        <v>0.016487366157520156</v>
      </c>
      <c r="D227" s="95">
        <v>0.2517955965078297</v>
      </c>
      <c r="E227" s="95">
        <v>0.07400698689103308</v>
      </c>
      <c r="F227" s="95">
        <v>0</v>
      </c>
      <c r="G227" s="95">
        <v>0.14324025931426843</v>
      </c>
      <c r="H227" s="95">
        <v>0.4100070689105177</v>
      </c>
      <c r="I227" s="95">
        <v>0.064675726727343</v>
      </c>
      <c r="J227" s="95">
        <v>0.03565855265249119</v>
      </c>
      <c r="K227" s="95">
        <v>0.004128442838997006</v>
      </c>
      <c r="L227" s="341"/>
      <c r="M227" s="341"/>
    </row>
    <row r="228" spans="1:13" ht="12.75" hidden="1">
      <c r="A228" s="94" t="s">
        <v>146</v>
      </c>
      <c r="B228" s="94" t="s">
        <v>45</v>
      </c>
      <c r="C228" s="95">
        <v>0</v>
      </c>
      <c r="D228" s="95">
        <v>0</v>
      </c>
      <c r="E228" s="95">
        <v>0</v>
      </c>
      <c r="F228" s="95">
        <v>0</v>
      </c>
      <c r="G228" s="95">
        <v>0</v>
      </c>
      <c r="H228" s="95">
        <v>0</v>
      </c>
      <c r="I228" s="95">
        <v>0</v>
      </c>
      <c r="J228" s="95">
        <v>0</v>
      </c>
      <c r="K228" s="95">
        <v>0</v>
      </c>
      <c r="L228" s="341"/>
      <c r="M228" s="341"/>
    </row>
    <row r="229" spans="1:13" ht="12.75" hidden="1">
      <c r="A229" s="94" t="s">
        <v>147</v>
      </c>
      <c r="B229" s="94" t="s">
        <v>46</v>
      </c>
      <c r="C229" s="95">
        <v>0</v>
      </c>
      <c r="D229" s="95">
        <v>0</v>
      </c>
      <c r="E229" s="95">
        <v>0</v>
      </c>
      <c r="F229" s="95">
        <v>0</v>
      </c>
      <c r="G229" s="95">
        <v>0</v>
      </c>
      <c r="H229" s="95">
        <v>0</v>
      </c>
      <c r="I229" s="95">
        <v>0</v>
      </c>
      <c r="J229" s="95">
        <v>0</v>
      </c>
      <c r="K229" s="95">
        <v>0</v>
      </c>
      <c r="L229" s="341"/>
      <c r="M229" s="341"/>
    </row>
    <row r="230" spans="1:13" ht="12.75" hidden="1">
      <c r="A230" s="94" t="s">
        <v>148</v>
      </c>
      <c r="B230" s="94" t="s">
        <v>47</v>
      </c>
      <c r="C230" s="95">
        <v>0</v>
      </c>
      <c r="D230" s="95">
        <v>0</v>
      </c>
      <c r="E230" s="95">
        <v>0</v>
      </c>
      <c r="F230" s="95">
        <v>0</v>
      </c>
      <c r="G230" s="95">
        <v>0</v>
      </c>
      <c r="H230" s="95">
        <v>0</v>
      </c>
      <c r="I230" s="95">
        <v>0</v>
      </c>
      <c r="J230" s="95">
        <v>0</v>
      </c>
      <c r="K230" s="95">
        <v>0</v>
      </c>
      <c r="L230" s="341"/>
      <c r="M230" s="341"/>
    </row>
    <row r="231" spans="1:13" ht="12.75" hidden="1">
      <c r="A231" s="94" t="s">
        <v>149</v>
      </c>
      <c r="B231" s="94" t="s">
        <v>48</v>
      </c>
      <c r="C231" s="95">
        <v>0</v>
      </c>
      <c r="D231" s="95">
        <v>0</v>
      </c>
      <c r="E231" s="95">
        <v>0</v>
      </c>
      <c r="F231" s="95">
        <v>0</v>
      </c>
      <c r="G231" s="95">
        <v>0</v>
      </c>
      <c r="H231" s="95">
        <v>0</v>
      </c>
      <c r="I231" s="95">
        <v>0</v>
      </c>
      <c r="J231" s="95">
        <v>0</v>
      </c>
      <c r="K231" s="95">
        <v>0</v>
      </c>
      <c r="L231" s="341"/>
      <c r="M231" s="341"/>
    </row>
    <row r="232" spans="1:13" ht="12.75" hidden="1">
      <c r="A232" s="94" t="s">
        <v>150</v>
      </c>
      <c r="B232" s="94" t="s">
        <v>49</v>
      </c>
      <c r="C232" s="95">
        <v>0</v>
      </c>
      <c r="D232" s="95">
        <v>0</v>
      </c>
      <c r="E232" s="95">
        <v>0</v>
      </c>
      <c r="F232" s="95">
        <v>0</v>
      </c>
      <c r="G232" s="95">
        <v>0</v>
      </c>
      <c r="H232" s="95">
        <v>0</v>
      </c>
      <c r="I232" s="95">
        <v>0</v>
      </c>
      <c r="J232" s="95">
        <v>0</v>
      </c>
      <c r="K232" s="95">
        <v>0</v>
      </c>
      <c r="L232" s="341"/>
      <c r="M232" s="341"/>
    </row>
    <row r="233" spans="1:13" ht="12.75" hidden="1">
      <c r="A233" s="94" t="s">
        <v>151</v>
      </c>
      <c r="B233" s="94" t="s">
        <v>50</v>
      </c>
      <c r="C233" s="95">
        <v>0</v>
      </c>
      <c r="D233" s="95">
        <v>0</v>
      </c>
      <c r="E233" s="95">
        <v>0</v>
      </c>
      <c r="F233" s="95">
        <v>0</v>
      </c>
      <c r="G233" s="95">
        <v>0</v>
      </c>
      <c r="H233" s="95">
        <v>0</v>
      </c>
      <c r="I233" s="95">
        <v>0</v>
      </c>
      <c r="J233" s="95">
        <v>0</v>
      </c>
      <c r="K233" s="95">
        <v>0</v>
      </c>
      <c r="L233" s="341"/>
      <c r="M233" s="341"/>
    </row>
    <row r="234" spans="1:13" ht="12.75">
      <c r="A234" s="94" t="s">
        <v>152</v>
      </c>
      <c r="B234" s="94" t="s">
        <v>153</v>
      </c>
      <c r="C234" s="95">
        <v>0.017875115323107017</v>
      </c>
      <c r="D234" s="95">
        <v>0.27058768751327733</v>
      </c>
      <c r="E234" s="95">
        <v>0.07999384285568284</v>
      </c>
      <c r="F234" s="95">
        <v>0</v>
      </c>
      <c r="G234" s="95">
        <v>0.12820402443901416</v>
      </c>
      <c r="H234" s="95">
        <v>0.41130425908253476</v>
      </c>
      <c r="I234" s="95">
        <v>0.05717737122984192</v>
      </c>
      <c r="J234" s="95">
        <v>0.031007396365010376</v>
      </c>
      <c r="K234" s="95">
        <v>0.003850303191531473</v>
      </c>
      <c r="L234" s="341"/>
      <c r="M234" s="341"/>
    </row>
    <row r="235" spans="1:13" ht="12.75">
      <c r="A235" s="94" t="s">
        <v>154</v>
      </c>
      <c r="B235" s="94" t="s">
        <v>155</v>
      </c>
      <c r="C235" s="95">
        <v>0.017875115323107017</v>
      </c>
      <c r="D235" s="95">
        <v>0.27058768751327733</v>
      </c>
      <c r="E235" s="95">
        <v>0.07999384285568284</v>
      </c>
      <c r="F235" s="95">
        <v>0</v>
      </c>
      <c r="G235" s="95">
        <v>0.12820402443901416</v>
      </c>
      <c r="H235" s="95">
        <v>0.41130425908253476</v>
      </c>
      <c r="I235" s="95">
        <v>0.05717737122984192</v>
      </c>
      <c r="J235" s="95">
        <v>0.031007396365010376</v>
      </c>
      <c r="K235" s="95">
        <v>0.003850303191531473</v>
      </c>
      <c r="L235" s="341"/>
      <c r="M235" s="341"/>
    </row>
    <row r="236" spans="1:13" ht="12.75">
      <c r="A236" s="94" t="s">
        <v>156</v>
      </c>
      <c r="B236" s="94" t="s">
        <v>26</v>
      </c>
      <c r="C236" s="95">
        <v>0.025622570419392577</v>
      </c>
      <c r="D236" s="95">
        <v>0.31067767194972074</v>
      </c>
      <c r="E236" s="95">
        <v>0.07057184634906648</v>
      </c>
      <c r="F236" s="95">
        <v>0</v>
      </c>
      <c r="G236" s="95">
        <v>0.06703674521566617</v>
      </c>
      <c r="H236" s="95">
        <v>0.4781353955716365</v>
      </c>
      <c r="I236" s="95">
        <v>0.03933427509889823</v>
      </c>
      <c r="J236" s="95">
        <v>0.008621495395619298</v>
      </c>
      <c r="K236" s="95">
        <v>0</v>
      </c>
      <c r="L236" s="342">
        <v>0</v>
      </c>
      <c r="M236" s="342">
        <v>0</v>
      </c>
    </row>
    <row r="237" spans="1:13" ht="12.75" hidden="1">
      <c r="A237" s="94" t="s">
        <v>157</v>
      </c>
      <c r="B237" s="94" t="s">
        <v>51</v>
      </c>
      <c r="C237" s="95">
        <v>0.05406645452608147</v>
      </c>
      <c r="D237" s="95">
        <v>0.6555642134180789</v>
      </c>
      <c r="E237" s="95">
        <v>0.14891439301365242</v>
      </c>
      <c r="F237" s="95">
        <v>0</v>
      </c>
      <c r="G237" s="95">
        <v>0.14145493904218714</v>
      </c>
      <c r="H237" s="95">
        <v>0</v>
      </c>
      <c r="I237" s="95">
        <v>0</v>
      </c>
      <c r="J237" s="95">
        <v>0</v>
      </c>
      <c r="K237" s="95">
        <v>0</v>
      </c>
      <c r="L237" s="342">
        <v>0</v>
      </c>
      <c r="M237" s="342">
        <v>0</v>
      </c>
    </row>
    <row r="238" spans="1:13" ht="12.75" hidden="1">
      <c r="A238" s="94" t="s">
        <v>158</v>
      </c>
      <c r="B238" s="96" t="s">
        <v>52</v>
      </c>
      <c r="C238" s="95">
        <v>0</v>
      </c>
      <c r="D238" s="95">
        <v>0</v>
      </c>
      <c r="E238" s="95">
        <v>0</v>
      </c>
      <c r="F238" s="95">
        <v>0</v>
      </c>
      <c r="G238" s="95">
        <v>0</v>
      </c>
      <c r="H238" s="95">
        <v>0.9088451325782435</v>
      </c>
      <c r="I238" s="95">
        <v>0.07476703209639543</v>
      </c>
      <c r="J238" s="95">
        <v>0.016387835325361033</v>
      </c>
      <c r="K238" s="95">
        <v>0</v>
      </c>
      <c r="L238" s="342">
        <v>0</v>
      </c>
      <c r="M238" s="342">
        <v>0</v>
      </c>
    </row>
    <row r="239" spans="1:13" ht="12.75" hidden="1">
      <c r="A239" s="94" t="s">
        <v>159</v>
      </c>
      <c r="B239" s="94" t="s">
        <v>53</v>
      </c>
      <c r="C239" s="95">
        <v>0</v>
      </c>
      <c r="D239" s="95">
        <v>0</v>
      </c>
      <c r="E239" s="95">
        <v>1</v>
      </c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342">
        <v>0</v>
      </c>
      <c r="M239" s="342">
        <v>0</v>
      </c>
    </row>
    <row r="240" spans="1:13" ht="12.75" hidden="1">
      <c r="A240" s="94" t="s">
        <v>160</v>
      </c>
      <c r="B240" s="94" t="s">
        <v>161</v>
      </c>
      <c r="C240" s="95">
        <v>0</v>
      </c>
      <c r="D240" s="95">
        <v>0</v>
      </c>
      <c r="E240" s="95">
        <v>0</v>
      </c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341"/>
      <c r="M240" s="341"/>
    </row>
    <row r="241" spans="1:13" ht="12.75" hidden="1">
      <c r="A241" s="94" t="s">
        <v>162</v>
      </c>
      <c r="B241" s="94" t="s">
        <v>54</v>
      </c>
      <c r="C241" s="95">
        <v>0</v>
      </c>
      <c r="D241" s="95">
        <v>0</v>
      </c>
      <c r="E241" s="95">
        <v>0</v>
      </c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341"/>
      <c r="M241" s="341"/>
    </row>
    <row r="242" spans="1:13" ht="12.75" hidden="1">
      <c r="A242" s="94" t="s">
        <v>163</v>
      </c>
      <c r="B242" s="94" t="s">
        <v>55</v>
      </c>
      <c r="C242" s="95">
        <v>-0.14628426931967656</v>
      </c>
      <c r="D242" s="95">
        <v>0.7411859752093941</v>
      </c>
      <c r="E242" s="95">
        <v>-0.2834493816807301</v>
      </c>
      <c r="F242" s="95">
        <v>0</v>
      </c>
      <c r="G242" s="95">
        <v>0.018174442050043257</v>
      </c>
      <c r="H242" s="95">
        <v>0.09181938240754511</v>
      </c>
      <c r="I242" s="95">
        <v>0.19562161885090498</v>
      </c>
      <c r="J242" s="95">
        <v>0.28938350967950704</v>
      </c>
      <c r="K242" s="95">
        <v>0.051540952010940014</v>
      </c>
      <c r="L242" s="95">
        <v>-0.3522970134468446</v>
      </c>
      <c r="M242" s="95">
        <v>0.39427522852797897</v>
      </c>
    </row>
    <row r="243" spans="1:13" ht="12.75" hidden="1">
      <c r="A243" s="94" t="s">
        <v>164</v>
      </c>
      <c r="B243" s="94" t="s">
        <v>56</v>
      </c>
      <c r="C243" s="95">
        <v>0.022438328087072298</v>
      </c>
      <c r="D243" s="95">
        <v>0.27419032022293793</v>
      </c>
      <c r="E243" s="95">
        <v>0.07642194767642291</v>
      </c>
      <c r="F243" s="95">
        <v>0</v>
      </c>
      <c r="G243" s="95">
        <v>0.11675949239516491</v>
      </c>
      <c r="H243" s="95">
        <v>0.4256668639552922</v>
      </c>
      <c r="I243" s="95">
        <v>0.055203722638745324</v>
      </c>
      <c r="J243" s="95">
        <v>0.02650060728779002</v>
      </c>
      <c r="K243" s="95">
        <v>0.002818717736574531</v>
      </c>
      <c r="L243" s="341"/>
      <c r="M243" s="95">
        <v>0</v>
      </c>
    </row>
    <row r="244" spans="1:13" ht="12.75">
      <c r="A244" s="94" t="s">
        <v>57</v>
      </c>
      <c r="B244" s="94" t="s">
        <v>57</v>
      </c>
      <c r="C244" s="95">
        <v>0.03555512776459525</v>
      </c>
      <c r="D244" s="95">
        <v>0.28192465135603</v>
      </c>
      <c r="E244" s="95">
        <v>0.06580368086105505</v>
      </c>
      <c r="F244" s="95">
        <v>0</v>
      </c>
      <c r="G244" s="95">
        <v>0.08153539507367494</v>
      </c>
      <c r="H244" s="95">
        <v>0.4754513649953301</v>
      </c>
      <c r="I244" s="95">
        <v>0.046596907517319125</v>
      </c>
      <c r="J244" s="95">
        <v>0.013132872431995528</v>
      </c>
      <c r="K244" s="95">
        <v>0</v>
      </c>
      <c r="L244" s="341"/>
      <c r="M244" s="341"/>
    </row>
    <row r="245" spans="1:13" ht="12.75" hidden="1">
      <c r="A245" s="94" t="s">
        <v>165</v>
      </c>
      <c r="B245" s="94" t="s">
        <v>58</v>
      </c>
      <c r="C245" s="342">
        <v>0</v>
      </c>
      <c r="D245" s="342">
        <v>0</v>
      </c>
      <c r="E245" s="342">
        <v>0</v>
      </c>
      <c r="F245" s="342">
        <v>0</v>
      </c>
      <c r="G245" s="342">
        <v>0</v>
      </c>
      <c r="H245" s="342">
        <v>0</v>
      </c>
      <c r="I245" s="342">
        <v>1</v>
      </c>
      <c r="J245" s="342">
        <v>0</v>
      </c>
      <c r="K245" s="342">
        <v>0</v>
      </c>
      <c r="L245" s="341"/>
      <c r="M245" s="95">
        <v>0</v>
      </c>
    </row>
    <row r="246" spans="1:13" ht="12.75" hidden="1">
      <c r="A246" s="97" t="s">
        <v>166</v>
      </c>
      <c r="B246" s="94" t="s">
        <v>167</v>
      </c>
      <c r="C246" s="95">
        <v>0</v>
      </c>
      <c r="D246" s="95">
        <v>0</v>
      </c>
      <c r="E246" s="95">
        <v>0</v>
      </c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341"/>
      <c r="M246" s="341"/>
    </row>
    <row r="247" spans="1:13" ht="12.75">
      <c r="A247" s="94" t="s">
        <v>168</v>
      </c>
      <c r="B247" s="94" t="s">
        <v>60</v>
      </c>
      <c r="C247" s="95">
        <v>0.006435898745843826</v>
      </c>
      <c r="D247" s="95">
        <v>0.4773396556178292</v>
      </c>
      <c r="E247" s="95">
        <v>0.14287712219230567</v>
      </c>
      <c r="F247" s="95">
        <v>0</v>
      </c>
      <c r="G247" s="95">
        <v>0.07351803235939305</v>
      </c>
      <c r="H247" s="95">
        <v>0.27669903292869336</v>
      </c>
      <c r="I247" s="95">
        <v>0.023122640600790587</v>
      </c>
      <c r="J247" s="95">
        <v>7.617555144315033E-06</v>
      </c>
      <c r="K247" s="95">
        <v>0</v>
      </c>
      <c r="L247" s="95">
        <v>0</v>
      </c>
      <c r="M247" s="95">
        <v>0</v>
      </c>
    </row>
    <row r="248" spans="1:13" ht="12.75" hidden="1">
      <c r="A248" s="97" t="s">
        <v>166</v>
      </c>
      <c r="B248" s="94" t="s">
        <v>167</v>
      </c>
      <c r="C248" s="95">
        <v>0</v>
      </c>
      <c r="D248" s="95">
        <v>0</v>
      </c>
      <c r="E248" s="95">
        <v>0</v>
      </c>
      <c r="F248" s="95">
        <v>0</v>
      </c>
      <c r="G248" s="95">
        <v>0</v>
      </c>
      <c r="H248" s="95">
        <v>0</v>
      </c>
      <c r="I248" s="95">
        <v>0</v>
      </c>
      <c r="J248" s="95">
        <v>0</v>
      </c>
      <c r="K248" s="95">
        <v>0</v>
      </c>
      <c r="L248" s="95">
        <v>0</v>
      </c>
      <c r="M248" s="95">
        <v>0</v>
      </c>
    </row>
    <row r="249" spans="1:13" ht="12.75" hidden="1">
      <c r="A249" s="97" t="s">
        <v>166</v>
      </c>
      <c r="B249" s="94" t="s">
        <v>167</v>
      </c>
      <c r="C249" s="95">
        <v>0</v>
      </c>
      <c r="D249" s="95">
        <v>0</v>
      </c>
      <c r="E249" s="95">
        <v>0</v>
      </c>
      <c r="F249" s="95">
        <v>0</v>
      </c>
      <c r="G249" s="95">
        <v>0</v>
      </c>
      <c r="H249" s="95">
        <v>0</v>
      </c>
      <c r="I249" s="95">
        <v>0</v>
      </c>
      <c r="J249" s="95">
        <v>0</v>
      </c>
      <c r="K249" s="95">
        <v>0</v>
      </c>
      <c r="L249" s="95">
        <v>0</v>
      </c>
      <c r="M249" s="95">
        <v>0</v>
      </c>
    </row>
    <row r="250" spans="1:13" ht="12.75">
      <c r="A250" s="94" t="s">
        <v>169</v>
      </c>
      <c r="B250" s="94" t="s">
        <v>63</v>
      </c>
      <c r="C250" s="342">
        <v>0.03287</v>
      </c>
      <c r="D250" s="342">
        <v>0.70976</v>
      </c>
      <c r="E250" s="342">
        <v>0.1418</v>
      </c>
      <c r="F250" s="342">
        <v>0</v>
      </c>
      <c r="G250" s="342">
        <v>0.10946</v>
      </c>
      <c r="H250" s="341"/>
      <c r="I250" s="341"/>
      <c r="J250" s="341"/>
      <c r="K250" s="341"/>
      <c r="L250" s="342"/>
      <c r="M250" s="342">
        <v>0.00611</v>
      </c>
    </row>
    <row r="251" spans="1:13" ht="12.75">
      <c r="A251" s="94" t="s">
        <v>170</v>
      </c>
      <c r="B251" s="94" t="s">
        <v>64</v>
      </c>
      <c r="C251" s="342">
        <v>0.0542</v>
      </c>
      <c r="D251" s="342">
        <v>0.6769</v>
      </c>
      <c r="E251" s="342">
        <v>0.1336</v>
      </c>
      <c r="F251" s="342">
        <v>0</v>
      </c>
      <c r="G251" s="342">
        <v>0.1161</v>
      </c>
      <c r="H251" s="341"/>
      <c r="I251" s="341"/>
      <c r="J251" s="341"/>
      <c r="K251" s="341"/>
      <c r="L251" s="342"/>
      <c r="M251" s="342">
        <v>0.0192</v>
      </c>
    </row>
    <row r="252" spans="1:13" ht="12.75">
      <c r="A252" s="94" t="s">
        <v>171</v>
      </c>
      <c r="B252" s="94" t="s">
        <v>65</v>
      </c>
      <c r="C252" s="342">
        <v>0.04789</v>
      </c>
      <c r="D252" s="342">
        <v>0.64608</v>
      </c>
      <c r="E252" s="342">
        <v>0.13126</v>
      </c>
      <c r="F252" s="342">
        <v>0</v>
      </c>
      <c r="G252" s="342">
        <v>0.155</v>
      </c>
      <c r="H252" s="341"/>
      <c r="I252" s="341"/>
      <c r="J252" s="341"/>
      <c r="K252" s="341"/>
      <c r="L252" s="342"/>
      <c r="M252" s="342">
        <v>0.01977</v>
      </c>
    </row>
    <row r="253" spans="1:13" ht="12.75">
      <c r="A253" s="94" t="s">
        <v>172</v>
      </c>
      <c r="B253" s="94" t="s">
        <v>66</v>
      </c>
      <c r="C253" s="342">
        <v>0.0427</v>
      </c>
      <c r="D253" s="342">
        <v>0.612</v>
      </c>
      <c r="E253" s="342">
        <v>0.1496</v>
      </c>
      <c r="F253" s="342">
        <v>0</v>
      </c>
      <c r="G253" s="342">
        <v>0.1671</v>
      </c>
      <c r="H253" s="341"/>
      <c r="I253" s="341"/>
      <c r="J253" s="341"/>
      <c r="K253" s="341"/>
      <c r="L253" s="342"/>
      <c r="M253" s="342">
        <v>0.0286</v>
      </c>
    </row>
    <row r="254" spans="1:13" ht="12.75">
      <c r="A254" s="94" t="s">
        <v>173</v>
      </c>
      <c r="B254" s="94" t="s">
        <v>67</v>
      </c>
      <c r="C254" s="342">
        <v>0.048806</v>
      </c>
      <c r="D254" s="342">
        <v>0.563558</v>
      </c>
      <c r="E254" s="342">
        <v>0.152688</v>
      </c>
      <c r="F254" s="342">
        <v>0</v>
      </c>
      <c r="G254" s="342">
        <v>0.206776</v>
      </c>
      <c r="H254" s="341"/>
      <c r="I254" s="341"/>
      <c r="J254" s="341"/>
      <c r="K254" s="341"/>
      <c r="L254" s="342"/>
      <c r="M254" s="342">
        <v>0.028172</v>
      </c>
    </row>
    <row r="255" spans="1:13" ht="12.75">
      <c r="A255" s="94" t="s">
        <v>174</v>
      </c>
      <c r="B255" s="94" t="s">
        <v>68</v>
      </c>
      <c r="C255" s="342">
        <v>0.015047</v>
      </c>
      <c r="D255" s="342">
        <v>0.159356</v>
      </c>
      <c r="E255" s="342">
        <v>0.039132</v>
      </c>
      <c r="F255" s="342">
        <v>0</v>
      </c>
      <c r="G255" s="342">
        <v>0.038051</v>
      </c>
      <c r="H255" s="342">
        <v>0.469355</v>
      </c>
      <c r="I255" s="342">
        <v>0.139815</v>
      </c>
      <c r="J255" s="342">
        <v>0.135384</v>
      </c>
      <c r="K255" s="341"/>
      <c r="L255" s="342"/>
      <c r="M255" s="342">
        <v>0.00386</v>
      </c>
    </row>
    <row r="256" spans="1:13" ht="12.75" hidden="1">
      <c r="A256" s="94" t="s">
        <v>175</v>
      </c>
      <c r="B256" s="94" t="s">
        <v>69</v>
      </c>
      <c r="C256" s="342">
        <v>0</v>
      </c>
      <c r="D256" s="342">
        <v>0</v>
      </c>
      <c r="E256" s="342">
        <v>0</v>
      </c>
      <c r="F256" s="342">
        <v>0</v>
      </c>
      <c r="G256" s="342">
        <v>0</v>
      </c>
      <c r="H256" s="342">
        <v>0</v>
      </c>
      <c r="I256" s="342">
        <v>0</v>
      </c>
      <c r="J256" s="342">
        <v>0</v>
      </c>
      <c r="K256" s="342">
        <v>0</v>
      </c>
      <c r="L256" s="342">
        <v>1</v>
      </c>
      <c r="M256" s="342">
        <v>0</v>
      </c>
    </row>
    <row r="257" spans="1:13" ht="12.75" hidden="1">
      <c r="A257" s="94" t="s">
        <v>176</v>
      </c>
      <c r="B257" s="94" t="s">
        <v>70</v>
      </c>
      <c r="C257" s="342">
        <v>0</v>
      </c>
      <c r="D257" s="342">
        <v>0</v>
      </c>
      <c r="E257" s="342">
        <v>0</v>
      </c>
      <c r="F257" s="342">
        <v>0</v>
      </c>
      <c r="G257" s="342">
        <v>0</v>
      </c>
      <c r="H257" s="342">
        <v>0</v>
      </c>
      <c r="I257" s="342">
        <v>0</v>
      </c>
      <c r="J257" s="342">
        <v>0</v>
      </c>
      <c r="K257" s="342">
        <v>0</v>
      </c>
      <c r="L257" s="342">
        <v>0</v>
      </c>
      <c r="M257" s="342">
        <v>1</v>
      </c>
    </row>
    <row r="258" spans="1:13" ht="12.75">
      <c r="A258" s="94" t="s">
        <v>177</v>
      </c>
      <c r="B258" s="94" t="s">
        <v>71</v>
      </c>
      <c r="C258" s="95">
        <v>0.017875115323107014</v>
      </c>
      <c r="D258" s="95">
        <v>0.2705876875132774</v>
      </c>
      <c r="E258" s="95">
        <v>0.07999384285568287</v>
      </c>
      <c r="F258" s="95">
        <v>0</v>
      </c>
      <c r="G258" s="95">
        <v>0.12820402443901419</v>
      </c>
      <c r="H258" s="95">
        <v>0.4113042590825347</v>
      </c>
      <c r="I258" s="95">
        <v>0.05717737122984194</v>
      </c>
      <c r="J258" s="95">
        <v>0.03100739636501035</v>
      </c>
      <c r="K258" s="95">
        <v>0.0038503031915314723</v>
      </c>
      <c r="L258" s="341"/>
      <c r="M258" s="341"/>
    </row>
    <row r="259" spans="1:13" ht="12.75">
      <c r="A259" s="94" t="s">
        <v>178</v>
      </c>
      <c r="B259" s="94" t="s">
        <v>72</v>
      </c>
      <c r="C259" s="95">
        <v>0.01787511532310702</v>
      </c>
      <c r="D259" s="95">
        <v>0.2705876875132776</v>
      </c>
      <c r="E259" s="95">
        <v>0.0799938428556829</v>
      </c>
      <c r="F259" s="95">
        <v>0</v>
      </c>
      <c r="G259" s="95">
        <v>0.12820402443901416</v>
      </c>
      <c r="H259" s="95">
        <v>0.4113042590825348</v>
      </c>
      <c r="I259" s="95">
        <v>0.05717737122984198</v>
      </c>
      <c r="J259" s="95">
        <v>0.031007396365010376</v>
      </c>
      <c r="K259" s="95">
        <v>0.0038503031915314762</v>
      </c>
      <c r="L259" s="341"/>
      <c r="M259" s="341"/>
    </row>
    <row r="260" spans="1:13" ht="12.75">
      <c r="A260" s="94" t="s">
        <v>179</v>
      </c>
      <c r="B260" s="94" t="s">
        <v>73</v>
      </c>
      <c r="C260" s="95">
        <v>0.017875115323107017</v>
      </c>
      <c r="D260" s="95">
        <v>0.27058768751327744</v>
      </c>
      <c r="E260" s="95">
        <v>0.07999384285568287</v>
      </c>
      <c r="F260" s="95">
        <v>0</v>
      </c>
      <c r="G260" s="95">
        <v>0.12820402443901416</v>
      </c>
      <c r="H260" s="95">
        <v>0.41130425908253476</v>
      </c>
      <c r="I260" s="95">
        <v>0.05717737122984194</v>
      </c>
      <c r="J260" s="95">
        <v>0.031007396365010365</v>
      </c>
      <c r="K260" s="95">
        <v>0.003850303191531474</v>
      </c>
      <c r="L260" s="341"/>
      <c r="M260" s="341"/>
    </row>
    <row r="261" spans="1:13" ht="12.75">
      <c r="A261" s="94" t="s">
        <v>180</v>
      </c>
      <c r="B261" s="94" t="s">
        <v>74</v>
      </c>
      <c r="C261" s="95">
        <v>0.017875115323107017</v>
      </c>
      <c r="D261" s="95">
        <v>0.27058768751327733</v>
      </c>
      <c r="E261" s="95">
        <v>0.07999384285568284</v>
      </c>
      <c r="F261" s="95">
        <v>0</v>
      </c>
      <c r="G261" s="95">
        <v>0.12820402443901416</v>
      </c>
      <c r="H261" s="95">
        <v>0.41130425908253476</v>
      </c>
      <c r="I261" s="95">
        <v>0.05717737122984192</v>
      </c>
      <c r="J261" s="95">
        <v>0.031007396365010376</v>
      </c>
      <c r="K261" s="95">
        <v>0.003850303191531473</v>
      </c>
      <c r="L261" s="95"/>
      <c r="M261" s="95"/>
    </row>
    <row r="262" spans="1:13" ht="12.75">
      <c r="A262" s="94" t="s">
        <v>181</v>
      </c>
      <c r="B262" s="94" t="s">
        <v>75</v>
      </c>
      <c r="C262" s="95">
        <v>0.01787511532310702</v>
      </c>
      <c r="D262" s="95">
        <v>0.2705876875132774</v>
      </c>
      <c r="E262" s="95">
        <v>0.07999384285568285</v>
      </c>
      <c r="F262" s="95">
        <v>0</v>
      </c>
      <c r="G262" s="95">
        <v>0.12820402443901416</v>
      </c>
      <c r="H262" s="95">
        <v>0.4113042590825349</v>
      </c>
      <c r="I262" s="95">
        <v>0.05717737122984196</v>
      </c>
      <c r="J262" s="95">
        <v>0.03100739636501037</v>
      </c>
      <c r="K262" s="95">
        <v>0.003850303191531474</v>
      </c>
      <c r="L262" s="341"/>
      <c r="M262" s="341"/>
    </row>
    <row r="263" spans="1:13" ht="12.75">
      <c r="A263" s="94" t="s">
        <v>182</v>
      </c>
      <c r="B263" s="94" t="s">
        <v>76</v>
      </c>
      <c r="C263" s="95">
        <v>0.017875115323107024</v>
      </c>
      <c r="D263" s="95">
        <v>0.27058768751327744</v>
      </c>
      <c r="E263" s="95">
        <v>0.07999384285568287</v>
      </c>
      <c r="F263" s="95">
        <v>0</v>
      </c>
      <c r="G263" s="95">
        <v>0.12820402443901413</v>
      </c>
      <c r="H263" s="95">
        <v>0.4113042590825348</v>
      </c>
      <c r="I263" s="95">
        <v>0.05717737122984193</v>
      </c>
      <c r="J263" s="95">
        <v>0.031007396365010365</v>
      </c>
      <c r="K263" s="95">
        <v>0.003850303191531474</v>
      </c>
      <c r="L263" s="341"/>
      <c r="M263" s="341"/>
    </row>
    <row r="264" spans="1:13" ht="12.75">
      <c r="A264" s="94" t="s">
        <v>183</v>
      </c>
      <c r="B264" s="94" t="s">
        <v>77</v>
      </c>
      <c r="C264" s="95">
        <v>0.025177269436702846</v>
      </c>
      <c r="D264" s="95">
        <v>0.2974329818410616</v>
      </c>
      <c r="E264" s="95">
        <v>0.07985770351159024</v>
      </c>
      <c r="F264" s="95">
        <v>0</v>
      </c>
      <c r="G264" s="95">
        <v>0.11804913430535753</v>
      </c>
      <c r="H264" s="95">
        <v>0.38893942056255026</v>
      </c>
      <c r="I264" s="95">
        <v>0.06397157104454347</v>
      </c>
      <c r="J264" s="95">
        <v>0.025061532816570357</v>
      </c>
      <c r="K264" s="95">
        <v>0.0015103864816236033</v>
      </c>
      <c r="L264" s="341"/>
      <c r="M264" s="341"/>
    </row>
    <row r="265" spans="1:13" ht="12.75">
      <c r="A265" s="94" t="s">
        <v>184</v>
      </c>
      <c r="B265" s="94" t="s">
        <v>78</v>
      </c>
      <c r="C265" s="95">
        <v>0.020915820127774414</v>
      </c>
      <c r="D265" s="95">
        <v>0.2768868386774147</v>
      </c>
      <c r="E265" s="95">
        <v>0.0772401445474627</v>
      </c>
      <c r="F265" s="95">
        <v>0</v>
      </c>
      <c r="G265" s="95">
        <v>0.11815220510955753</v>
      </c>
      <c r="H265" s="95">
        <v>0.4159187998352217</v>
      </c>
      <c r="I265" s="95">
        <v>0.0611996604650734</v>
      </c>
      <c r="J265" s="95">
        <v>0.026709187946634266</v>
      </c>
      <c r="K265" s="95">
        <v>0.0029773432908613154</v>
      </c>
      <c r="L265" s="341"/>
      <c r="M265" s="341"/>
    </row>
    <row r="266" spans="1:13" ht="12.75">
      <c r="A266" s="94" t="s">
        <v>185</v>
      </c>
      <c r="B266" s="94" t="s">
        <v>79</v>
      </c>
      <c r="C266" s="95">
        <v>0.017664305604232648</v>
      </c>
      <c r="D266" s="95">
        <v>0.2677330250712756</v>
      </c>
      <c r="E266" s="95">
        <v>0.07908439361647869</v>
      </c>
      <c r="F266" s="95">
        <v>0</v>
      </c>
      <c r="G266" s="95">
        <v>0.1304881435907925</v>
      </c>
      <c r="H266" s="95">
        <v>0.4111072059678432</v>
      </c>
      <c r="I266" s="95">
        <v>0.05831642881578533</v>
      </c>
      <c r="J266" s="95">
        <v>0.031713942600972225</v>
      </c>
      <c r="K266" s="95">
        <v>0.0038925547326197586</v>
      </c>
      <c r="L266" s="341"/>
      <c r="M266" s="341"/>
    </row>
    <row r="267" spans="1:13" ht="12.75">
      <c r="A267" s="94" t="s">
        <v>186</v>
      </c>
      <c r="B267" s="94" t="s">
        <v>80</v>
      </c>
      <c r="C267" s="95">
        <v>0.01762707234740281</v>
      </c>
      <c r="D267" s="95">
        <v>0.2672288339911249</v>
      </c>
      <c r="E267" s="95">
        <v>0.07892376650081347</v>
      </c>
      <c r="F267" s="95">
        <v>0</v>
      </c>
      <c r="G267" s="95">
        <v>0.13089156519517686</v>
      </c>
      <c r="H267" s="95">
        <v>0.4110724024053339</v>
      </c>
      <c r="I267" s="95">
        <v>0.058517609405882694</v>
      </c>
      <c r="J267" s="95">
        <v>0.031838732945583426</v>
      </c>
      <c r="K267" s="95">
        <v>0.0039000172086820412</v>
      </c>
      <c r="L267" s="341"/>
      <c r="M267" s="341"/>
    </row>
    <row r="268" spans="1:13" ht="12.75">
      <c r="A268" s="94" t="s">
        <v>187</v>
      </c>
      <c r="B268" s="94" t="s">
        <v>81</v>
      </c>
      <c r="C268" s="95">
        <v>-0.13444684410577626</v>
      </c>
      <c r="D268" s="95">
        <v>0.6973040509582585</v>
      </c>
      <c r="E268" s="95">
        <v>-0.2584910305933183</v>
      </c>
      <c r="F268" s="95">
        <v>0</v>
      </c>
      <c r="G268" s="95">
        <v>0.022516290062909863</v>
      </c>
      <c r="H268" s="95">
        <v>0.10321957671615009</v>
      </c>
      <c r="I268" s="95">
        <v>0.18340526151432376</v>
      </c>
      <c r="J268" s="95">
        <v>0.2689241814584133</v>
      </c>
      <c r="K268" s="95">
        <v>0.04782249391966476</v>
      </c>
      <c r="L268" s="95">
        <v>-0.2898536737864973</v>
      </c>
      <c r="M268" s="95">
        <v>0.3595727369721545</v>
      </c>
    </row>
    <row r="269" spans="1:13" ht="12.75">
      <c r="A269" s="94" t="s">
        <v>188</v>
      </c>
      <c r="B269" s="94" t="s">
        <v>61</v>
      </c>
      <c r="C269" s="95">
        <v>0.024061298197267506</v>
      </c>
      <c r="D269" s="95">
        <v>0.3029889132494507</v>
      </c>
      <c r="E269" s="95">
        <v>0.11635035289415781</v>
      </c>
      <c r="F269" s="95">
        <v>0</v>
      </c>
      <c r="G269" s="95">
        <v>0.1226845038531815</v>
      </c>
      <c r="H269" s="95">
        <v>0.3995774372953471</v>
      </c>
      <c r="I269" s="95">
        <v>0.05533866835485889</v>
      </c>
      <c r="J269" s="95">
        <v>0.016287834292724124</v>
      </c>
      <c r="K269" s="95">
        <v>0.0029222507968744175</v>
      </c>
      <c r="L269" s="95">
        <v>0</v>
      </c>
      <c r="M269" s="95">
        <v>-0.04021125893386204</v>
      </c>
    </row>
    <row r="270" spans="1:13" ht="12.75">
      <c r="A270" s="94" t="s">
        <v>189</v>
      </c>
      <c r="B270" s="94" t="s">
        <v>62</v>
      </c>
      <c r="C270" s="95">
        <v>0.025669711907681175</v>
      </c>
      <c r="D270" s="95">
        <v>0.28761000168089934</v>
      </c>
      <c r="E270" s="95">
        <v>0.07635616869786961</v>
      </c>
      <c r="F270" s="95">
        <v>0</v>
      </c>
      <c r="G270" s="95">
        <v>0.10405476077417572</v>
      </c>
      <c r="H270" s="95">
        <v>0.4370130664553874</v>
      </c>
      <c r="I270" s="95">
        <v>0.06148057700641638</v>
      </c>
      <c r="J270" s="95">
        <v>0.019557920576390178</v>
      </c>
      <c r="K270" s="95">
        <v>0.0023820708473146104</v>
      </c>
      <c r="L270" s="95">
        <v>0</v>
      </c>
      <c r="M270" s="95">
        <v>-0.014124277946134441</v>
      </c>
    </row>
    <row r="271" spans="1:13" ht="12.75">
      <c r="A271" s="94" t="s">
        <v>190</v>
      </c>
      <c r="B271" s="94" t="s">
        <v>59</v>
      </c>
      <c r="C271" s="95">
        <v>0.018942</v>
      </c>
      <c r="D271" s="95">
        <v>0.277431</v>
      </c>
      <c r="E271" s="95">
        <v>0.062503</v>
      </c>
      <c r="F271" s="95">
        <v>0</v>
      </c>
      <c r="G271" s="95">
        <v>0.119323</v>
      </c>
      <c r="H271" s="95">
        <v>0.411816</v>
      </c>
      <c r="I271" s="95">
        <v>0.055566</v>
      </c>
      <c r="J271" s="95">
        <v>0.02447</v>
      </c>
      <c r="K271" s="95">
        <v>0.003267</v>
      </c>
      <c r="L271" s="95">
        <v>0</v>
      </c>
      <c r="M271" s="95">
        <v>0.02668</v>
      </c>
    </row>
    <row r="272" spans="1:13" ht="12.75" hidden="1">
      <c r="A272" s="94" t="s">
        <v>166</v>
      </c>
      <c r="B272" s="97" t="s">
        <v>167</v>
      </c>
      <c r="C272" s="95">
        <v>0</v>
      </c>
      <c r="D272" s="95">
        <v>0</v>
      </c>
      <c r="E272" s="95">
        <v>0</v>
      </c>
      <c r="F272" s="95">
        <v>0</v>
      </c>
      <c r="G272" s="95">
        <v>0</v>
      </c>
      <c r="H272" s="95">
        <v>0</v>
      </c>
      <c r="I272" s="95">
        <v>0</v>
      </c>
      <c r="J272" s="95">
        <v>0</v>
      </c>
      <c r="K272" s="95">
        <v>0</v>
      </c>
      <c r="L272" s="95">
        <v>0</v>
      </c>
      <c r="M272" s="95">
        <v>0</v>
      </c>
    </row>
    <row r="273" spans="1:13" ht="12.75" hidden="1">
      <c r="A273" s="94" t="s">
        <v>166</v>
      </c>
      <c r="B273" s="94" t="s">
        <v>167</v>
      </c>
      <c r="C273" s="95">
        <v>0</v>
      </c>
      <c r="D273" s="95">
        <v>0</v>
      </c>
      <c r="E273" s="95">
        <v>0</v>
      </c>
      <c r="F273" s="95">
        <v>0</v>
      </c>
      <c r="G273" s="95">
        <v>0</v>
      </c>
      <c r="H273" s="95">
        <v>0</v>
      </c>
      <c r="I273" s="95">
        <v>0</v>
      </c>
      <c r="J273" s="95">
        <v>0</v>
      </c>
      <c r="K273" s="95">
        <v>0</v>
      </c>
      <c r="L273" s="95">
        <v>0</v>
      </c>
      <c r="M273" s="95">
        <v>0</v>
      </c>
    </row>
    <row r="274" spans="1:13" ht="12.75" hidden="1">
      <c r="A274" s="94" t="s">
        <v>166</v>
      </c>
      <c r="B274" s="94" t="s">
        <v>167</v>
      </c>
      <c r="C274" s="95">
        <v>0</v>
      </c>
      <c r="D274" s="95">
        <v>0</v>
      </c>
      <c r="E274" s="95">
        <v>0</v>
      </c>
      <c r="F274" s="95">
        <v>0</v>
      </c>
      <c r="G274" s="95">
        <v>0</v>
      </c>
      <c r="H274" s="95">
        <v>0</v>
      </c>
      <c r="I274" s="95">
        <v>0</v>
      </c>
      <c r="J274" s="95">
        <v>0</v>
      </c>
      <c r="K274" s="95">
        <v>0</v>
      </c>
      <c r="L274" s="95">
        <v>0</v>
      </c>
      <c r="M274" s="95">
        <v>0</v>
      </c>
    </row>
    <row r="275" spans="1:13" ht="12.75">
      <c r="A275" s="94" t="s">
        <v>191</v>
      </c>
      <c r="B275" s="94" t="s">
        <v>82</v>
      </c>
      <c r="C275" s="95">
        <v>0.028848412511275876</v>
      </c>
      <c r="D275" s="95">
        <v>0.2873043004084779</v>
      </c>
      <c r="E275" s="95">
        <v>0.08156661953556169</v>
      </c>
      <c r="F275" s="95">
        <v>0</v>
      </c>
      <c r="G275" s="95">
        <v>0.11631598704593324</v>
      </c>
      <c r="H275" s="95">
        <v>0.4025750883858194</v>
      </c>
      <c r="I275" s="95">
        <v>0.05421994317294205</v>
      </c>
      <c r="J275" s="95">
        <v>0.026558073787690036</v>
      </c>
      <c r="K275" s="95">
        <v>0.00261157515229977</v>
      </c>
      <c r="L275" s="95">
        <v>0</v>
      </c>
      <c r="M275" s="95">
        <v>0</v>
      </c>
    </row>
    <row r="276" spans="1:13" ht="12.75">
      <c r="A276" s="94" t="s">
        <v>192</v>
      </c>
      <c r="B276" s="94" t="s">
        <v>83</v>
      </c>
      <c r="C276" s="95">
        <v>0.02205943336276095</v>
      </c>
      <c r="D276" s="95">
        <v>0.257202024008097</v>
      </c>
      <c r="E276" s="95">
        <v>0.06559360318812373</v>
      </c>
      <c r="F276" s="95">
        <v>0</v>
      </c>
      <c r="G276" s="95">
        <v>0.11123563108938088</v>
      </c>
      <c r="H276" s="95">
        <v>0.37041273334826935</v>
      </c>
      <c r="I276" s="95">
        <v>0.049144690835234546</v>
      </c>
      <c r="J276" s="95">
        <v>0.02340205533837726</v>
      </c>
      <c r="K276" s="95">
        <v>0.0025461158328082168</v>
      </c>
      <c r="L276" s="95">
        <v>0.09840371299694813</v>
      </c>
      <c r="M276" s="95">
        <v>0</v>
      </c>
    </row>
    <row r="277" spans="1:13" ht="12.75">
      <c r="A277" s="94" t="s">
        <v>193</v>
      </c>
      <c r="B277" s="94" t="s">
        <v>84</v>
      </c>
      <c r="C277" s="95">
        <v>0.0179442059565711</v>
      </c>
      <c r="D277" s="95">
        <v>0.27163355907270204</v>
      </c>
      <c r="E277" s="95">
        <v>0.08030303388333351</v>
      </c>
      <c r="F277" s="95">
        <v>0</v>
      </c>
      <c r="G277" s="95">
        <v>0.12869955675312938</v>
      </c>
      <c r="H277" s="95">
        <v>0.41289402626964505</v>
      </c>
      <c r="I277" s="95">
        <v>0.057398372366152056</v>
      </c>
      <c r="J277" s="95">
        <v>0.031127245698466754</v>
      </c>
      <c r="K277" s="341"/>
      <c r="L277" s="341"/>
      <c r="M277" s="341"/>
    </row>
    <row r="278" spans="1:13" ht="12.75">
      <c r="A278" s="100"/>
      <c r="B278" s="100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</row>
    <row r="279" spans="1:13" ht="12.75">
      <c r="A279" s="100"/>
      <c r="B279" s="100"/>
      <c r="C279" s="101"/>
      <c r="D279" s="101"/>
      <c r="E279" s="101"/>
      <c r="F279" s="102"/>
      <c r="G279" s="101"/>
      <c r="H279" s="101"/>
      <c r="I279" s="101"/>
      <c r="J279" s="101"/>
      <c r="K279" s="101"/>
      <c r="L279" s="101"/>
      <c r="M279" s="101"/>
    </row>
    <row r="280" spans="1:13" ht="12.75">
      <c r="A280" s="100"/>
      <c r="B280" s="100"/>
      <c r="C280" s="101"/>
      <c r="D280" s="101"/>
      <c r="E280" s="101"/>
      <c r="F280" s="102" t="s">
        <v>334</v>
      </c>
      <c r="G280" s="101"/>
      <c r="H280" s="101"/>
      <c r="I280" s="101"/>
      <c r="J280" s="101"/>
      <c r="K280" s="101"/>
      <c r="L280" s="101"/>
      <c r="M280" s="101"/>
    </row>
    <row r="281" spans="1:13" ht="12.75">
      <c r="A281" s="100"/>
      <c r="B281" s="100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</row>
    <row r="282" spans="1:13" ht="12.75">
      <c r="A282" s="88" t="s">
        <v>518</v>
      </c>
      <c r="B282" s="88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</row>
    <row r="283" spans="1:13" ht="12.75">
      <c r="A283" s="92" t="s">
        <v>100</v>
      </c>
      <c r="B283" s="92" t="s">
        <v>101</v>
      </c>
      <c r="C283" s="93">
        <f>+C192-C101</f>
        <v>0</v>
      </c>
      <c r="D283" s="93">
        <f aca="true" t="shared" si="0" ref="D283:L283">+D192-D101</f>
        <v>0</v>
      </c>
      <c r="E283" s="93">
        <f t="shared" si="0"/>
        <v>0</v>
      </c>
      <c r="F283" s="93">
        <f t="shared" si="0"/>
        <v>0</v>
      </c>
      <c r="G283" s="93">
        <f t="shared" si="0"/>
        <v>0</v>
      </c>
      <c r="H283" s="93">
        <f t="shared" si="0"/>
        <v>0</v>
      </c>
      <c r="I283" s="93">
        <f t="shared" si="0"/>
        <v>0</v>
      </c>
      <c r="J283" s="93">
        <f t="shared" si="0"/>
        <v>0</v>
      </c>
      <c r="K283" s="93">
        <f t="shared" si="0"/>
        <v>0</v>
      </c>
      <c r="L283" s="93">
        <f t="shared" si="0"/>
        <v>0</v>
      </c>
      <c r="M283" s="93">
        <f>+M192-M101</f>
        <v>0</v>
      </c>
    </row>
    <row r="284" spans="1:13" ht="12.75">
      <c r="A284" s="94" t="s">
        <v>102</v>
      </c>
      <c r="B284" s="94" t="s">
        <v>4</v>
      </c>
      <c r="C284" s="95">
        <f>+C193-C102</f>
        <v>0</v>
      </c>
      <c r="D284" s="95">
        <f aca="true" t="shared" si="1" ref="D284:M284">+D193-D102</f>
        <v>0</v>
      </c>
      <c r="E284" s="95">
        <f t="shared" si="1"/>
        <v>0</v>
      </c>
      <c r="F284" s="95">
        <f t="shared" si="1"/>
        <v>0</v>
      </c>
      <c r="G284" s="95">
        <f t="shared" si="1"/>
        <v>0</v>
      </c>
      <c r="H284" s="95">
        <f t="shared" si="1"/>
        <v>0</v>
      </c>
      <c r="I284" s="95">
        <f>+I193-I102</f>
        <v>0</v>
      </c>
      <c r="J284" s="95">
        <f t="shared" si="1"/>
        <v>0</v>
      </c>
      <c r="K284" s="95">
        <f t="shared" si="1"/>
        <v>0</v>
      </c>
      <c r="L284" s="95">
        <f t="shared" si="1"/>
        <v>0</v>
      </c>
      <c r="M284" s="95">
        <f t="shared" si="1"/>
        <v>0</v>
      </c>
    </row>
    <row r="285" spans="1:13" ht="12.75">
      <c r="A285" s="94" t="s">
        <v>103</v>
      </c>
      <c r="B285" s="94" t="s">
        <v>22</v>
      </c>
      <c r="C285" s="95">
        <f aca="true" t="shared" si="2" ref="C285:M285">+C194-C103</f>
        <v>0</v>
      </c>
      <c r="D285" s="95">
        <f t="shared" si="2"/>
        <v>0</v>
      </c>
      <c r="E285" s="95">
        <f t="shared" si="2"/>
        <v>0</v>
      </c>
      <c r="F285" s="95">
        <f t="shared" si="2"/>
        <v>0</v>
      </c>
      <c r="G285" s="95">
        <f t="shared" si="2"/>
        <v>0</v>
      </c>
      <c r="H285" s="95">
        <f t="shared" si="2"/>
        <v>0</v>
      </c>
      <c r="I285" s="95">
        <f t="shared" si="2"/>
        <v>0</v>
      </c>
      <c r="J285" s="95">
        <f t="shared" si="2"/>
        <v>0</v>
      </c>
      <c r="K285" s="95">
        <f t="shared" si="2"/>
        <v>0</v>
      </c>
      <c r="L285" s="95">
        <f t="shared" si="2"/>
        <v>0</v>
      </c>
      <c r="M285" s="95">
        <f t="shared" si="2"/>
        <v>0</v>
      </c>
    </row>
    <row r="286" spans="1:13" ht="12.75">
      <c r="A286" s="94" t="s">
        <v>104</v>
      </c>
      <c r="B286" s="94" t="s">
        <v>23</v>
      </c>
      <c r="C286" s="95">
        <f aca="true" t="shared" si="3" ref="C286:M286">+C195-C104</f>
        <v>0</v>
      </c>
      <c r="D286" s="95">
        <f t="shared" si="3"/>
        <v>0</v>
      </c>
      <c r="E286" s="95">
        <f t="shared" si="3"/>
        <v>0</v>
      </c>
      <c r="F286" s="95">
        <f t="shared" si="3"/>
        <v>0</v>
      </c>
      <c r="G286" s="95">
        <f t="shared" si="3"/>
        <v>0</v>
      </c>
      <c r="H286" s="95">
        <f t="shared" si="3"/>
        <v>0</v>
      </c>
      <c r="I286" s="95">
        <f t="shared" si="3"/>
        <v>0</v>
      </c>
      <c r="J286" s="95">
        <f t="shared" si="3"/>
        <v>0</v>
      </c>
      <c r="K286" s="95">
        <f t="shared" si="3"/>
        <v>0</v>
      </c>
      <c r="L286" s="95">
        <f t="shared" si="3"/>
        <v>0</v>
      </c>
      <c r="M286" s="95">
        <f t="shared" si="3"/>
        <v>0</v>
      </c>
    </row>
    <row r="287" spans="1:13" ht="12.75">
      <c r="A287" s="94" t="s">
        <v>105</v>
      </c>
      <c r="B287" s="94" t="s">
        <v>8</v>
      </c>
      <c r="C287" s="95">
        <f aca="true" t="shared" si="4" ref="C287:M287">+C196-C105</f>
        <v>0</v>
      </c>
      <c r="D287" s="95">
        <f t="shared" si="4"/>
        <v>0</v>
      </c>
      <c r="E287" s="95">
        <f t="shared" si="4"/>
        <v>0</v>
      </c>
      <c r="F287" s="95">
        <f t="shared" si="4"/>
        <v>0</v>
      </c>
      <c r="G287" s="95">
        <f t="shared" si="4"/>
        <v>0</v>
      </c>
      <c r="H287" s="95">
        <f t="shared" si="4"/>
        <v>0</v>
      </c>
      <c r="I287" s="95">
        <f t="shared" si="4"/>
        <v>0</v>
      </c>
      <c r="J287" s="95">
        <f t="shared" si="4"/>
        <v>0</v>
      </c>
      <c r="K287" s="95">
        <f t="shared" si="4"/>
        <v>0</v>
      </c>
      <c r="L287" s="95">
        <f t="shared" si="4"/>
        <v>0</v>
      </c>
      <c r="M287" s="95">
        <f t="shared" si="4"/>
        <v>0</v>
      </c>
    </row>
    <row r="288" spans="1:13" ht="12.75">
      <c r="A288" s="94" t="s">
        <v>106</v>
      </c>
      <c r="B288" s="94" t="s">
        <v>9</v>
      </c>
      <c r="C288" s="95">
        <f aca="true" t="shared" si="5" ref="C288:M288">+C197-C106</f>
        <v>0</v>
      </c>
      <c r="D288" s="95">
        <f t="shared" si="5"/>
        <v>0</v>
      </c>
      <c r="E288" s="95">
        <f t="shared" si="5"/>
        <v>0</v>
      </c>
      <c r="F288" s="95">
        <f t="shared" si="5"/>
        <v>0</v>
      </c>
      <c r="G288" s="95">
        <f t="shared" si="5"/>
        <v>0</v>
      </c>
      <c r="H288" s="95">
        <f t="shared" si="5"/>
        <v>0</v>
      </c>
      <c r="I288" s="95">
        <f t="shared" si="5"/>
        <v>0</v>
      </c>
      <c r="J288" s="95">
        <f t="shared" si="5"/>
        <v>0</v>
      </c>
      <c r="K288" s="95">
        <f t="shared" si="5"/>
        <v>0</v>
      </c>
      <c r="L288" s="95">
        <f t="shared" si="5"/>
        <v>0</v>
      </c>
      <c r="M288" s="95">
        <f t="shared" si="5"/>
        <v>0</v>
      </c>
    </row>
    <row r="289" spans="1:13" ht="12.75">
      <c r="A289" s="94" t="s">
        <v>107</v>
      </c>
      <c r="B289" s="94" t="s">
        <v>29</v>
      </c>
      <c r="C289" s="95">
        <f aca="true" t="shared" si="6" ref="C289:M289">+C198-C107</f>
        <v>0</v>
      </c>
      <c r="D289" s="95">
        <f t="shared" si="6"/>
        <v>0</v>
      </c>
      <c r="E289" s="95">
        <f t="shared" si="6"/>
        <v>0</v>
      </c>
      <c r="F289" s="95">
        <f t="shared" si="6"/>
        <v>0</v>
      </c>
      <c r="G289" s="95">
        <f t="shared" si="6"/>
        <v>0</v>
      </c>
      <c r="H289" s="95">
        <f t="shared" si="6"/>
        <v>0</v>
      </c>
      <c r="I289" s="95">
        <f t="shared" si="6"/>
        <v>0</v>
      </c>
      <c r="J289" s="95">
        <f t="shared" si="6"/>
        <v>0</v>
      </c>
      <c r="K289" s="95">
        <f t="shared" si="6"/>
        <v>0</v>
      </c>
      <c r="L289" s="95">
        <f t="shared" si="6"/>
        <v>0</v>
      </c>
      <c r="M289" s="95">
        <f t="shared" si="6"/>
        <v>0</v>
      </c>
    </row>
    <row r="290" spans="1:13" ht="12.75">
      <c r="A290" s="94" t="s">
        <v>108</v>
      </c>
      <c r="B290" s="94" t="s">
        <v>27</v>
      </c>
      <c r="C290" s="95">
        <f aca="true" t="shared" si="7" ref="C290:M290">+C199-C108</f>
        <v>0</v>
      </c>
      <c r="D290" s="95">
        <f t="shared" si="7"/>
        <v>0</v>
      </c>
      <c r="E290" s="95">
        <f t="shared" si="7"/>
        <v>0</v>
      </c>
      <c r="F290" s="95">
        <f t="shared" si="7"/>
        <v>0</v>
      </c>
      <c r="G290" s="95">
        <f t="shared" si="7"/>
        <v>0</v>
      </c>
      <c r="H290" s="95">
        <f t="shared" si="7"/>
        <v>0</v>
      </c>
      <c r="I290" s="95">
        <f t="shared" si="7"/>
        <v>0</v>
      </c>
      <c r="J290" s="95">
        <f t="shared" si="7"/>
        <v>0</v>
      </c>
      <c r="K290" s="95">
        <f t="shared" si="7"/>
        <v>0</v>
      </c>
      <c r="L290" s="95">
        <f t="shared" si="7"/>
        <v>0</v>
      </c>
      <c r="M290" s="95">
        <f t="shared" si="7"/>
        <v>0</v>
      </c>
    </row>
    <row r="291" spans="1:13" ht="12.75" hidden="1">
      <c r="A291" s="94" t="s">
        <v>109</v>
      </c>
      <c r="B291" s="94" t="s">
        <v>30</v>
      </c>
      <c r="C291" s="95">
        <f>+C200-C109</f>
        <v>0</v>
      </c>
      <c r="D291" s="95">
        <f aca="true" t="shared" si="8" ref="D291:M291">+D200-D109</f>
        <v>0</v>
      </c>
      <c r="E291" s="95">
        <f t="shared" si="8"/>
        <v>0</v>
      </c>
      <c r="F291" s="95">
        <f t="shared" si="8"/>
        <v>0</v>
      </c>
      <c r="G291" s="95">
        <f t="shared" si="8"/>
        <v>0</v>
      </c>
      <c r="H291" s="95">
        <f t="shared" si="8"/>
        <v>0</v>
      </c>
      <c r="I291" s="95">
        <f t="shared" si="8"/>
        <v>0</v>
      </c>
      <c r="J291" s="95">
        <f t="shared" si="8"/>
        <v>0</v>
      </c>
      <c r="K291" s="95">
        <f t="shared" si="8"/>
        <v>0</v>
      </c>
      <c r="L291" s="95">
        <f t="shared" si="8"/>
        <v>0</v>
      </c>
      <c r="M291" s="95">
        <f t="shared" si="8"/>
        <v>0</v>
      </c>
    </row>
    <row r="292" spans="1:13" ht="12.75" hidden="1">
      <c r="A292" s="94" t="s">
        <v>110</v>
      </c>
      <c r="B292" s="94" t="s">
        <v>31</v>
      </c>
      <c r="C292" s="95">
        <f aca="true" t="shared" si="9" ref="C292:M292">+C201-C110</f>
        <v>0</v>
      </c>
      <c r="D292" s="95">
        <f t="shared" si="9"/>
        <v>0</v>
      </c>
      <c r="E292" s="95">
        <f t="shared" si="9"/>
        <v>0</v>
      </c>
      <c r="F292" s="95">
        <f t="shared" si="9"/>
        <v>0</v>
      </c>
      <c r="G292" s="95">
        <f t="shared" si="9"/>
        <v>0</v>
      </c>
      <c r="H292" s="95">
        <f t="shared" si="9"/>
        <v>0</v>
      </c>
      <c r="I292" s="95">
        <f t="shared" si="9"/>
        <v>0</v>
      </c>
      <c r="J292" s="95">
        <f>+J201-J110</f>
        <v>0</v>
      </c>
      <c r="K292" s="95">
        <f t="shared" si="9"/>
        <v>0</v>
      </c>
      <c r="L292" s="95">
        <f t="shared" si="9"/>
        <v>0</v>
      </c>
      <c r="M292" s="95">
        <f t="shared" si="9"/>
        <v>0</v>
      </c>
    </row>
    <row r="293" spans="1:13" ht="12.75">
      <c r="A293" s="94" t="s">
        <v>111</v>
      </c>
      <c r="B293" s="94" t="s">
        <v>32</v>
      </c>
      <c r="C293" s="95">
        <f aca="true" t="shared" si="10" ref="C293:M293">+C202-C111</f>
        <v>0</v>
      </c>
      <c r="D293" s="95">
        <f t="shared" si="10"/>
        <v>0</v>
      </c>
      <c r="E293" s="95">
        <f t="shared" si="10"/>
        <v>0</v>
      </c>
      <c r="F293" s="95">
        <f t="shared" si="10"/>
        <v>0</v>
      </c>
      <c r="G293" s="95">
        <f t="shared" si="10"/>
        <v>0</v>
      </c>
      <c r="H293" s="95">
        <f t="shared" si="10"/>
        <v>0</v>
      </c>
      <c r="I293" s="95">
        <f t="shared" si="10"/>
        <v>0</v>
      </c>
      <c r="J293" s="95">
        <f t="shared" si="10"/>
        <v>0</v>
      </c>
      <c r="K293" s="95">
        <f t="shared" si="10"/>
        <v>0</v>
      </c>
      <c r="L293" s="95">
        <f t="shared" si="10"/>
        <v>0</v>
      </c>
      <c r="M293" s="95">
        <f t="shared" si="10"/>
        <v>0</v>
      </c>
    </row>
    <row r="294" spans="1:13" ht="12.75">
      <c r="A294" s="94" t="s">
        <v>112</v>
      </c>
      <c r="B294" s="94" t="s">
        <v>33</v>
      </c>
      <c r="C294" s="95">
        <f aca="true" t="shared" si="11" ref="C294:M294">+C203-C112</f>
        <v>0</v>
      </c>
      <c r="D294" s="95">
        <f t="shared" si="11"/>
        <v>0</v>
      </c>
      <c r="E294" s="95">
        <f t="shared" si="11"/>
        <v>0</v>
      </c>
      <c r="F294" s="95">
        <f t="shared" si="11"/>
        <v>0</v>
      </c>
      <c r="G294" s="95">
        <f t="shared" si="11"/>
        <v>0</v>
      </c>
      <c r="H294" s="95">
        <f t="shared" si="11"/>
        <v>0</v>
      </c>
      <c r="I294" s="95">
        <f t="shared" si="11"/>
        <v>0</v>
      </c>
      <c r="J294" s="95">
        <f t="shared" si="11"/>
        <v>0</v>
      </c>
      <c r="K294" s="95">
        <f t="shared" si="11"/>
        <v>0</v>
      </c>
      <c r="L294" s="95">
        <f t="shared" si="11"/>
        <v>0</v>
      </c>
      <c r="M294" s="95">
        <f t="shared" si="11"/>
        <v>0</v>
      </c>
    </row>
    <row r="295" spans="1:13" ht="12.75">
      <c r="A295" s="94" t="s">
        <v>113</v>
      </c>
      <c r="B295" s="94" t="s">
        <v>25</v>
      </c>
      <c r="C295" s="95">
        <f aca="true" t="shared" si="12" ref="C295:M295">+C204-C113</f>
        <v>-0.00025643728491629367</v>
      </c>
      <c r="D295" s="95">
        <f t="shared" si="12"/>
        <v>-0.0004808348564039333</v>
      </c>
      <c r="E295" s="95">
        <f t="shared" si="12"/>
        <v>7.337564061188351E-05</v>
      </c>
      <c r="F295" s="95">
        <f t="shared" si="12"/>
        <v>0</v>
      </c>
      <c r="G295" s="95">
        <f t="shared" si="12"/>
        <v>0.0004872938131369603</v>
      </c>
      <c r="H295" s="95">
        <f t="shared" si="12"/>
        <v>-0.00011725661683570365</v>
      </c>
      <c r="I295" s="95">
        <f t="shared" si="12"/>
        <v>6.112764294542716E-05</v>
      </c>
      <c r="J295" s="95">
        <f t="shared" si="12"/>
        <v>0.00018596530251318438</v>
      </c>
      <c r="K295" s="95">
        <f t="shared" si="12"/>
        <v>4.6766358948393746E-05</v>
      </c>
      <c r="L295" s="95">
        <f t="shared" si="12"/>
        <v>0</v>
      </c>
      <c r="M295" s="95">
        <f t="shared" si="12"/>
        <v>0</v>
      </c>
    </row>
    <row r="296" spans="1:13" ht="12.75" hidden="1">
      <c r="A296" s="94" t="s">
        <v>114</v>
      </c>
      <c r="B296" s="94" t="s">
        <v>34</v>
      </c>
      <c r="C296" s="95">
        <f aca="true" t="shared" si="13" ref="C296:M296">+C205-C114</f>
        <v>-0.00025643728491629367</v>
      </c>
      <c r="D296" s="95">
        <f t="shared" si="13"/>
        <v>-0.0004808348564039333</v>
      </c>
      <c r="E296" s="95">
        <f t="shared" si="13"/>
        <v>7.337564061188351E-05</v>
      </c>
      <c r="F296" s="95">
        <f t="shared" si="13"/>
        <v>0</v>
      </c>
      <c r="G296" s="95">
        <f t="shared" si="13"/>
        <v>0.0004872938131369603</v>
      </c>
      <c r="H296" s="95">
        <f t="shared" si="13"/>
        <v>-0.00011725661683570365</v>
      </c>
      <c r="I296" s="95">
        <f t="shared" si="13"/>
        <v>6.112764294542716E-05</v>
      </c>
      <c r="J296" s="95">
        <f t="shared" si="13"/>
        <v>0.00018596530251318438</v>
      </c>
      <c r="K296" s="95">
        <f t="shared" si="13"/>
        <v>4.6766358948393746E-05</v>
      </c>
      <c r="L296" s="95">
        <f t="shared" si="13"/>
        <v>0</v>
      </c>
      <c r="M296" s="95">
        <f t="shared" si="13"/>
        <v>0</v>
      </c>
    </row>
    <row r="297" spans="1:13" ht="12.75" hidden="1">
      <c r="A297" s="94" t="s">
        <v>115</v>
      </c>
      <c r="B297" s="94" t="s">
        <v>35</v>
      </c>
      <c r="C297" s="95">
        <f aca="true" t="shared" si="14" ref="C297:M297">+C206-C115</f>
        <v>-0.00025643728491629367</v>
      </c>
      <c r="D297" s="95">
        <f t="shared" si="14"/>
        <v>-0.0004808348564039333</v>
      </c>
      <c r="E297" s="95">
        <f t="shared" si="14"/>
        <v>7.337564061188351E-05</v>
      </c>
      <c r="F297" s="95">
        <f t="shared" si="14"/>
        <v>0</v>
      </c>
      <c r="G297" s="95">
        <f t="shared" si="14"/>
        <v>0.0004872938131369603</v>
      </c>
      <c r="H297" s="95">
        <f t="shared" si="14"/>
        <v>-0.00011725661683570365</v>
      </c>
      <c r="I297" s="95">
        <f t="shared" si="14"/>
        <v>6.112764294542716E-05</v>
      </c>
      <c r="J297" s="95">
        <f t="shared" si="14"/>
        <v>0.00018596530251318438</v>
      </c>
      <c r="K297" s="95">
        <f t="shared" si="14"/>
        <v>4.6766358948393746E-05</v>
      </c>
      <c r="L297" s="95">
        <f t="shared" si="14"/>
        <v>0</v>
      </c>
      <c r="M297" s="95">
        <f t="shared" si="14"/>
        <v>0</v>
      </c>
    </row>
    <row r="298" spans="1:13" ht="12.75" hidden="1">
      <c r="A298" s="94" t="s">
        <v>116</v>
      </c>
      <c r="B298" s="94" t="s">
        <v>36</v>
      </c>
      <c r="C298" s="95">
        <f aca="true" t="shared" si="15" ref="C298:M298">+C207-C116</f>
        <v>0</v>
      </c>
      <c r="D298" s="95">
        <f t="shared" si="15"/>
        <v>0</v>
      </c>
      <c r="E298" s="95">
        <f t="shared" si="15"/>
        <v>0</v>
      </c>
      <c r="F298" s="95">
        <f t="shared" si="15"/>
        <v>0</v>
      </c>
      <c r="G298" s="95">
        <f t="shared" si="15"/>
        <v>0</v>
      </c>
      <c r="H298" s="95">
        <f t="shared" si="15"/>
        <v>0</v>
      </c>
      <c r="I298" s="95">
        <f t="shared" si="15"/>
        <v>0</v>
      </c>
      <c r="J298" s="95">
        <f t="shared" si="15"/>
        <v>0</v>
      </c>
      <c r="K298" s="95">
        <f t="shared" si="15"/>
        <v>0</v>
      </c>
      <c r="L298" s="95">
        <f t="shared" si="15"/>
        <v>0</v>
      </c>
      <c r="M298" s="95">
        <f t="shared" si="15"/>
        <v>0</v>
      </c>
    </row>
    <row r="299" spans="1:13" ht="12.75" hidden="1">
      <c r="A299" s="94" t="s">
        <v>219</v>
      </c>
      <c r="B299" s="94" t="s">
        <v>37</v>
      </c>
      <c r="C299" s="95">
        <f aca="true" t="shared" si="16" ref="C299:M299">+C208-C117</f>
        <v>0</v>
      </c>
      <c r="D299" s="95">
        <f t="shared" si="16"/>
        <v>0</v>
      </c>
      <c r="E299" s="95">
        <f t="shared" si="16"/>
        <v>0</v>
      </c>
      <c r="F299" s="95">
        <f t="shared" si="16"/>
        <v>0</v>
      </c>
      <c r="G299" s="95">
        <f t="shared" si="16"/>
        <v>0</v>
      </c>
      <c r="H299" s="95">
        <f t="shared" si="16"/>
        <v>0</v>
      </c>
      <c r="I299" s="95">
        <f t="shared" si="16"/>
        <v>0</v>
      </c>
      <c r="J299" s="95">
        <f t="shared" si="16"/>
        <v>0</v>
      </c>
      <c r="K299" s="95">
        <f t="shared" si="16"/>
        <v>0</v>
      </c>
      <c r="L299" s="95">
        <f t="shared" si="16"/>
        <v>0</v>
      </c>
      <c r="M299" s="95">
        <f t="shared" si="16"/>
        <v>0</v>
      </c>
    </row>
    <row r="300" spans="1:13" ht="12.75">
      <c r="A300" s="94" t="s">
        <v>117</v>
      </c>
      <c r="B300" s="94" t="s">
        <v>38</v>
      </c>
      <c r="C300" s="95">
        <f aca="true" t="shared" si="17" ref="C300:M300">+C209-C118</f>
        <v>-0.00025643728491629714</v>
      </c>
      <c r="D300" s="95">
        <f t="shared" si="17"/>
        <v>-0.0004808348564039333</v>
      </c>
      <c r="E300" s="95">
        <f t="shared" si="17"/>
        <v>7.337564061189739E-05</v>
      </c>
      <c r="F300" s="95">
        <f t="shared" si="17"/>
        <v>0</v>
      </c>
      <c r="G300" s="95">
        <f t="shared" si="17"/>
        <v>0.00048729381313698805</v>
      </c>
      <c r="H300" s="95">
        <f t="shared" si="17"/>
        <v>-0.00011725661683553712</v>
      </c>
      <c r="I300" s="95">
        <f t="shared" si="17"/>
        <v>6.112764294544104E-05</v>
      </c>
      <c r="J300" s="95">
        <f t="shared" si="17"/>
        <v>0.00018596530251318785</v>
      </c>
      <c r="K300" s="95">
        <f t="shared" si="17"/>
        <v>4.676635894839418E-05</v>
      </c>
      <c r="L300" s="95">
        <f t="shared" si="17"/>
        <v>0</v>
      </c>
      <c r="M300" s="95">
        <f t="shared" si="17"/>
        <v>0</v>
      </c>
    </row>
    <row r="301" spans="1:13" ht="12.75" hidden="1">
      <c r="A301" s="94" t="s">
        <v>118</v>
      </c>
      <c r="B301" s="94" t="s">
        <v>39</v>
      </c>
      <c r="C301" s="95">
        <f aca="true" t="shared" si="18" ref="C301:M301">+C210-C119</f>
        <v>0</v>
      </c>
      <c r="D301" s="95">
        <f t="shared" si="18"/>
        <v>0</v>
      </c>
      <c r="E301" s="95">
        <f t="shared" si="18"/>
        <v>0</v>
      </c>
      <c r="F301" s="95">
        <f t="shared" si="18"/>
        <v>0</v>
      </c>
      <c r="G301" s="95">
        <f t="shared" si="18"/>
        <v>0</v>
      </c>
      <c r="H301" s="95">
        <f t="shared" si="18"/>
        <v>0</v>
      </c>
      <c r="I301" s="95">
        <f t="shared" si="18"/>
        <v>0</v>
      </c>
      <c r="J301" s="95">
        <f t="shared" si="18"/>
        <v>0</v>
      </c>
      <c r="K301" s="95">
        <f t="shared" si="18"/>
        <v>0</v>
      </c>
      <c r="L301" s="95">
        <f t="shared" si="18"/>
        <v>0</v>
      </c>
      <c r="M301" s="95">
        <f t="shared" si="18"/>
        <v>0</v>
      </c>
    </row>
    <row r="302" spans="1:13" ht="12.75" hidden="1">
      <c r="A302" s="94" t="s">
        <v>119</v>
      </c>
      <c r="B302" s="94" t="s">
        <v>40</v>
      </c>
      <c r="C302" s="95">
        <f aca="true" t="shared" si="19" ref="C302:M302">+C211-C120</f>
        <v>0</v>
      </c>
      <c r="D302" s="95">
        <f t="shared" si="19"/>
        <v>0</v>
      </c>
      <c r="E302" s="95">
        <f t="shared" si="19"/>
        <v>0</v>
      </c>
      <c r="F302" s="95">
        <f t="shared" si="19"/>
        <v>0</v>
      </c>
      <c r="G302" s="95">
        <f t="shared" si="19"/>
        <v>0</v>
      </c>
      <c r="H302" s="95">
        <f t="shared" si="19"/>
        <v>0</v>
      </c>
      <c r="I302" s="95">
        <f t="shared" si="19"/>
        <v>0</v>
      </c>
      <c r="J302" s="95">
        <f t="shared" si="19"/>
        <v>0</v>
      </c>
      <c r="K302" s="95">
        <f t="shared" si="19"/>
        <v>0</v>
      </c>
      <c r="L302" s="95">
        <f t="shared" si="19"/>
        <v>0</v>
      </c>
      <c r="M302" s="95">
        <f t="shared" si="19"/>
        <v>0</v>
      </c>
    </row>
    <row r="303" spans="1:13" ht="12.75">
      <c r="A303" s="94" t="s">
        <v>120</v>
      </c>
      <c r="B303" s="94" t="s">
        <v>41</v>
      </c>
      <c r="C303" s="95">
        <f aca="true" t="shared" si="20" ref="C303:M303">+C212-C121</f>
        <v>-0.00028507095536453933</v>
      </c>
      <c r="D303" s="95">
        <f t="shared" si="20"/>
        <v>-0.00023103545369557166</v>
      </c>
      <c r="E303" s="95">
        <f t="shared" si="20"/>
        <v>0.00022040909125717323</v>
      </c>
      <c r="F303" s="95">
        <f t="shared" si="20"/>
        <v>0</v>
      </c>
      <c r="G303" s="95">
        <f t="shared" si="20"/>
        <v>0.0007116133867389879</v>
      </c>
      <c r="H303" s="95">
        <f t="shared" si="20"/>
        <v>-0.0008824509088964927</v>
      </c>
      <c r="I303" s="95">
        <f t="shared" si="20"/>
        <v>0.00012222860265316549</v>
      </c>
      <c r="J303" s="95">
        <f t="shared" si="20"/>
        <v>0.0002801019409398829</v>
      </c>
      <c r="K303" s="95">
        <f t="shared" si="20"/>
        <v>6.420429636773634E-05</v>
      </c>
      <c r="L303" s="95">
        <f t="shared" si="20"/>
        <v>0</v>
      </c>
      <c r="M303" s="95">
        <f t="shared" si="20"/>
        <v>0</v>
      </c>
    </row>
    <row r="304" spans="1:13" ht="12.75">
      <c r="A304" s="94" t="s">
        <v>121</v>
      </c>
      <c r="B304" s="94" t="s">
        <v>122</v>
      </c>
      <c r="C304" s="95">
        <f aca="true" t="shared" si="21" ref="C304:M304">+C213-C122</f>
        <v>-9.687937003177716E-06</v>
      </c>
      <c r="D304" s="95">
        <f t="shared" si="21"/>
        <v>-2.534979403295834E-05</v>
      </c>
      <c r="E304" s="95">
        <f t="shared" si="21"/>
        <v>-2.8372455359887416E-05</v>
      </c>
      <c r="F304" s="95">
        <f t="shared" si="21"/>
        <v>0</v>
      </c>
      <c r="G304" s="95">
        <f t="shared" si="21"/>
        <v>2.977167830334193E-05</v>
      </c>
      <c r="H304" s="95">
        <f t="shared" si="21"/>
        <v>-1.1894997512640337E-05</v>
      </c>
      <c r="I304" s="95">
        <f t="shared" si="21"/>
        <v>3.420707769426906E-05</v>
      </c>
      <c r="J304" s="95">
        <f t="shared" si="21"/>
        <v>1.5268833651983088E-05</v>
      </c>
      <c r="K304" s="95">
        <f t="shared" si="21"/>
        <v>-3.942405741022212E-06</v>
      </c>
      <c r="L304" s="95">
        <f t="shared" si="21"/>
        <v>0</v>
      </c>
      <c r="M304" s="95">
        <f t="shared" si="21"/>
        <v>0</v>
      </c>
    </row>
    <row r="305" spans="1:13" ht="12.75">
      <c r="A305" s="94" t="s">
        <v>123</v>
      </c>
      <c r="B305" s="94" t="s">
        <v>124</v>
      </c>
      <c r="C305" s="95">
        <f aca="true" t="shared" si="22" ref="C305:M305">+C214-C123</f>
        <v>-3.1034528871522193E-06</v>
      </c>
      <c r="D305" s="95">
        <f t="shared" si="22"/>
        <v>6.069949498976879E-05</v>
      </c>
      <c r="E305" s="95">
        <f t="shared" si="22"/>
        <v>2.097202825449007E-05</v>
      </c>
      <c r="F305" s="95">
        <f t="shared" si="22"/>
        <v>0</v>
      </c>
      <c r="G305" s="95">
        <f t="shared" si="22"/>
        <v>8.945120275935525E-05</v>
      </c>
      <c r="H305" s="95">
        <f t="shared" si="22"/>
        <v>-7.514565108746041E-05</v>
      </c>
      <c r="I305" s="95">
        <f t="shared" si="22"/>
        <v>-0.00011230041108965805</v>
      </c>
      <c r="J305" s="95">
        <f t="shared" si="22"/>
        <v>2.468186784333054E-05</v>
      </c>
      <c r="K305" s="95">
        <f t="shared" si="22"/>
        <v>-5.25507878281449E-06</v>
      </c>
      <c r="L305" s="95">
        <f t="shared" si="22"/>
        <v>0</v>
      </c>
      <c r="M305" s="95">
        <f t="shared" si="22"/>
        <v>0</v>
      </c>
    </row>
    <row r="306" spans="1:13" ht="12.75">
      <c r="A306" s="94" t="s">
        <v>125</v>
      </c>
      <c r="B306" s="94" t="s">
        <v>126</v>
      </c>
      <c r="C306" s="95">
        <f aca="true" t="shared" si="23" ref="C306:M306">+C215-C124</f>
        <v>-7.359225593847607E-08</v>
      </c>
      <c r="D306" s="95">
        <f t="shared" si="23"/>
        <v>2.948828179727414E-05</v>
      </c>
      <c r="E306" s="95">
        <f t="shared" si="23"/>
        <v>3.785027475222691E-06</v>
      </c>
      <c r="F306" s="95">
        <f t="shared" si="23"/>
        <v>0</v>
      </c>
      <c r="G306" s="95">
        <f t="shared" si="23"/>
        <v>1.723433683820108E-06</v>
      </c>
      <c r="H306" s="95">
        <f t="shared" si="23"/>
        <v>-3.319624644199104E-05</v>
      </c>
      <c r="I306" s="95">
        <f t="shared" si="23"/>
        <v>-2.792614213625866E-06</v>
      </c>
      <c r="J306" s="95">
        <f t="shared" si="23"/>
        <v>1.6027855751811482E-06</v>
      </c>
      <c r="K306" s="95">
        <f t="shared" si="23"/>
        <v>-5.370756200615348E-07</v>
      </c>
      <c r="L306" s="95">
        <f t="shared" si="23"/>
        <v>0</v>
      </c>
      <c r="M306" s="95">
        <f t="shared" si="23"/>
        <v>0</v>
      </c>
    </row>
    <row r="307" spans="1:13" ht="12.75">
      <c r="A307" s="94" t="s">
        <v>127</v>
      </c>
      <c r="B307" s="94" t="s">
        <v>128</v>
      </c>
      <c r="C307" s="95">
        <f aca="true" t="shared" si="24" ref="C307:M307">+C216-C125</f>
        <v>-7.851892143036221E-07</v>
      </c>
      <c r="D307" s="95">
        <f t="shared" si="24"/>
        <v>9.64545410919726E-06</v>
      </c>
      <c r="E307" s="95">
        <f t="shared" si="24"/>
        <v>6.5376531262623105E-06</v>
      </c>
      <c r="F307" s="95">
        <f t="shared" si="24"/>
        <v>0</v>
      </c>
      <c r="G307" s="95">
        <f t="shared" si="24"/>
        <v>1.588060549811976E-06</v>
      </c>
      <c r="H307" s="95">
        <f t="shared" si="24"/>
        <v>-5.31321420471631E-06</v>
      </c>
      <c r="I307" s="95">
        <f t="shared" si="24"/>
        <v>-1.1566563802210827E-05</v>
      </c>
      <c r="J307" s="95">
        <f t="shared" si="24"/>
        <v>2.296049238237341E-07</v>
      </c>
      <c r="K307" s="95">
        <f t="shared" si="24"/>
        <v>-3.3580548759216955E-07</v>
      </c>
      <c r="L307" s="95">
        <f t="shared" si="24"/>
        <v>0</v>
      </c>
      <c r="M307" s="95">
        <f t="shared" si="24"/>
        <v>0</v>
      </c>
    </row>
    <row r="308" spans="1:13" ht="12.75">
      <c r="A308" s="94" t="s">
        <v>129</v>
      </c>
      <c r="B308" s="94" t="s">
        <v>21</v>
      </c>
      <c r="C308" s="95">
        <f aca="true" t="shared" si="25" ref="C308:M308">+C217-C126</f>
        <v>-2.5149149552802785E-07</v>
      </c>
      <c r="D308" s="95">
        <f t="shared" si="25"/>
        <v>2.452757487525492E-05</v>
      </c>
      <c r="E308" s="95">
        <f t="shared" si="25"/>
        <v>4.473183887979126E-06</v>
      </c>
      <c r="F308" s="95">
        <f t="shared" si="25"/>
        <v>0</v>
      </c>
      <c r="G308" s="95">
        <f t="shared" si="25"/>
        <v>1.6895904003111362E-06</v>
      </c>
      <c r="H308" s="95">
        <f t="shared" si="25"/>
        <v>-2.622548838271399E-05</v>
      </c>
      <c r="I308" s="95">
        <f t="shared" si="25"/>
        <v>-4.986101610773841E-06</v>
      </c>
      <c r="J308" s="95">
        <f t="shared" si="25"/>
        <v>1.2594904123391926E-06</v>
      </c>
      <c r="K308" s="95">
        <f t="shared" si="25"/>
        <v>-4.86758086944844E-07</v>
      </c>
      <c r="L308" s="95">
        <f t="shared" si="25"/>
        <v>0</v>
      </c>
      <c r="M308" s="95">
        <f t="shared" si="25"/>
        <v>0</v>
      </c>
    </row>
    <row r="309" spans="1:13" ht="12.75">
      <c r="A309" s="94" t="s">
        <v>130</v>
      </c>
      <c r="B309" s="94" t="s">
        <v>131</v>
      </c>
      <c r="C309" s="95">
        <f aca="true" t="shared" si="26" ref="C309:M309">+C218-C127</f>
        <v>0</v>
      </c>
      <c r="D309" s="95">
        <f t="shared" si="26"/>
        <v>0</v>
      </c>
      <c r="E309" s="95">
        <f t="shared" si="26"/>
        <v>0</v>
      </c>
      <c r="F309" s="95">
        <f t="shared" si="26"/>
        <v>0</v>
      </c>
      <c r="G309" s="95">
        <f t="shared" si="26"/>
        <v>0</v>
      </c>
      <c r="H309" s="95">
        <f t="shared" si="26"/>
        <v>0</v>
      </c>
      <c r="I309" s="95">
        <f t="shared" si="26"/>
        <v>0</v>
      </c>
      <c r="J309" s="95">
        <f t="shared" si="26"/>
        <v>0</v>
      </c>
      <c r="K309" s="95">
        <f t="shared" si="26"/>
        <v>0</v>
      </c>
      <c r="L309" s="95">
        <f t="shared" si="26"/>
        <v>0</v>
      </c>
      <c r="M309" s="95">
        <f t="shared" si="26"/>
        <v>0</v>
      </c>
    </row>
    <row r="310" spans="1:13" ht="12.75">
      <c r="A310" s="94" t="s">
        <v>132</v>
      </c>
      <c r="B310" s="94" t="s">
        <v>133</v>
      </c>
      <c r="C310" s="95">
        <f aca="true" t="shared" si="27" ref="C310:M310">+C219-C128</f>
        <v>0</v>
      </c>
      <c r="D310" s="95">
        <f t="shared" si="27"/>
        <v>0</v>
      </c>
      <c r="E310" s="95">
        <f t="shared" si="27"/>
        <v>0</v>
      </c>
      <c r="F310" s="95">
        <f t="shared" si="27"/>
        <v>0</v>
      </c>
      <c r="G310" s="95">
        <f t="shared" si="27"/>
        <v>0</v>
      </c>
      <c r="H310" s="95">
        <f t="shared" si="27"/>
        <v>0</v>
      </c>
      <c r="I310" s="95">
        <f t="shared" si="27"/>
        <v>0</v>
      </c>
      <c r="J310" s="95">
        <f t="shared" si="27"/>
        <v>0</v>
      </c>
      <c r="K310" s="95">
        <f t="shared" si="27"/>
        <v>0</v>
      </c>
      <c r="L310" s="95">
        <f t="shared" si="27"/>
        <v>0</v>
      </c>
      <c r="M310" s="95">
        <f t="shared" si="27"/>
        <v>0</v>
      </c>
    </row>
    <row r="311" spans="1:13" ht="12.75">
      <c r="A311" s="94" t="s">
        <v>134</v>
      </c>
      <c r="B311" s="94" t="s">
        <v>135</v>
      </c>
      <c r="C311" s="95">
        <f aca="true" t="shared" si="28" ref="C311:M311">+C220-C129</f>
        <v>0</v>
      </c>
      <c r="D311" s="95">
        <f t="shared" si="28"/>
        <v>0</v>
      </c>
      <c r="E311" s="95">
        <f t="shared" si="28"/>
        <v>0</v>
      </c>
      <c r="F311" s="95">
        <f t="shared" si="28"/>
        <v>0</v>
      </c>
      <c r="G311" s="95">
        <f t="shared" si="28"/>
        <v>0</v>
      </c>
      <c r="H311" s="95">
        <f t="shared" si="28"/>
        <v>0</v>
      </c>
      <c r="I311" s="95">
        <f t="shared" si="28"/>
        <v>0</v>
      </c>
      <c r="J311" s="95">
        <f t="shared" si="28"/>
        <v>0</v>
      </c>
      <c r="K311" s="95">
        <f t="shared" si="28"/>
        <v>0</v>
      </c>
      <c r="L311" s="95">
        <f t="shared" si="28"/>
        <v>0</v>
      </c>
      <c r="M311" s="95">
        <f t="shared" si="28"/>
        <v>0</v>
      </c>
    </row>
    <row r="312" spans="1:13" ht="12.75">
      <c r="A312" s="94" t="s">
        <v>136</v>
      </c>
      <c r="B312" s="94" t="s">
        <v>24</v>
      </c>
      <c r="C312" s="95">
        <f aca="true" t="shared" si="29" ref="C312:M312">+C221-C130</f>
        <v>-8.041815974170474E-06</v>
      </c>
      <c r="D312" s="95">
        <f t="shared" si="29"/>
        <v>-3.8374717772904354E-06</v>
      </c>
      <c r="E312" s="95">
        <f t="shared" si="29"/>
        <v>-1.6036334456293044E-05</v>
      </c>
      <c r="F312" s="95">
        <f t="shared" si="29"/>
        <v>0</v>
      </c>
      <c r="G312" s="95">
        <f t="shared" si="29"/>
        <v>4.469155941734526E-05</v>
      </c>
      <c r="H312" s="95">
        <f t="shared" si="29"/>
        <v>-2.770766090637311E-05</v>
      </c>
      <c r="I312" s="95">
        <f t="shared" si="29"/>
        <v>-2.419794501710981E-06</v>
      </c>
      <c r="J312" s="95">
        <f t="shared" si="29"/>
        <v>1.7622092199819084E-05</v>
      </c>
      <c r="K312" s="95">
        <f t="shared" si="29"/>
        <v>-4.2705740014702814E-06</v>
      </c>
      <c r="L312" s="95">
        <f t="shared" si="29"/>
        <v>0</v>
      </c>
      <c r="M312" s="95">
        <f t="shared" si="29"/>
        <v>0</v>
      </c>
    </row>
    <row r="313" spans="1:13" ht="12.75">
      <c r="A313" s="94" t="s">
        <v>137</v>
      </c>
      <c r="B313" s="94" t="s">
        <v>138</v>
      </c>
      <c r="C313" s="95">
        <f aca="true" t="shared" si="30" ref="C313:M313">+C222-C131</f>
        <v>0</v>
      </c>
      <c r="D313" s="95">
        <f t="shared" si="30"/>
        <v>0</v>
      </c>
      <c r="E313" s="95">
        <f t="shared" si="30"/>
        <v>0</v>
      </c>
      <c r="F313" s="95">
        <f t="shared" si="30"/>
        <v>0</v>
      </c>
      <c r="G313" s="95">
        <f t="shared" si="30"/>
        <v>0</v>
      </c>
      <c r="H313" s="95">
        <f t="shared" si="30"/>
        <v>0</v>
      </c>
      <c r="I313" s="95">
        <f t="shared" si="30"/>
        <v>0</v>
      </c>
      <c r="J313" s="95">
        <f t="shared" si="30"/>
        <v>0</v>
      </c>
      <c r="K313" s="95">
        <f t="shared" si="30"/>
        <v>0</v>
      </c>
      <c r="L313" s="95">
        <f t="shared" si="30"/>
        <v>0</v>
      </c>
      <c r="M313" s="95">
        <f t="shared" si="30"/>
        <v>0</v>
      </c>
    </row>
    <row r="314" spans="1:13" ht="12.75">
      <c r="A314" s="94" t="s">
        <v>139</v>
      </c>
      <c r="B314" s="94" t="s">
        <v>42</v>
      </c>
      <c r="C314" s="95">
        <f aca="true" t="shared" si="31" ref="C314:M314">+C223-C132</f>
        <v>0</v>
      </c>
      <c r="D314" s="95">
        <f t="shared" si="31"/>
        <v>0</v>
      </c>
      <c r="E314" s="95">
        <f t="shared" si="31"/>
        <v>0</v>
      </c>
      <c r="F314" s="95">
        <f t="shared" si="31"/>
        <v>0</v>
      </c>
      <c r="G314" s="95">
        <f t="shared" si="31"/>
        <v>0</v>
      </c>
      <c r="H314" s="95">
        <f t="shared" si="31"/>
        <v>0</v>
      </c>
      <c r="I314" s="95">
        <f t="shared" si="31"/>
        <v>0</v>
      </c>
      <c r="J314" s="95">
        <f t="shared" si="31"/>
        <v>0</v>
      </c>
      <c r="K314" s="95">
        <f t="shared" si="31"/>
        <v>0</v>
      </c>
      <c r="L314" s="95">
        <f t="shared" si="31"/>
        <v>0</v>
      </c>
      <c r="M314" s="95">
        <f t="shared" si="31"/>
        <v>0</v>
      </c>
    </row>
    <row r="315" spans="1:13" ht="12.75" hidden="1">
      <c r="A315" s="94" t="s">
        <v>140</v>
      </c>
      <c r="B315" s="94" t="s">
        <v>141</v>
      </c>
      <c r="C315" s="95">
        <f aca="true" t="shared" si="32" ref="C315:M315">+C224-C133</f>
        <v>0</v>
      </c>
      <c r="D315" s="95">
        <f t="shared" si="32"/>
        <v>0</v>
      </c>
      <c r="E315" s="95">
        <f t="shared" si="32"/>
        <v>0</v>
      </c>
      <c r="F315" s="95">
        <f t="shared" si="32"/>
        <v>0</v>
      </c>
      <c r="G315" s="95">
        <f t="shared" si="32"/>
        <v>0</v>
      </c>
      <c r="H315" s="95">
        <f t="shared" si="32"/>
        <v>0</v>
      </c>
      <c r="I315" s="95">
        <f t="shared" si="32"/>
        <v>0</v>
      </c>
      <c r="J315" s="95">
        <f t="shared" si="32"/>
        <v>0</v>
      </c>
      <c r="K315" s="95">
        <f t="shared" si="32"/>
        <v>0</v>
      </c>
      <c r="L315" s="95">
        <f t="shared" si="32"/>
        <v>0</v>
      </c>
      <c r="M315" s="95">
        <f t="shared" si="32"/>
        <v>0</v>
      </c>
    </row>
    <row r="316" spans="1:13" ht="12.75" hidden="1">
      <c r="A316" s="94" t="s">
        <v>142</v>
      </c>
      <c r="B316" s="94" t="s">
        <v>143</v>
      </c>
      <c r="C316" s="95">
        <f aca="true" t="shared" si="33" ref="C316:M316">+C225-C134</f>
        <v>0</v>
      </c>
      <c r="D316" s="95">
        <f t="shared" si="33"/>
        <v>0</v>
      </c>
      <c r="E316" s="95">
        <f t="shared" si="33"/>
        <v>0</v>
      </c>
      <c r="F316" s="95">
        <f t="shared" si="33"/>
        <v>0</v>
      </c>
      <c r="G316" s="95">
        <f t="shared" si="33"/>
        <v>0</v>
      </c>
      <c r="H316" s="95">
        <f t="shared" si="33"/>
        <v>0</v>
      </c>
      <c r="I316" s="95">
        <f t="shared" si="33"/>
        <v>0</v>
      </c>
      <c r="J316" s="95">
        <f t="shared" si="33"/>
        <v>0</v>
      </c>
      <c r="K316" s="95">
        <f t="shared" si="33"/>
        <v>0</v>
      </c>
      <c r="L316" s="95">
        <f t="shared" si="33"/>
        <v>0</v>
      </c>
      <c r="M316" s="95">
        <f t="shared" si="33"/>
        <v>0</v>
      </c>
    </row>
    <row r="317" spans="1:13" ht="12.75" hidden="1">
      <c r="A317" s="94" t="s">
        <v>144</v>
      </c>
      <c r="B317" s="94" t="s">
        <v>43</v>
      </c>
      <c r="C317" s="95">
        <f aca="true" t="shared" si="34" ref="C317:M317">+C226-C135</f>
        <v>0</v>
      </c>
      <c r="D317" s="95">
        <f t="shared" si="34"/>
        <v>0</v>
      </c>
      <c r="E317" s="95">
        <f t="shared" si="34"/>
        <v>0</v>
      </c>
      <c r="F317" s="95">
        <f t="shared" si="34"/>
        <v>0</v>
      </c>
      <c r="G317" s="95">
        <f t="shared" si="34"/>
        <v>0</v>
      </c>
      <c r="H317" s="95">
        <f t="shared" si="34"/>
        <v>0</v>
      </c>
      <c r="I317" s="95">
        <f t="shared" si="34"/>
        <v>0</v>
      </c>
      <c r="J317" s="95">
        <f t="shared" si="34"/>
        <v>0</v>
      </c>
      <c r="K317" s="95">
        <f t="shared" si="34"/>
        <v>0</v>
      </c>
      <c r="L317" s="95">
        <f t="shared" si="34"/>
        <v>0</v>
      </c>
      <c r="M317" s="95">
        <f t="shared" si="34"/>
        <v>0</v>
      </c>
    </row>
    <row r="318" spans="1:13" ht="12.75" hidden="1">
      <c r="A318" s="94" t="s">
        <v>145</v>
      </c>
      <c r="B318" s="94" t="s">
        <v>44</v>
      </c>
      <c r="C318" s="95">
        <f aca="true" t="shared" si="35" ref="C318:M318">+C227-C136</f>
        <v>0</v>
      </c>
      <c r="D318" s="95">
        <f t="shared" si="35"/>
        <v>0</v>
      </c>
      <c r="E318" s="95">
        <f t="shared" si="35"/>
        <v>0</v>
      </c>
      <c r="F318" s="95">
        <f t="shared" si="35"/>
        <v>0</v>
      </c>
      <c r="G318" s="95">
        <f t="shared" si="35"/>
        <v>0</v>
      </c>
      <c r="H318" s="95">
        <f t="shared" si="35"/>
        <v>0</v>
      </c>
      <c r="I318" s="95">
        <f t="shared" si="35"/>
        <v>0</v>
      </c>
      <c r="J318" s="95">
        <f t="shared" si="35"/>
        <v>0</v>
      </c>
      <c r="K318" s="95">
        <f t="shared" si="35"/>
        <v>0</v>
      </c>
      <c r="L318" s="95">
        <f t="shared" si="35"/>
        <v>0</v>
      </c>
      <c r="M318" s="95">
        <f t="shared" si="35"/>
        <v>0</v>
      </c>
    </row>
    <row r="319" spans="1:13" ht="12.75" hidden="1">
      <c r="A319" s="94" t="s">
        <v>146</v>
      </c>
      <c r="B319" s="94" t="s">
        <v>45</v>
      </c>
      <c r="C319" s="95">
        <f aca="true" t="shared" si="36" ref="C319:M319">+C228-C137</f>
        <v>0</v>
      </c>
      <c r="D319" s="95">
        <f t="shared" si="36"/>
        <v>0</v>
      </c>
      <c r="E319" s="95">
        <f t="shared" si="36"/>
        <v>0</v>
      </c>
      <c r="F319" s="95">
        <f t="shared" si="36"/>
        <v>0</v>
      </c>
      <c r="G319" s="95">
        <f t="shared" si="36"/>
        <v>0</v>
      </c>
      <c r="H319" s="95">
        <f t="shared" si="36"/>
        <v>0</v>
      </c>
      <c r="I319" s="95">
        <f t="shared" si="36"/>
        <v>0</v>
      </c>
      <c r="J319" s="95">
        <f t="shared" si="36"/>
        <v>0</v>
      </c>
      <c r="K319" s="95">
        <f t="shared" si="36"/>
        <v>0</v>
      </c>
      <c r="L319" s="95">
        <f t="shared" si="36"/>
        <v>0</v>
      </c>
      <c r="M319" s="95">
        <f t="shared" si="36"/>
        <v>0</v>
      </c>
    </row>
    <row r="320" spans="1:13" ht="12.75" hidden="1">
      <c r="A320" s="94" t="s">
        <v>147</v>
      </c>
      <c r="B320" s="94" t="s">
        <v>46</v>
      </c>
      <c r="C320" s="95">
        <f aca="true" t="shared" si="37" ref="C320:M320">+C229-C138</f>
        <v>0</v>
      </c>
      <c r="D320" s="95">
        <f t="shared" si="37"/>
        <v>0</v>
      </c>
      <c r="E320" s="95">
        <f t="shared" si="37"/>
        <v>0</v>
      </c>
      <c r="F320" s="95">
        <f t="shared" si="37"/>
        <v>0</v>
      </c>
      <c r="G320" s="95">
        <f t="shared" si="37"/>
        <v>0</v>
      </c>
      <c r="H320" s="95">
        <f t="shared" si="37"/>
        <v>0</v>
      </c>
      <c r="I320" s="95">
        <f t="shared" si="37"/>
        <v>0</v>
      </c>
      <c r="J320" s="95">
        <f t="shared" si="37"/>
        <v>0</v>
      </c>
      <c r="K320" s="95">
        <f t="shared" si="37"/>
        <v>0</v>
      </c>
      <c r="L320" s="95">
        <f t="shared" si="37"/>
        <v>0</v>
      </c>
      <c r="M320" s="95">
        <f t="shared" si="37"/>
        <v>0</v>
      </c>
    </row>
    <row r="321" spans="1:13" ht="12.75" hidden="1">
      <c r="A321" s="94" t="s">
        <v>148</v>
      </c>
      <c r="B321" s="94" t="s">
        <v>47</v>
      </c>
      <c r="C321" s="95">
        <f aca="true" t="shared" si="38" ref="C321:M321">+C230-C139</f>
        <v>0</v>
      </c>
      <c r="D321" s="95">
        <f t="shared" si="38"/>
        <v>0</v>
      </c>
      <c r="E321" s="95">
        <f t="shared" si="38"/>
        <v>0</v>
      </c>
      <c r="F321" s="95">
        <f t="shared" si="38"/>
        <v>0</v>
      </c>
      <c r="G321" s="95">
        <f t="shared" si="38"/>
        <v>0</v>
      </c>
      <c r="H321" s="95">
        <f t="shared" si="38"/>
        <v>0</v>
      </c>
      <c r="I321" s="95">
        <f t="shared" si="38"/>
        <v>0</v>
      </c>
      <c r="J321" s="95">
        <f t="shared" si="38"/>
        <v>0</v>
      </c>
      <c r="K321" s="95">
        <f t="shared" si="38"/>
        <v>0</v>
      </c>
      <c r="L321" s="95">
        <f t="shared" si="38"/>
        <v>0</v>
      </c>
      <c r="M321" s="95">
        <f t="shared" si="38"/>
        <v>0</v>
      </c>
    </row>
    <row r="322" spans="1:13" ht="12.75" hidden="1">
      <c r="A322" s="94" t="s">
        <v>149</v>
      </c>
      <c r="B322" s="94" t="s">
        <v>48</v>
      </c>
      <c r="C322" s="95">
        <f aca="true" t="shared" si="39" ref="C322:M322">+C231-C140</f>
        <v>0</v>
      </c>
      <c r="D322" s="95">
        <f t="shared" si="39"/>
        <v>0</v>
      </c>
      <c r="E322" s="95">
        <f t="shared" si="39"/>
        <v>0</v>
      </c>
      <c r="F322" s="95">
        <f t="shared" si="39"/>
        <v>0</v>
      </c>
      <c r="G322" s="95">
        <f t="shared" si="39"/>
        <v>0</v>
      </c>
      <c r="H322" s="95">
        <f t="shared" si="39"/>
        <v>0</v>
      </c>
      <c r="I322" s="95">
        <f t="shared" si="39"/>
        <v>0</v>
      </c>
      <c r="J322" s="95">
        <f t="shared" si="39"/>
        <v>0</v>
      </c>
      <c r="K322" s="95">
        <f t="shared" si="39"/>
        <v>0</v>
      </c>
      <c r="L322" s="95">
        <f t="shared" si="39"/>
        <v>0</v>
      </c>
      <c r="M322" s="95">
        <f t="shared" si="39"/>
        <v>0</v>
      </c>
    </row>
    <row r="323" spans="1:13" ht="12.75" hidden="1">
      <c r="A323" s="94" t="s">
        <v>150</v>
      </c>
      <c r="B323" s="94" t="s">
        <v>49</v>
      </c>
      <c r="C323" s="95">
        <f aca="true" t="shared" si="40" ref="C323:M323">+C232-C141</f>
        <v>0</v>
      </c>
      <c r="D323" s="95">
        <f t="shared" si="40"/>
        <v>0</v>
      </c>
      <c r="E323" s="95">
        <f t="shared" si="40"/>
        <v>0</v>
      </c>
      <c r="F323" s="95">
        <f t="shared" si="40"/>
        <v>0</v>
      </c>
      <c r="G323" s="95">
        <f t="shared" si="40"/>
        <v>0</v>
      </c>
      <c r="H323" s="95">
        <f t="shared" si="40"/>
        <v>0</v>
      </c>
      <c r="I323" s="95">
        <f t="shared" si="40"/>
        <v>0</v>
      </c>
      <c r="J323" s="95">
        <f t="shared" si="40"/>
        <v>0</v>
      </c>
      <c r="K323" s="95">
        <f t="shared" si="40"/>
        <v>0</v>
      </c>
      <c r="L323" s="95">
        <f t="shared" si="40"/>
        <v>0</v>
      </c>
      <c r="M323" s="95">
        <f t="shared" si="40"/>
        <v>0</v>
      </c>
    </row>
    <row r="324" spans="1:13" ht="12.75" hidden="1">
      <c r="A324" s="94" t="s">
        <v>151</v>
      </c>
      <c r="B324" s="94" t="s">
        <v>50</v>
      </c>
      <c r="C324" s="95">
        <f aca="true" t="shared" si="41" ref="C324:M324">+C233-C142</f>
        <v>0</v>
      </c>
      <c r="D324" s="95">
        <f t="shared" si="41"/>
        <v>0</v>
      </c>
      <c r="E324" s="95">
        <f t="shared" si="41"/>
        <v>0</v>
      </c>
      <c r="F324" s="95">
        <f t="shared" si="41"/>
        <v>0</v>
      </c>
      <c r="G324" s="95">
        <f t="shared" si="41"/>
        <v>0</v>
      </c>
      <c r="H324" s="95">
        <f t="shared" si="41"/>
        <v>0</v>
      </c>
      <c r="I324" s="95">
        <f t="shared" si="41"/>
        <v>0</v>
      </c>
      <c r="J324" s="95">
        <f t="shared" si="41"/>
        <v>0</v>
      </c>
      <c r="K324" s="95">
        <f t="shared" si="41"/>
        <v>0</v>
      </c>
      <c r="L324" s="95">
        <f t="shared" si="41"/>
        <v>0</v>
      </c>
      <c r="M324" s="95">
        <f t="shared" si="41"/>
        <v>0</v>
      </c>
    </row>
    <row r="325" spans="1:13" ht="12.75">
      <c r="A325" s="94" t="s">
        <v>152</v>
      </c>
      <c r="B325" s="94" t="s">
        <v>153</v>
      </c>
      <c r="C325" s="95">
        <f aca="true" t="shared" si="42" ref="C325:M325">+C234-C143</f>
        <v>0</v>
      </c>
      <c r="D325" s="95">
        <f t="shared" si="42"/>
        <v>0</v>
      </c>
      <c r="E325" s="95">
        <f t="shared" si="42"/>
        <v>0</v>
      </c>
      <c r="F325" s="95">
        <f t="shared" si="42"/>
        <v>0</v>
      </c>
      <c r="G325" s="95">
        <f t="shared" si="42"/>
        <v>0</v>
      </c>
      <c r="H325" s="95">
        <f t="shared" si="42"/>
        <v>0</v>
      </c>
      <c r="I325" s="95">
        <f t="shared" si="42"/>
        <v>0</v>
      </c>
      <c r="J325" s="95">
        <f t="shared" si="42"/>
        <v>0</v>
      </c>
      <c r="K325" s="95">
        <f t="shared" si="42"/>
        <v>0</v>
      </c>
      <c r="L325" s="95">
        <f t="shared" si="42"/>
        <v>0</v>
      </c>
      <c r="M325" s="95">
        <f t="shared" si="42"/>
        <v>0</v>
      </c>
    </row>
    <row r="326" spans="1:13" ht="12.75">
      <c r="A326" s="94" t="s">
        <v>154</v>
      </c>
      <c r="B326" s="94" t="s">
        <v>155</v>
      </c>
      <c r="C326" s="95">
        <f aca="true" t="shared" si="43" ref="C326:M326">+C235-C144</f>
        <v>0</v>
      </c>
      <c r="D326" s="95">
        <f t="shared" si="43"/>
        <v>0</v>
      </c>
      <c r="E326" s="95">
        <f t="shared" si="43"/>
        <v>0</v>
      </c>
      <c r="F326" s="95">
        <f t="shared" si="43"/>
        <v>0</v>
      </c>
      <c r="G326" s="95">
        <f t="shared" si="43"/>
        <v>0</v>
      </c>
      <c r="H326" s="95">
        <f t="shared" si="43"/>
        <v>0</v>
      </c>
      <c r="I326" s="95">
        <f t="shared" si="43"/>
        <v>0</v>
      </c>
      <c r="J326" s="95">
        <f t="shared" si="43"/>
        <v>0</v>
      </c>
      <c r="K326" s="95">
        <f t="shared" si="43"/>
        <v>0</v>
      </c>
      <c r="L326" s="95">
        <f t="shared" si="43"/>
        <v>0</v>
      </c>
      <c r="M326" s="95">
        <f t="shared" si="43"/>
        <v>0</v>
      </c>
    </row>
    <row r="327" spans="1:13" ht="12.75">
      <c r="A327" s="94" t="s">
        <v>156</v>
      </c>
      <c r="B327" s="94" t="s">
        <v>26</v>
      </c>
      <c r="C327" s="95">
        <f aca="true" t="shared" si="44" ref="C327:M327">+C236-C145</f>
        <v>0</v>
      </c>
      <c r="D327" s="95">
        <f t="shared" si="44"/>
        <v>0</v>
      </c>
      <c r="E327" s="95">
        <f t="shared" si="44"/>
        <v>0</v>
      </c>
      <c r="F327" s="95">
        <f t="shared" si="44"/>
        <v>0</v>
      </c>
      <c r="G327" s="95">
        <f t="shared" si="44"/>
        <v>0</v>
      </c>
      <c r="H327" s="95">
        <f t="shared" si="44"/>
        <v>0</v>
      </c>
      <c r="I327" s="95">
        <f t="shared" si="44"/>
        <v>0</v>
      </c>
      <c r="J327" s="95">
        <f t="shared" si="44"/>
        <v>0</v>
      </c>
      <c r="K327" s="95">
        <f t="shared" si="44"/>
        <v>0</v>
      </c>
      <c r="L327" s="95">
        <f t="shared" si="44"/>
        <v>0</v>
      </c>
      <c r="M327" s="95">
        <f t="shared" si="44"/>
        <v>0</v>
      </c>
    </row>
    <row r="328" spans="1:13" ht="12.75" hidden="1">
      <c r="A328" s="94" t="s">
        <v>157</v>
      </c>
      <c r="B328" s="94" t="s">
        <v>51</v>
      </c>
      <c r="C328" s="95">
        <f aca="true" t="shared" si="45" ref="C328:M328">+C237-C146</f>
        <v>0</v>
      </c>
      <c r="D328" s="95">
        <f t="shared" si="45"/>
        <v>0</v>
      </c>
      <c r="E328" s="95">
        <f t="shared" si="45"/>
        <v>0</v>
      </c>
      <c r="F328" s="95">
        <f t="shared" si="45"/>
        <v>0</v>
      </c>
      <c r="G328" s="95">
        <f t="shared" si="45"/>
        <v>0</v>
      </c>
      <c r="H328" s="95">
        <f t="shared" si="45"/>
        <v>0</v>
      </c>
      <c r="I328" s="95">
        <f t="shared" si="45"/>
        <v>0</v>
      </c>
      <c r="J328" s="95">
        <f t="shared" si="45"/>
        <v>0</v>
      </c>
      <c r="K328" s="95">
        <f t="shared" si="45"/>
        <v>0</v>
      </c>
      <c r="L328" s="95">
        <f t="shared" si="45"/>
        <v>0</v>
      </c>
      <c r="M328" s="95">
        <f t="shared" si="45"/>
        <v>0</v>
      </c>
    </row>
    <row r="329" spans="1:13" ht="12.75" hidden="1">
      <c r="A329" s="94" t="s">
        <v>158</v>
      </c>
      <c r="B329" s="96" t="s">
        <v>52</v>
      </c>
      <c r="C329" s="95">
        <f aca="true" t="shared" si="46" ref="C329:M329">+C238-C147</f>
        <v>0</v>
      </c>
      <c r="D329" s="95">
        <f t="shared" si="46"/>
        <v>0</v>
      </c>
      <c r="E329" s="95">
        <f t="shared" si="46"/>
        <v>0</v>
      </c>
      <c r="F329" s="95">
        <f t="shared" si="46"/>
        <v>0</v>
      </c>
      <c r="G329" s="95">
        <f t="shared" si="46"/>
        <v>0</v>
      </c>
      <c r="H329" s="95">
        <f t="shared" si="46"/>
        <v>0</v>
      </c>
      <c r="I329" s="95">
        <f t="shared" si="46"/>
        <v>0</v>
      </c>
      <c r="J329" s="95">
        <f t="shared" si="46"/>
        <v>0</v>
      </c>
      <c r="K329" s="95">
        <f t="shared" si="46"/>
        <v>0</v>
      </c>
      <c r="L329" s="95">
        <f t="shared" si="46"/>
        <v>0</v>
      </c>
      <c r="M329" s="95">
        <f t="shared" si="46"/>
        <v>0</v>
      </c>
    </row>
    <row r="330" spans="1:13" ht="12.75" hidden="1">
      <c r="A330" s="94" t="s">
        <v>159</v>
      </c>
      <c r="B330" s="94" t="s">
        <v>53</v>
      </c>
      <c r="C330" s="95">
        <f aca="true" t="shared" si="47" ref="C330:M330">+C239-C148</f>
        <v>0</v>
      </c>
      <c r="D330" s="95">
        <f t="shared" si="47"/>
        <v>0</v>
      </c>
      <c r="E330" s="95">
        <f t="shared" si="47"/>
        <v>0</v>
      </c>
      <c r="F330" s="95">
        <f t="shared" si="47"/>
        <v>0</v>
      </c>
      <c r="G330" s="95">
        <f t="shared" si="47"/>
        <v>0</v>
      </c>
      <c r="H330" s="95">
        <f t="shared" si="47"/>
        <v>0</v>
      </c>
      <c r="I330" s="95">
        <f t="shared" si="47"/>
        <v>0</v>
      </c>
      <c r="J330" s="95">
        <f t="shared" si="47"/>
        <v>0</v>
      </c>
      <c r="K330" s="95">
        <f t="shared" si="47"/>
        <v>0</v>
      </c>
      <c r="L330" s="95">
        <f t="shared" si="47"/>
        <v>0</v>
      </c>
      <c r="M330" s="95">
        <f t="shared" si="47"/>
        <v>0</v>
      </c>
    </row>
    <row r="331" spans="1:13" ht="12.75" hidden="1">
      <c r="A331" s="94" t="s">
        <v>160</v>
      </c>
      <c r="B331" s="94" t="s">
        <v>161</v>
      </c>
      <c r="C331" s="95">
        <f aca="true" t="shared" si="48" ref="C331:M331">+C240-C149</f>
        <v>0</v>
      </c>
      <c r="D331" s="95">
        <f t="shared" si="48"/>
        <v>0</v>
      </c>
      <c r="E331" s="95">
        <f t="shared" si="48"/>
        <v>0</v>
      </c>
      <c r="F331" s="95">
        <f t="shared" si="48"/>
        <v>0</v>
      </c>
      <c r="G331" s="95">
        <f t="shared" si="48"/>
        <v>0</v>
      </c>
      <c r="H331" s="95">
        <f t="shared" si="48"/>
        <v>0</v>
      </c>
      <c r="I331" s="95">
        <f t="shared" si="48"/>
        <v>0</v>
      </c>
      <c r="J331" s="95">
        <f t="shared" si="48"/>
        <v>0</v>
      </c>
      <c r="K331" s="95">
        <f t="shared" si="48"/>
        <v>0</v>
      </c>
      <c r="L331" s="95">
        <f t="shared" si="48"/>
        <v>0</v>
      </c>
      <c r="M331" s="95">
        <f t="shared" si="48"/>
        <v>0</v>
      </c>
    </row>
    <row r="332" spans="1:13" ht="12.75" hidden="1">
      <c r="A332" s="94" t="s">
        <v>162</v>
      </c>
      <c r="B332" s="94" t="s">
        <v>54</v>
      </c>
      <c r="C332" s="95">
        <f aca="true" t="shared" si="49" ref="C332:M332">+C241-C150</f>
        <v>0</v>
      </c>
      <c r="D332" s="95">
        <f t="shared" si="49"/>
        <v>0</v>
      </c>
      <c r="E332" s="95">
        <f t="shared" si="49"/>
        <v>0</v>
      </c>
      <c r="F332" s="95">
        <f t="shared" si="49"/>
        <v>0</v>
      </c>
      <c r="G332" s="95">
        <f t="shared" si="49"/>
        <v>0</v>
      </c>
      <c r="H332" s="95">
        <f t="shared" si="49"/>
        <v>0</v>
      </c>
      <c r="I332" s="95">
        <f t="shared" si="49"/>
        <v>0</v>
      </c>
      <c r="J332" s="95">
        <f t="shared" si="49"/>
        <v>0</v>
      </c>
      <c r="K332" s="95">
        <f t="shared" si="49"/>
        <v>0</v>
      </c>
      <c r="L332" s="95">
        <f t="shared" si="49"/>
        <v>0</v>
      </c>
      <c r="M332" s="95">
        <f t="shared" si="49"/>
        <v>0</v>
      </c>
    </row>
    <row r="333" spans="1:13" ht="12.75" hidden="1">
      <c r="A333" s="94" t="s">
        <v>163</v>
      </c>
      <c r="B333" s="94" t="s">
        <v>55</v>
      </c>
      <c r="C333" s="95">
        <f aca="true" t="shared" si="50" ref="C333:M333">+C242-C151</f>
        <v>-0.4453198144478383</v>
      </c>
      <c r="D333" s="95">
        <f t="shared" si="50"/>
        <v>1.2475479692123987</v>
      </c>
      <c r="E333" s="95">
        <f t="shared" si="50"/>
        <v>-0.9759126116416857</v>
      </c>
      <c r="F333" s="95">
        <f t="shared" si="50"/>
        <v>0</v>
      </c>
      <c r="G333" s="95">
        <f t="shared" si="50"/>
        <v>-0.28812907758850786</v>
      </c>
      <c r="H333" s="95">
        <f t="shared" si="50"/>
        <v>-0.8510056796951748</v>
      </c>
      <c r="I333" s="95">
        <f t="shared" si="50"/>
        <v>0.37403700173616544</v>
      </c>
      <c r="J333" s="95">
        <f t="shared" si="50"/>
        <v>0.6957196320672261</v>
      </c>
      <c r="K333" s="95">
        <f t="shared" si="50"/>
        <v>0.1284835013628147</v>
      </c>
      <c r="L333" s="95">
        <f t="shared" si="50"/>
        <v>-0.9431519827565983</v>
      </c>
      <c r="M333" s="95">
        <f t="shared" si="50"/>
        <v>1.0576517777679164</v>
      </c>
    </row>
    <row r="334" spans="1:13" ht="12.75" hidden="1">
      <c r="A334" s="94" t="s">
        <v>164</v>
      </c>
      <c r="B334" s="94" t="s">
        <v>56</v>
      </c>
      <c r="C334" s="95">
        <f aca="true" t="shared" si="51" ref="C334:M334">+C243-C152</f>
        <v>-0.00028507095536453933</v>
      </c>
      <c r="D334" s="95">
        <f t="shared" si="51"/>
        <v>-0.00023103545369557166</v>
      </c>
      <c r="E334" s="95">
        <f t="shared" si="51"/>
        <v>0.00022040909125717323</v>
      </c>
      <c r="F334" s="95">
        <f t="shared" si="51"/>
        <v>0</v>
      </c>
      <c r="G334" s="95">
        <f t="shared" si="51"/>
        <v>0.0007116133867389879</v>
      </c>
      <c r="H334" s="95">
        <f t="shared" si="51"/>
        <v>-0.0008824509088964927</v>
      </c>
      <c r="I334" s="95">
        <f t="shared" si="51"/>
        <v>0.00012222860265316549</v>
      </c>
      <c r="J334" s="95">
        <f t="shared" si="51"/>
        <v>0.0002801019409398829</v>
      </c>
      <c r="K334" s="95">
        <f t="shared" si="51"/>
        <v>6.420429636773634E-05</v>
      </c>
      <c r="L334" s="95">
        <f t="shared" si="51"/>
        <v>0</v>
      </c>
      <c r="M334" s="95">
        <f t="shared" si="51"/>
        <v>0</v>
      </c>
    </row>
    <row r="335" spans="1:13" ht="12.75">
      <c r="A335" s="94" t="s">
        <v>57</v>
      </c>
      <c r="B335" s="94" t="s">
        <v>57</v>
      </c>
      <c r="C335" s="95">
        <f aca="true" t="shared" si="52" ref="C335:M335">+C244-C153</f>
        <v>0</v>
      </c>
      <c r="D335" s="95">
        <f t="shared" si="52"/>
        <v>0</v>
      </c>
      <c r="E335" s="95">
        <f t="shared" si="52"/>
        <v>0</v>
      </c>
      <c r="F335" s="95">
        <f t="shared" si="52"/>
        <v>0</v>
      </c>
      <c r="G335" s="95">
        <f t="shared" si="52"/>
        <v>0</v>
      </c>
      <c r="H335" s="95">
        <f t="shared" si="52"/>
        <v>0</v>
      </c>
      <c r="I335" s="95">
        <f t="shared" si="52"/>
        <v>0</v>
      </c>
      <c r="J335" s="95">
        <f t="shared" si="52"/>
        <v>0</v>
      </c>
      <c r="K335" s="95">
        <f t="shared" si="52"/>
        <v>0</v>
      </c>
      <c r="L335" s="95">
        <f t="shared" si="52"/>
        <v>0</v>
      </c>
      <c r="M335" s="95">
        <f t="shared" si="52"/>
        <v>0</v>
      </c>
    </row>
    <row r="336" spans="1:13" ht="12.75" hidden="1">
      <c r="A336" s="94" t="s">
        <v>165</v>
      </c>
      <c r="B336" s="94" t="s">
        <v>58</v>
      </c>
      <c r="C336" s="95">
        <f aca="true" t="shared" si="53" ref="C336:M336">+C245-C154</f>
        <v>0</v>
      </c>
      <c r="D336" s="95">
        <f t="shared" si="53"/>
        <v>0</v>
      </c>
      <c r="E336" s="95">
        <f t="shared" si="53"/>
        <v>0</v>
      </c>
      <c r="F336" s="95">
        <f t="shared" si="53"/>
        <v>0</v>
      </c>
      <c r="G336" s="95">
        <f t="shared" si="53"/>
        <v>0</v>
      </c>
      <c r="H336" s="95">
        <f t="shared" si="53"/>
        <v>0</v>
      </c>
      <c r="I336" s="95">
        <f t="shared" si="53"/>
        <v>0</v>
      </c>
      <c r="J336" s="95">
        <f t="shared" si="53"/>
        <v>0</v>
      </c>
      <c r="K336" s="95">
        <f t="shared" si="53"/>
        <v>0</v>
      </c>
      <c r="L336" s="95">
        <f t="shared" si="53"/>
        <v>0</v>
      </c>
      <c r="M336" s="95">
        <f t="shared" si="53"/>
        <v>0</v>
      </c>
    </row>
    <row r="337" spans="1:13" ht="12.75" hidden="1">
      <c r="A337" s="97" t="s">
        <v>166</v>
      </c>
      <c r="B337" s="94" t="s">
        <v>167</v>
      </c>
      <c r="C337" s="95">
        <f aca="true" t="shared" si="54" ref="C337:M337">+C246-C155</f>
        <v>0</v>
      </c>
      <c r="D337" s="95">
        <f t="shared" si="54"/>
        <v>0</v>
      </c>
      <c r="E337" s="95">
        <f t="shared" si="54"/>
        <v>0</v>
      </c>
      <c r="F337" s="95">
        <f t="shared" si="54"/>
        <v>0</v>
      </c>
      <c r="G337" s="95">
        <f t="shared" si="54"/>
        <v>0</v>
      </c>
      <c r="H337" s="95">
        <f t="shared" si="54"/>
        <v>0</v>
      </c>
      <c r="I337" s="95">
        <f t="shared" si="54"/>
        <v>0</v>
      </c>
      <c r="J337" s="95">
        <f t="shared" si="54"/>
        <v>0</v>
      </c>
      <c r="K337" s="95">
        <f t="shared" si="54"/>
        <v>0</v>
      </c>
      <c r="L337" s="95">
        <f t="shared" si="54"/>
        <v>0</v>
      </c>
      <c r="M337" s="95">
        <f t="shared" si="54"/>
        <v>0</v>
      </c>
    </row>
    <row r="338" spans="1:13" ht="12.75">
      <c r="A338" s="94" t="s">
        <v>168</v>
      </c>
      <c r="B338" s="94" t="s">
        <v>60</v>
      </c>
      <c r="C338" s="95">
        <f aca="true" t="shared" si="55" ref="C338:M338">+C247-C156</f>
        <v>0</v>
      </c>
      <c r="D338" s="95">
        <f t="shared" si="55"/>
        <v>0</v>
      </c>
      <c r="E338" s="95">
        <f t="shared" si="55"/>
        <v>0</v>
      </c>
      <c r="F338" s="95">
        <f t="shared" si="55"/>
        <v>0</v>
      </c>
      <c r="G338" s="95">
        <f t="shared" si="55"/>
        <v>0</v>
      </c>
      <c r="H338" s="95">
        <f t="shared" si="55"/>
        <v>0</v>
      </c>
      <c r="I338" s="95">
        <f t="shared" si="55"/>
        <v>0</v>
      </c>
      <c r="J338" s="95">
        <f t="shared" si="55"/>
        <v>0</v>
      </c>
      <c r="K338" s="95">
        <f t="shared" si="55"/>
        <v>0</v>
      </c>
      <c r="L338" s="95">
        <f t="shared" si="55"/>
        <v>0</v>
      </c>
      <c r="M338" s="95">
        <f t="shared" si="55"/>
        <v>0</v>
      </c>
    </row>
    <row r="339" spans="1:13" ht="12.75" hidden="1">
      <c r="A339" s="97" t="s">
        <v>166</v>
      </c>
      <c r="B339" s="94" t="s">
        <v>167</v>
      </c>
      <c r="C339" s="95">
        <f aca="true" t="shared" si="56" ref="C339:M339">+C248-C157</f>
        <v>0</v>
      </c>
      <c r="D339" s="95">
        <f t="shared" si="56"/>
        <v>0</v>
      </c>
      <c r="E339" s="95">
        <f t="shared" si="56"/>
        <v>0</v>
      </c>
      <c r="F339" s="95">
        <f t="shared" si="56"/>
        <v>0</v>
      </c>
      <c r="G339" s="95">
        <f t="shared" si="56"/>
        <v>0</v>
      </c>
      <c r="H339" s="95">
        <f t="shared" si="56"/>
        <v>0</v>
      </c>
      <c r="I339" s="95">
        <f t="shared" si="56"/>
        <v>0</v>
      </c>
      <c r="J339" s="95">
        <f t="shared" si="56"/>
        <v>0</v>
      </c>
      <c r="K339" s="95">
        <f t="shared" si="56"/>
        <v>0</v>
      </c>
      <c r="L339" s="95">
        <f t="shared" si="56"/>
        <v>0</v>
      </c>
      <c r="M339" s="95">
        <f t="shared" si="56"/>
        <v>0</v>
      </c>
    </row>
    <row r="340" spans="1:13" ht="12.75" hidden="1">
      <c r="A340" s="97" t="s">
        <v>166</v>
      </c>
      <c r="B340" s="94" t="s">
        <v>167</v>
      </c>
      <c r="C340" s="95">
        <f aca="true" t="shared" si="57" ref="C340:M340">+C249-C158</f>
        <v>0</v>
      </c>
      <c r="D340" s="95">
        <f t="shared" si="57"/>
        <v>0</v>
      </c>
      <c r="E340" s="95">
        <f t="shared" si="57"/>
        <v>0</v>
      </c>
      <c r="F340" s="95">
        <f t="shared" si="57"/>
        <v>0</v>
      </c>
      <c r="G340" s="95">
        <f t="shared" si="57"/>
        <v>0</v>
      </c>
      <c r="H340" s="95">
        <f t="shared" si="57"/>
        <v>0</v>
      </c>
      <c r="I340" s="95">
        <f t="shared" si="57"/>
        <v>0</v>
      </c>
      <c r="J340" s="95">
        <f t="shared" si="57"/>
        <v>0</v>
      </c>
      <c r="K340" s="95">
        <f t="shared" si="57"/>
        <v>0</v>
      </c>
      <c r="L340" s="95">
        <f t="shared" si="57"/>
        <v>0</v>
      </c>
      <c r="M340" s="95">
        <f t="shared" si="57"/>
        <v>0</v>
      </c>
    </row>
    <row r="341" spans="1:13" ht="12.75">
      <c r="A341" s="94" t="s">
        <v>169</v>
      </c>
      <c r="B341" s="94" t="s">
        <v>63</v>
      </c>
      <c r="C341" s="95">
        <f aca="true" t="shared" si="58" ref="C341:M341">+C250-C159</f>
        <v>0</v>
      </c>
      <c r="D341" s="95">
        <f t="shared" si="58"/>
        <v>0</v>
      </c>
      <c r="E341" s="95">
        <f t="shared" si="58"/>
        <v>0</v>
      </c>
      <c r="F341" s="95">
        <f t="shared" si="58"/>
        <v>0</v>
      </c>
      <c r="G341" s="95">
        <f t="shared" si="58"/>
        <v>0</v>
      </c>
      <c r="H341" s="95">
        <f t="shared" si="58"/>
        <v>0</v>
      </c>
      <c r="I341" s="95">
        <f t="shared" si="58"/>
        <v>0</v>
      </c>
      <c r="J341" s="95">
        <f t="shared" si="58"/>
        <v>0</v>
      </c>
      <c r="K341" s="95">
        <f t="shared" si="58"/>
        <v>0</v>
      </c>
      <c r="L341" s="95">
        <f t="shared" si="58"/>
        <v>0</v>
      </c>
      <c r="M341" s="95">
        <f t="shared" si="58"/>
        <v>0</v>
      </c>
    </row>
    <row r="342" spans="1:13" ht="12.75">
      <c r="A342" s="94" t="s">
        <v>170</v>
      </c>
      <c r="B342" s="94" t="s">
        <v>64</v>
      </c>
      <c r="C342" s="95">
        <f aca="true" t="shared" si="59" ref="C342:M342">+C251-C160</f>
        <v>0</v>
      </c>
      <c r="D342" s="95">
        <f t="shared" si="59"/>
        <v>0</v>
      </c>
      <c r="E342" s="95">
        <f t="shared" si="59"/>
        <v>0</v>
      </c>
      <c r="F342" s="95">
        <f t="shared" si="59"/>
        <v>0</v>
      </c>
      <c r="G342" s="95">
        <f t="shared" si="59"/>
        <v>0</v>
      </c>
      <c r="H342" s="95">
        <f t="shared" si="59"/>
        <v>0</v>
      </c>
      <c r="I342" s="95">
        <f t="shared" si="59"/>
        <v>0</v>
      </c>
      <c r="J342" s="95">
        <f t="shared" si="59"/>
        <v>0</v>
      </c>
      <c r="K342" s="95">
        <f t="shared" si="59"/>
        <v>0</v>
      </c>
      <c r="L342" s="95">
        <f t="shared" si="59"/>
        <v>0</v>
      </c>
      <c r="M342" s="95">
        <f t="shared" si="59"/>
        <v>0</v>
      </c>
    </row>
    <row r="343" spans="1:13" ht="12.75">
      <c r="A343" s="94" t="s">
        <v>171</v>
      </c>
      <c r="B343" s="94" t="s">
        <v>65</v>
      </c>
      <c r="C343" s="95">
        <f aca="true" t="shared" si="60" ref="C343:M343">+C252-C161</f>
        <v>0</v>
      </c>
      <c r="D343" s="95">
        <f t="shared" si="60"/>
        <v>0</v>
      </c>
      <c r="E343" s="95">
        <f t="shared" si="60"/>
        <v>0</v>
      </c>
      <c r="F343" s="95">
        <f t="shared" si="60"/>
        <v>0</v>
      </c>
      <c r="G343" s="95">
        <f t="shared" si="60"/>
        <v>0</v>
      </c>
      <c r="H343" s="95">
        <f t="shared" si="60"/>
        <v>0</v>
      </c>
      <c r="I343" s="95">
        <f t="shared" si="60"/>
        <v>0</v>
      </c>
      <c r="J343" s="95">
        <f t="shared" si="60"/>
        <v>0</v>
      </c>
      <c r="K343" s="95">
        <f t="shared" si="60"/>
        <v>0</v>
      </c>
      <c r="L343" s="95">
        <f t="shared" si="60"/>
        <v>0</v>
      </c>
      <c r="M343" s="95">
        <f t="shared" si="60"/>
        <v>0</v>
      </c>
    </row>
    <row r="344" spans="1:13" ht="12.75">
      <c r="A344" s="94" t="s">
        <v>172</v>
      </c>
      <c r="B344" s="94" t="s">
        <v>66</v>
      </c>
      <c r="C344" s="95">
        <f aca="true" t="shared" si="61" ref="C344:M344">+C253-C162</f>
        <v>0</v>
      </c>
      <c r="D344" s="95">
        <f t="shared" si="61"/>
        <v>0</v>
      </c>
      <c r="E344" s="95">
        <f t="shared" si="61"/>
        <v>0</v>
      </c>
      <c r="F344" s="95">
        <f t="shared" si="61"/>
        <v>0</v>
      </c>
      <c r="G344" s="95">
        <f t="shared" si="61"/>
        <v>0</v>
      </c>
      <c r="H344" s="95">
        <f t="shared" si="61"/>
        <v>0</v>
      </c>
      <c r="I344" s="95">
        <f t="shared" si="61"/>
        <v>0</v>
      </c>
      <c r="J344" s="95">
        <f t="shared" si="61"/>
        <v>0</v>
      </c>
      <c r="K344" s="95">
        <f t="shared" si="61"/>
        <v>0</v>
      </c>
      <c r="L344" s="95">
        <f t="shared" si="61"/>
        <v>0</v>
      </c>
      <c r="M344" s="95">
        <f t="shared" si="61"/>
        <v>0</v>
      </c>
    </row>
    <row r="345" spans="1:13" ht="12.75">
      <c r="A345" s="94" t="s">
        <v>173</v>
      </c>
      <c r="B345" s="94" t="s">
        <v>67</v>
      </c>
      <c r="C345" s="95">
        <f aca="true" t="shared" si="62" ref="C345:M345">+C254-C163</f>
        <v>0</v>
      </c>
      <c r="D345" s="95">
        <f t="shared" si="62"/>
        <v>0</v>
      </c>
      <c r="E345" s="95">
        <f t="shared" si="62"/>
        <v>0</v>
      </c>
      <c r="F345" s="95">
        <f t="shared" si="62"/>
        <v>0</v>
      </c>
      <c r="G345" s="95">
        <f t="shared" si="62"/>
        <v>0</v>
      </c>
      <c r="H345" s="95">
        <f t="shared" si="62"/>
        <v>0</v>
      </c>
      <c r="I345" s="95">
        <f t="shared" si="62"/>
        <v>0</v>
      </c>
      <c r="J345" s="95">
        <f t="shared" si="62"/>
        <v>0</v>
      </c>
      <c r="K345" s="95">
        <f t="shared" si="62"/>
        <v>0</v>
      </c>
      <c r="L345" s="95">
        <f t="shared" si="62"/>
        <v>0</v>
      </c>
      <c r="M345" s="95">
        <f t="shared" si="62"/>
        <v>0</v>
      </c>
    </row>
    <row r="346" spans="1:13" ht="12.75">
      <c r="A346" s="94" t="s">
        <v>174</v>
      </c>
      <c r="B346" s="94" t="s">
        <v>68</v>
      </c>
      <c r="C346" s="95">
        <f aca="true" t="shared" si="63" ref="C346:M346">+C255-C164</f>
        <v>0</v>
      </c>
      <c r="D346" s="95">
        <f t="shared" si="63"/>
        <v>0</v>
      </c>
      <c r="E346" s="95">
        <f t="shared" si="63"/>
        <v>0</v>
      </c>
      <c r="F346" s="95">
        <f t="shared" si="63"/>
        <v>0</v>
      </c>
      <c r="G346" s="95">
        <f t="shared" si="63"/>
        <v>0</v>
      </c>
      <c r="H346" s="95">
        <f t="shared" si="63"/>
        <v>0</v>
      </c>
      <c r="I346" s="95">
        <f t="shared" si="63"/>
        <v>0</v>
      </c>
      <c r="J346" s="95">
        <f t="shared" si="63"/>
        <v>0</v>
      </c>
      <c r="K346" s="95">
        <f t="shared" si="63"/>
        <v>0</v>
      </c>
      <c r="L346" s="95">
        <f t="shared" si="63"/>
        <v>0</v>
      </c>
      <c r="M346" s="95">
        <f t="shared" si="63"/>
        <v>0</v>
      </c>
    </row>
    <row r="347" spans="1:13" ht="12.75" hidden="1">
      <c r="A347" s="94" t="s">
        <v>175</v>
      </c>
      <c r="B347" s="94" t="s">
        <v>69</v>
      </c>
      <c r="C347" s="95">
        <f aca="true" t="shared" si="64" ref="C347:M347">+C256-C165</f>
        <v>0</v>
      </c>
      <c r="D347" s="95">
        <f t="shared" si="64"/>
        <v>0</v>
      </c>
      <c r="E347" s="95">
        <f t="shared" si="64"/>
        <v>0</v>
      </c>
      <c r="F347" s="95">
        <f t="shared" si="64"/>
        <v>0</v>
      </c>
      <c r="G347" s="95">
        <f t="shared" si="64"/>
        <v>0</v>
      </c>
      <c r="H347" s="95">
        <f t="shared" si="64"/>
        <v>0</v>
      </c>
      <c r="I347" s="95">
        <f t="shared" si="64"/>
        <v>0</v>
      </c>
      <c r="J347" s="95">
        <f t="shared" si="64"/>
        <v>0</v>
      </c>
      <c r="K347" s="95">
        <f t="shared" si="64"/>
        <v>0</v>
      </c>
      <c r="L347" s="95">
        <f t="shared" si="64"/>
        <v>0</v>
      </c>
      <c r="M347" s="95">
        <f t="shared" si="64"/>
        <v>0</v>
      </c>
    </row>
    <row r="348" spans="1:13" ht="12.75" hidden="1">
      <c r="A348" s="94" t="s">
        <v>176</v>
      </c>
      <c r="B348" s="94" t="s">
        <v>70</v>
      </c>
      <c r="C348" s="95">
        <f aca="true" t="shared" si="65" ref="C348:M348">+C257-C166</f>
        <v>0</v>
      </c>
      <c r="D348" s="95">
        <f t="shared" si="65"/>
        <v>0</v>
      </c>
      <c r="E348" s="95">
        <f t="shared" si="65"/>
        <v>0</v>
      </c>
      <c r="F348" s="95">
        <f t="shared" si="65"/>
        <v>0</v>
      </c>
      <c r="G348" s="95">
        <f t="shared" si="65"/>
        <v>0</v>
      </c>
      <c r="H348" s="95">
        <f t="shared" si="65"/>
        <v>0</v>
      </c>
      <c r="I348" s="95">
        <f t="shared" si="65"/>
        <v>0</v>
      </c>
      <c r="J348" s="95">
        <f t="shared" si="65"/>
        <v>0</v>
      </c>
      <c r="K348" s="95">
        <f t="shared" si="65"/>
        <v>0</v>
      </c>
      <c r="L348" s="95">
        <f t="shared" si="65"/>
        <v>0</v>
      </c>
      <c r="M348" s="95">
        <f t="shared" si="65"/>
        <v>0</v>
      </c>
    </row>
    <row r="349" spans="1:13" ht="12.75">
      <c r="A349" s="94" t="s">
        <v>177</v>
      </c>
      <c r="B349" s="94" t="s">
        <v>71</v>
      </c>
      <c r="C349" s="95">
        <f aca="true" t="shared" si="66" ref="C349:M349">+C258-C167</f>
        <v>0</v>
      </c>
      <c r="D349" s="95">
        <f t="shared" si="66"/>
        <v>0</v>
      </c>
      <c r="E349" s="95">
        <f t="shared" si="66"/>
        <v>0</v>
      </c>
      <c r="F349" s="95">
        <f t="shared" si="66"/>
        <v>0</v>
      </c>
      <c r="G349" s="95">
        <f t="shared" si="66"/>
        <v>0</v>
      </c>
      <c r="H349" s="95">
        <f t="shared" si="66"/>
        <v>0</v>
      </c>
      <c r="I349" s="95">
        <f t="shared" si="66"/>
        <v>0</v>
      </c>
      <c r="J349" s="95">
        <f t="shared" si="66"/>
        <v>0</v>
      </c>
      <c r="K349" s="95">
        <f t="shared" si="66"/>
        <v>0</v>
      </c>
      <c r="L349" s="95">
        <f t="shared" si="66"/>
        <v>0</v>
      </c>
      <c r="M349" s="95">
        <f t="shared" si="66"/>
        <v>0</v>
      </c>
    </row>
    <row r="350" spans="1:13" ht="12.75">
      <c r="A350" s="94" t="s">
        <v>178</v>
      </c>
      <c r="B350" s="94" t="s">
        <v>72</v>
      </c>
      <c r="C350" s="95">
        <f aca="true" t="shared" si="67" ref="C350:M350">+C259-C168</f>
        <v>0</v>
      </c>
      <c r="D350" s="95">
        <f t="shared" si="67"/>
        <v>0</v>
      </c>
      <c r="E350" s="95">
        <f t="shared" si="67"/>
        <v>0</v>
      </c>
      <c r="F350" s="95">
        <f t="shared" si="67"/>
        <v>0</v>
      </c>
      <c r="G350" s="95">
        <f t="shared" si="67"/>
        <v>0</v>
      </c>
      <c r="H350" s="95">
        <f t="shared" si="67"/>
        <v>0</v>
      </c>
      <c r="I350" s="95">
        <f t="shared" si="67"/>
        <v>0</v>
      </c>
      <c r="J350" s="95">
        <f t="shared" si="67"/>
        <v>0</v>
      </c>
      <c r="K350" s="95">
        <f t="shared" si="67"/>
        <v>0</v>
      </c>
      <c r="L350" s="95">
        <f t="shared" si="67"/>
        <v>0</v>
      </c>
      <c r="M350" s="95">
        <f t="shared" si="67"/>
        <v>0</v>
      </c>
    </row>
    <row r="351" spans="1:13" ht="12.75">
      <c r="A351" s="94" t="s">
        <v>179</v>
      </c>
      <c r="B351" s="94" t="s">
        <v>73</v>
      </c>
      <c r="C351" s="95">
        <f aca="true" t="shared" si="68" ref="C351:M351">+C260-C169</f>
        <v>0</v>
      </c>
      <c r="D351" s="95">
        <f t="shared" si="68"/>
        <v>0</v>
      </c>
      <c r="E351" s="95">
        <f t="shared" si="68"/>
        <v>0</v>
      </c>
      <c r="F351" s="95">
        <f t="shared" si="68"/>
        <v>0</v>
      </c>
      <c r="G351" s="95">
        <f t="shared" si="68"/>
        <v>0</v>
      </c>
      <c r="H351" s="95">
        <f t="shared" si="68"/>
        <v>0</v>
      </c>
      <c r="I351" s="95">
        <f t="shared" si="68"/>
        <v>0</v>
      </c>
      <c r="J351" s="95">
        <f t="shared" si="68"/>
        <v>0</v>
      </c>
      <c r="K351" s="95">
        <f t="shared" si="68"/>
        <v>0</v>
      </c>
      <c r="L351" s="95">
        <f t="shared" si="68"/>
        <v>0</v>
      </c>
      <c r="M351" s="95">
        <f t="shared" si="68"/>
        <v>0</v>
      </c>
    </row>
    <row r="352" spans="1:13" ht="12.75">
      <c r="A352" s="94" t="s">
        <v>180</v>
      </c>
      <c r="B352" s="94" t="s">
        <v>74</v>
      </c>
      <c r="C352" s="95">
        <f aca="true" t="shared" si="69" ref="C352:M352">+C261-C170</f>
        <v>0</v>
      </c>
      <c r="D352" s="95">
        <f t="shared" si="69"/>
        <v>0</v>
      </c>
      <c r="E352" s="95">
        <f t="shared" si="69"/>
        <v>0</v>
      </c>
      <c r="F352" s="95">
        <f t="shared" si="69"/>
        <v>0</v>
      </c>
      <c r="G352" s="95">
        <f t="shared" si="69"/>
        <v>0</v>
      </c>
      <c r="H352" s="95">
        <f t="shared" si="69"/>
        <v>0</v>
      </c>
      <c r="I352" s="95">
        <f t="shared" si="69"/>
        <v>0</v>
      </c>
      <c r="J352" s="95">
        <f t="shared" si="69"/>
        <v>0</v>
      </c>
      <c r="K352" s="95">
        <f t="shared" si="69"/>
        <v>0</v>
      </c>
      <c r="L352" s="95">
        <f t="shared" si="69"/>
        <v>0</v>
      </c>
      <c r="M352" s="95">
        <f t="shared" si="69"/>
        <v>0</v>
      </c>
    </row>
    <row r="353" spans="1:13" ht="12.75">
      <c r="A353" s="94" t="s">
        <v>181</v>
      </c>
      <c r="B353" s="94" t="s">
        <v>75</v>
      </c>
      <c r="C353" s="95">
        <f aca="true" t="shared" si="70" ref="C353:M353">+C262-C171</f>
        <v>0</v>
      </c>
      <c r="D353" s="95">
        <f t="shared" si="70"/>
        <v>0</v>
      </c>
      <c r="E353" s="95">
        <f t="shared" si="70"/>
        <v>0</v>
      </c>
      <c r="F353" s="95">
        <f t="shared" si="70"/>
        <v>0</v>
      </c>
      <c r="G353" s="95">
        <f t="shared" si="70"/>
        <v>0</v>
      </c>
      <c r="H353" s="95">
        <f t="shared" si="70"/>
        <v>0</v>
      </c>
      <c r="I353" s="95">
        <f t="shared" si="70"/>
        <v>0</v>
      </c>
      <c r="J353" s="95">
        <f t="shared" si="70"/>
        <v>0</v>
      </c>
      <c r="K353" s="95">
        <f t="shared" si="70"/>
        <v>0</v>
      </c>
      <c r="L353" s="95">
        <f t="shared" si="70"/>
        <v>0</v>
      </c>
      <c r="M353" s="95">
        <f t="shared" si="70"/>
        <v>0</v>
      </c>
    </row>
    <row r="354" spans="1:13" ht="12.75">
      <c r="A354" s="94" t="s">
        <v>182</v>
      </c>
      <c r="B354" s="94" t="s">
        <v>76</v>
      </c>
      <c r="C354" s="95">
        <f aca="true" t="shared" si="71" ref="C354:M354">+C263-C172</f>
        <v>0</v>
      </c>
      <c r="D354" s="95">
        <f t="shared" si="71"/>
        <v>0</v>
      </c>
      <c r="E354" s="95">
        <f t="shared" si="71"/>
        <v>0</v>
      </c>
      <c r="F354" s="95">
        <f t="shared" si="71"/>
        <v>0</v>
      </c>
      <c r="G354" s="95">
        <f t="shared" si="71"/>
        <v>0</v>
      </c>
      <c r="H354" s="95">
        <f t="shared" si="71"/>
        <v>0</v>
      </c>
      <c r="I354" s="95">
        <f t="shared" si="71"/>
        <v>0</v>
      </c>
      <c r="J354" s="95">
        <f t="shared" si="71"/>
        <v>0</v>
      </c>
      <c r="K354" s="95">
        <f t="shared" si="71"/>
        <v>0</v>
      </c>
      <c r="L354" s="95">
        <f t="shared" si="71"/>
        <v>0</v>
      </c>
      <c r="M354" s="95">
        <f t="shared" si="71"/>
        <v>0</v>
      </c>
    </row>
    <row r="355" spans="1:13" ht="12.75">
      <c r="A355" s="94" t="s">
        <v>183</v>
      </c>
      <c r="B355" s="94" t="s">
        <v>77</v>
      </c>
      <c r="C355" s="95">
        <f aca="true" t="shared" si="72" ref="C355:M355">+C264-C173</f>
        <v>-6.525392451131595E-05</v>
      </c>
      <c r="D355" s="95">
        <f t="shared" si="72"/>
        <v>-0.00012235491197176707</v>
      </c>
      <c r="E355" s="95">
        <f t="shared" si="72"/>
        <v>1.8671421026086876E-05</v>
      </c>
      <c r="F355" s="95">
        <f t="shared" si="72"/>
        <v>0</v>
      </c>
      <c r="G355" s="95">
        <f t="shared" si="72"/>
        <v>0.00012399848059399532</v>
      </c>
      <c r="H355" s="95">
        <f t="shared" si="72"/>
        <v>-2.983752704260878E-05</v>
      </c>
      <c r="I355" s="95">
        <f t="shared" si="72"/>
        <v>1.555475288868291E-05</v>
      </c>
      <c r="J355" s="95">
        <f t="shared" si="72"/>
        <v>4.7321378464450226E-05</v>
      </c>
      <c r="K355" s="95">
        <f t="shared" si="72"/>
        <v>1.1900330552493598E-05</v>
      </c>
      <c r="L355" s="95">
        <f t="shared" si="72"/>
        <v>0</v>
      </c>
      <c r="M355" s="95">
        <f t="shared" si="72"/>
        <v>0</v>
      </c>
    </row>
    <row r="356" spans="1:13" ht="12.75">
      <c r="A356" s="94" t="s">
        <v>184</v>
      </c>
      <c r="B356" s="94" t="s">
        <v>78</v>
      </c>
      <c r="C356" s="95">
        <f aca="true" t="shared" si="73" ref="C356:M356">+C265-C174</f>
        <v>-0.00010880062903038251</v>
      </c>
      <c r="D356" s="95">
        <f t="shared" si="73"/>
        <v>-0.0002040075211899861</v>
      </c>
      <c r="E356" s="95">
        <f t="shared" si="73"/>
        <v>3.113165020710018E-05</v>
      </c>
      <c r="F356" s="95">
        <f t="shared" si="73"/>
        <v>0</v>
      </c>
      <c r="G356" s="95">
        <f t="shared" si="73"/>
        <v>0.0002067479126883487</v>
      </c>
      <c r="H356" s="95">
        <f t="shared" si="73"/>
        <v>-4.9749371172247425E-05</v>
      </c>
      <c r="I356" s="95">
        <f t="shared" si="73"/>
        <v>2.5935097564995513E-05</v>
      </c>
      <c r="J356" s="95">
        <f t="shared" si="73"/>
        <v>7.890093633561995E-05</v>
      </c>
      <c r="K356" s="95">
        <f t="shared" si="73"/>
        <v>1.984192459652265E-05</v>
      </c>
      <c r="L356" s="95">
        <f t="shared" si="73"/>
        <v>0</v>
      </c>
      <c r="M356" s="95">
        <f t="shared" si="73"/>
        <v>0</v>
      </c>
    </row>
    <row r="357" spans="1:13" ht="12.75">
      <c r="A357" s="94" t="s">
        <v>185</v>
      </c>
      <c r="B357" s="94" t="s">
        <v>79</v>
      </c>
      <c r="C357" s="95">
        <f aca="true" t="shared" si="74" ref="C357:M357">+C266-C175</f>
        <v>0</v>
      </c>
      <c r="D357" s="95">
        <f t="shared" si="74"/>
        <v>0</v>
      </c>
      <c r="E357" s="95">
        <f t="shared" si="74"/>
        <v>0</v>
      </c>
      <c r="F357" s="95">
        <f t="shared" si="74"/>
        <v>0</v>
      </c>
      <c r="G357" s="95">
        <f t="shared" si="74"/>
        <v>0</v>
      </c>
      <c r="H357" s="95">
        <f t="shared" si="74"/>
        <v>0</v>
      </c>
      <c r="I357" s="95">
        <f t="shared" si="74"/>
        <v>0</v>
      </c>
      <c r="J357" s="95">
        <f t="shared" si="74"/>
        <v>0</v>
      </c>
      <c r="K357" s="95">
        <f t="shared" si="74"/>
        <v>0</v>
      </c>
      <c r="L357" s="95">
        <f t="shared" si="74"/>
        <v>0</v>
      </c>
      <c r="M357" s="95">
        <f t="shared" si="74"/>
        <v>0</v>
      </c>
    </row>
    <row r="358" spans="1:13" ht="12.75">
      <c r="A358" s="94" t="s">
        <v>186</v>
      </c>
      <c r="B358" s="94" t="s">
        <v>80</v>
      </c>
      <c r="C358" s="95">
        <f aca="true" t="shared" si="75" ref="C358:M358">+C267-C176</f>
        <v>0</v>
      </c>
      <c r="D358" s="95">
        <f t="shared" si="75"/>
        <v>0</v>
      </c>
      <c r="E358" s="95">
        <f t="shared" si="75"/>
        <v>0</v>
      </c>
      <c r="F358" s="95">
        <f t="shared" si="75"/>
        <v>0</v>
      </c>
      <c r="G358" s="95">
        <f t="shared" si="75"/>
        <v>0</v>
      </c>
      <c r="H358" s="95">
        <f t="shared" si="75"/>
        <v>0</v>
      </c>
      <c r="I358" s="95">
        <f t="shared" si="75"/>
        <v>0</v>
      </c>
      <c r="J358" s="95">
        <f t="shared" si="75"/>
        <v>0</v>
      </c>
      <c r="K358" s="95">
        <f t="shared" si="75"/>
        <v>0</v>
      </c>
      <c r="L358" s="95">
        <f t="shared" si="75"/>
        <v>0</v>
      </c>
      <c r="M358" s="95">
        <f t="shared" si="75"/>
        <v>0</v>
      </c>
    </row>
    <row r="359" spans="1:13" ht="12.75">
      <c r="A359" s="94" t="s">
        <v>187</v>
      </c>
      <c r="B359" s="94" t="s">
        <v>81</v>
      </c>
      <c r="C359" s="95">
        <f aca="true" t="shared" si="76" ref="C359:M359">+C268-C177</f>
        <v>-0.4612048605506365</v>
      </c>
      <c r="D359" s="95">
        <f t="shared" si="76"/>
        <v>1.2612107477266674</v>
      </c>
      <c r="E359" s="95">
        <f t="shared" si="76"/>
        <v>-1.013789689717123</v>
      </c>
      <c r="F359" s="95">
        <f t="shared" si="76"/>
        <v>0</v>
      </c>
      <c r="G359" s="95">
        <f t="shared" si="76"/>
        <v>-0.3083109509077069</v>
      </c>
      <c r="H359" s="95">
        <f t="shared" si="76"/>
        <v>-0.9145034502980911</v>
      </c>
      <c r="I359" s="95">
        <f t="shared" si="76"/>
        <v>0.3807515439743623</v>
      </c>
      <c r="J359" s="95">
        <f t="shared" si="76"/>
        <v>0.7148787881290983</v>
      </c>
      <c r="K359" s="95">
        <f t="shared" si="76"/>
        <v>0.13219585364376518</v>
      </c>
      <c r="L359" s="95">
        <f t="shared" si="76"/>
        <v>-0.8676242220105981</v>
      </c>
      <c r="M359" s="95">
        <f t="shared" si="76"/>
        <v>1.076315549484749</v>
      </c>
    </row>
    <row r="360" spans="1:13" ht="12.75">
      <c r="A360" s="94" t="s">
        <v>188</v>
      </c>
      <c r="B360" s="94" t="s">
        <v>61</v>
      </c>
      <c r="C360" s="95">
        <f aca="true" t="shared" si="77" ref="C360:M360">+C269-C178</f>
        <v>0</v>
      </c>
      <c r="D360" s="95">
        <f t="shared" si="77"/>
        <v>0</v>
      </c>
      <c r="E360" s="95">
        <f t="shared" si="77"/>
        <v>0</v>
      </c>
      <c r="F360" s="95">
        <f t="shared" si="77"/>
        <v>0</v>
      </c>
      <c r="G360" s="95">
        <f t="shared" si="77"/>
        <v>0</v>
      </c>
      <c r="H360" s="95">
        <f t="shared" si="77"/>
        <v>0</v>
      </c>
      <c r="I360" s="95">
        <f t="shared" si="77"/>
        <v>0</v>
      </c>
      <c r="J360" s="95">
        <f t="shared" si="77"/>
        <v>0</v>
      </c>
      <c r="K360" s="95">
        <f t="shared" si="77"/>
        <v>0</v>
      </c>
      <c r="L360" s="95">
        <f t="shared" si="77"/>
        <v>0</v>
      </c>
      <c r="M360" s="95">
        <f t="shared" si="77"/>
        <v>0</v>
      </c>
    </row>
    <row r="361" spans="1:13" ht="12.75">
      <c r="A361" s="94" t="s">
        <v>189</v>
      </c>
      <c r="B361" s="94" t="s">
        <v>62</v>
      </c>
      <c r="C361" s="95">
        <f aca="true" t="shared" si="78" ref="C361:M361">+C270-C179</f>
        <v>0</v>
      </c>
      <c r="D361" s="95">
        <f t="shared" si="78"/>
        <v>0</v>
      </c>
      <c r="E361" s="95">
        <f t="shared" si="78"/>
        <v>0</v>
      </c>
      <c r="F361" s="95">
        <f t="shared" si="78"/>
        <v>0</v>
      </c>
      <c r="G361" s="95">
        <f t="shared" si="78"/>
        <v>0</v>
      </c>
      <c r="H361" s="95">
        <f t="shared" si="78"/>
        <v>0</v>
      </c>
      <c r="I361" s="95">
        <f t="shared" si="78"/>
        <v>0</v>
      </c>
      <c r="J361" s="95">
        <f t="shared" si="78"/>
        <v>0</v>
      </c>
      <c r="K361" s="95">
        <f t="shared" si="78"/>
        <v>0</v>
      </c>
      <c r="L361" s="95">
        <f t="shared" si="78"/>
        <v>0</v>
      </c>
      <c r="M361" s="95">
        <f t="shared" si="78"/>
        <v>0</v>
      </c>
    </row>
    <row r="362" spans="1:13" ht="12.75">
      <c r="A362" s="94" t="s">
        <v>190</v>
      </c>
      <c r="B362" s="94" t="s">
        <v>59</v>
      </c>
      <c r="C362" s="95">
        <f aca="true" t="shared" si="79" ref="C362:M362">+C271-C180</f>
        <v>0</v>
      </c>
      <c r="D362" s="95">
        <f t="shared" si="79"/>
        <v>0</v>
      </c>
      <c r="E362" s="95">
        <f t="shared" si="79"/>
        <v>0</v>
      </c>
      <c r="F362" s="95">
        <f t="shared" si="79"/>
        <v>0</v>
      </c>
      <c r="G362" s="95">
        <f t="shared" si="79"/>
        <v>0</v>
      </c>
      <c r="H362" s="95">
        <f t="shared" si="79"/>
        <v>0</v>
      </c>
      <c r="I362" s="95">
        <f t="shared" si="79"/>
        <v>0</v>
      </c>
      <c r="J362" s="95">
        <f t="shared" si="79"/>
        <v>0</v>
      </c>
      <c r="K362" s="95">
        <f t="shared" si="79"/>
        <v>0</v>
      </c>
      <c r="L362" s="95">
        <f t="shared" si="79"/>
        <v>0</v>
      </c>
      <c r="M362" s="95">
        <f t="shared" si="79"/>
        <v>0</v>
      </c>
    </row>
    <row r="363" spans="1:13" ht="12.75" hidden="1">
      <c r="A363" s="94" t="s">
        <v>166</v>
      </c>
      <c r="B363" s="97" t="s">
        <v>167</v>
      </c>
      <c r="C363" s="95">
        <f>+C272-C181</f>
        <v>0</v>
      </c>
      <c r="D363" s="95">
        <f aca="true" t="shared" si="80" ref="D363:M363">+D272-D181</f>
        <v>0</v>
      </c>
      <c r="E363" s="95">
        <f t="shared" si="80"/>
        <v>0</v>
      </c>
      <c r="F363" s="95">
        <f t="shared" si="80"/>
        <v>0</v>
      </c>
      <c r="G363" s="95">
        <f t="shared" si="80"/>
        <v>0</v>
      </c>
      <c r="H363" s="95">
        <f t="shared" si="80"/>
        <v>0</v>
      </c>
      <c r="I363" s="95">
        <f t="shared" si="80"/>
        <v>0</v>
      </c>
      <c r="J363" s="95">
        <f>+J272-J181</f>
        <v>0</v>
      </c>
      <c r="K363" s="95">
        <f t="shared" si="80"/>
        <v>0</v>
      </c>
      <c r="L363" s="95">
        <f t="shared" si="80"/>
        <v>0</v>
      </c>
      <c r="M363" s="95">
        <f t="shared" si="80"/>
        <v>0</v>
      </c>
    </row>
    <row r="364" spans="1:13" ht="12.75" hidden="1">
      <c r="A364" s="94" t="s">
        <v>166</v>
      </c>
      <c r="B364" s="94" t="s">
        <v>167</v>
      </c>
      <c r="C364" s="95">
        <f aca="true" t="shared" si="81" ref="C364:M364">+C273-C182</f>
        <v>0</v>
      </c>
      <c r="D364" s="95">
        <f t="shared" si="81"/>
        <v>0</v>
      </c>
      <c r="E364" s="95">
        <f>+E273-E182</f>
        <v>0</v>
      </c>
      <c r="F364" s="95">
        <f t="shared" si="81"/>
        <v>0</v>
      </c>
      <c r="G364" s="95">
        <f t="shared" si="81"/>
        <v>0</v>
      </c>
      <c r="H364" s="95">
        <f t="shared" si="81"/>
        <v>0</v>
      </c>
      <c r="I364" s="95">
        <f t="shared" si="81"/>
        <v>0</v>
      </c>
      <c r="J364" s="95">
        <f t="shared" si="81"/>
        <v>0</v>
      </c>
      <c r="K364" s="95">
        <f t="shared" si="81"/>
        <v>0</v>
      </c>
      <c r="L364" s="95">
        <f t="shared" si="81"/>
        <v>0</v>
      </c>
      <c r="M364" s="95">
        <f t="shared" si="81"/>
        <v>0</v>
      </c>
    </row>
    <row r="365" spans="1:13" ht="12.75" hidden="1">
      <c r="A365" s="94" t="s">
        <v>166</v>
      </c>
      <c r="B365" s="94" t="s">
        <v>167</v>
      </c>
      <c r="C365" s="95">
        <f aca="true" t="shared" si="82" ref="C365:L365">+C274-C183</f>
        <v>0</v>
      </c>
      <c r="D365" s="95">
        <f t="shared" si="82"/>
        <v>0</v>
      </c>
      <c r="E365" s="95">
        <f t="shared" si="82"/>
        <v>0</v>
      </c>
      <c r="F365" s="95">
        <f t="shared" si="82"/>
        <v>0</v>
      </c>
      <c r="G365" s="95">
        <f t="shared" si="82"/>
        <v>0</v>
      </c>
      <c r="H365" s="95">
        <f t="shared" si="82"/>
        <v>0</v>
      </c>
      <c r="I365" s="95">
        <f t="shared" si="82"/>
        <v>0</v>
      </c>
      <c r="J365" s="95">
        <f t="shared" si="82"/>
        <v>0</v>
      </c>
      <c r="K365" s="95">
        <f t="shared" si="82"/>
        <v>0</v>
      </c>
      <c r="L365" s="95">
        <f t="shared" si="82"/>
        <v>0</v>
      </c>
      <c r="M365" s="95">
        <f>+M274-M183</f>
        <v>0</v>
      </c>
    </row>
    <row r="366" spans="1:13" ht="12.75">
      <c r="A366" s="94" t="s">
        <v>191</v>
      </c>
      <c r="B366" s="94" t="s">
        <v>82</v>
      </c>
      <c r="C366" s="95">
        <f aca="true" t="shared" si="83" ref="C366:M366">+C275-C184</f>
        <v>-0.0004866468037586953</v>
      </c>
      <c r="D366" s="95">
        <f t="shared" si="83"/>
        <v>-0.0007440859340956951</v>
      </c>
      <c r="E366" s="95">
        <f t="shared" si="83"/>
        <v>-6.641237063652328E-05</v>
      </c>
      <c r="F366" s="95">
        <f t="shared" si="83"/>
        <v>0</v>
      </c>
      <c r="G366" s="95">
        <f t="shared" si="83"/>
        <v>0.0005335623661500283</v>
      </c>
      <c r="H366" s="95">
        <f t="shared" si="83"/>
        <v>0.0003773879743700359</v>
      </c>
      <c r="I366" s="95">
        <f t="shared" si="83"/>
        <v>0.00013091483966681805</v>
      </c>
      <c r="J366" s="95">
        <f t="shared" si="83"/>
        <v>0.00019980448297802697</v>
      </c>
      <c r="K366" s="95">
        <f t="shared" si="83"/>
        <v>5.547544532586747E-05</v>
      </c>
      <c r="L366" s="95">
        <f t="shared" si="83"/>
        <v>0</v>
      </c>
      <c r="M366" s="95">
        <f t="shared" si="83"/>
        <v>0</v>
      </c>
    </row>
    <row r="367" spans="1:13" ht="12.75">
      <c r="A367" s="94" t="s">
        <v>192</v>
      </c>
      <c r="B367" s="94" t="s">
        <v>83</v>
      </c>
      <c r="C367" s="95">
        <f aca="true" t="shared" si="84" ref="C367:M367">+C276-C185</f>
        <v>-0.00011574325798152305</v>
      </c>
      <c r="D367" s="95">
        <f t="shared" si="84"/>
        <v>-0.00021702535514456223</v>
      </c>
      <c r="E367" s="95">
        <f t="shared" si="84"/>
        <v>3.311817820748908E-05</v>
      </c>
      <c r="F367" s="95">
        <f t="shared" si="84"/>
        <v>0</v>
      </c>
      <c r="G367" s="95">
        <f t="shared" si="84"/>
        <v>0.0002199406125560771</v>
      </c>
      <c r="H367" s="95">
        <f t="shared" si="84"/>
        <v>-5.292390635347477E-05</v>
      </c>
      <c r="I367" s="95">
        <f t="shared" si="84"/>
        <v>2.7590030636709395E-05</v>
      </c>
      <c r="J367" s="95">
        <f t="shared" si="84"/>
        <v>8.39356491838597E-05</v>
      </c>
      <c r="K367" s="95">
        <f t="shared" si="84"/>
        <v>2.1108048895413477E-05</v>
      </c>
      <c r="L367" s="95">
        <f t="shared" si="84"/>
        <v>0</v>
      </c>
      <c r="M367" s="95">
        <f t="shared" si="84"/>
        <v>0</v>
      </c>
    </row>
    <row r="368" spans="1:13" ht="12.75">
      <c r="A368" s="94" t="s">
        <v>193</v>
      </c>
      <c r="B368" s="94" t="s">
        <v>84</v>
      </c>
      <c r="C368" s="95">
        <f aca="true" t="shared" si="85" ref="C368:M368">+C277-C186</f>
        <v>0</v>
      </c>
      <c r="D368" s="95">
        <f t="shared" si="85"/>
        <v>0</v>
      </c>
      <c r="E368" s="95">
        <f t="shared" si="85"/>
        <v>0</v>
      </c>
      <c r="F368" s="95">
        <f t="shared" si="85"/>
        <v>0</v>
      </c>
      <c r="G368" s="95">
        <f t="shared" si="85"/>
        <v>0</v>
      </c>
      <c r="H368" s="95">
        <f t="shared" si="85"/>
        <v>0</v>
      </c>
      <c r="I368" s="95">
        <f t="shared" si="85"/>
        <v>0</v>
      </c>
      <c r="J368" s="95">
        <f t="shared" si="85"/>
        <v>0</v>
      </c>
      <c r="K368" s="95">
        <f t="shared" si="85"/>
        <v>0</v>
      </c>
      <c r="L368" s="95">
        <f t="shared" si="85"/>
        <v>0</v>
      </c>
      <c r="M368" s="95">
        <f t="shared" si="85"/>
        <v>0</v>
      </c>
    </row>
    <row r="371" ht="12.75">
      <c r="F371" s="102" t="s">
        <v>515</v>
      </c>
    </row>
  </sheetData>
  <sheetProtection/>
  <printOptions horizontalCentered="1"/>
  <pageMargins left="0" right="0" top="0.75" bottom="0.75" header="0.5" footer="0.5"/>
  <pageSetup fitToHeight="19" horizontalDpi="600" verticalDpi="600" orientation="landscape" scale="60" r:id="rId1"/>
  <rowBreaks count="3" manualBreakCount="3">
    <brk id="98" max="12" man="1"/>
    <brk id="189" max="255" man="1"/>
    <brk id="2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N67"/>
  <sheetViews>
    <sheetView zoomScalePageLayoutView="0" workbookViewId="0" topLeftCell="A52">
      <selection activeCell="B4" sqref="B4"/>
    </sheetView>
  </sheetViews>
  <sheetFormatPr defaultColWidth="10.00390625" defaultRowHeight="12.75"/>
  <cols>
    <col min="1" max="1" width="2.57421875" style="2" customWidth="1"/>
    <col min="2" max="2" width="8.421875" style="2" customWidth="1"/>
    <col min="3" max="3" width="25.57421875" style="2" customWidth="1"/>
    <col min="4" max="4" width="9.7109375" style="2" customWidth="1"/>
    <col min="5" max="5" width="5.140625" style="2" hidden="1" customWidth="1"/>
    <col min="6" max="6" width="4.7109375" style="2" customWidth="1"/>
    <col min="7" max="7" width="14.421875" style="2" customWidth="1"/>
    <col min="8" max="8" width="8.421875" style="2" bestFit="1" customWidth="1"/>
    <col min="9" max="9" width="10.28125" style="2" customWidth="1"/>
    <col min="10" max="10" width="13.00390625" style="2" customWidth="1"/>
    <col min="11" max="11" width="8.28125" style="2" customWidth="1"/>
    <col min="12" max="16384" width="10.00390625" style="2" customWidth="1"/>
  </cols>
  <sheetData>
    <row r="1" spans="2:11" ht="12.75">
      <c r="B1" s="179" t="s">
        <v>13</v>
      </c>
      <c r="D1" s="3"/>
      <c r="E1" s="3"/>
      <c r="F1" s="3"/>
      <c r="G1" s="3"/>
      <c r="H1" s="3"/>
      <c r="I1" s="3"/>
      <c r="J1" s="3"/>
      <c r="K1" s="4" t="s">
        <v>326</v>
      </c>
    </row>
    <row r="2" spans="2:11" ht="12.75">
      <c r="B2" s="180" t="s">
        <v>430</v>
      </c>
      <c r="D2" s="3"/>
      <c r="E2" s="3"/>
      <c r="F2" s="3"/>
      <c r="G2" s="3"/>
      <c r="H2" s="3"/>
      <c r="I2" s="3"/>
      <c r="J2" s="3"/>
      <c r="K2" s="4"/>
    </row>
    <row r="3" spans="2:11" ht="12.75">
      <c r="B3" s="180" t="s">
        <v>335</v>
      </c>
      <c r="D3" s="3"/>
      <c r="E3" s="3"/>
      <c r="F3" s="3"/>
      <c r="G3" s="3"/>
      <c r="H3" s="3"/>
      <c r="I3" s="3"/>
      <c r="J3" s="3"/>
      <c r="K3" s="4"/>
    </row>
    <row r="4" spans="2:11" ht="12">
      <c r="B4" s="121"/>
      <c r="D4" s="3"/>
      <c r="E4" s="3"/>
      <c r="F4" s="3"/>
      <c r="G4" s="3"/>
      <c r="H4" s="3"/>
      <c r="I4" s="3"/>
      <c r="J4" s="3"/>
      <c r="K4" s="4"/>
    </row>
    <row r="5" spans="4:11" ht="12">
      <c r="D5" s="3"/>
      <c r="E5" s="3"/>
      <c r="F5" s="3"/>
      <c r="G5" s="3" t="s">
        <v>14</v>
      </c>
      <c r="H5" s="3"/>
      <c r="I5" s="3"/>
      <c r="J5" s="3" t="s">
        <v>196</v>
      </c>
      <c r="K5" s="4"/>
    </row>
    <row r="6" spans="4:11" ht="12">
      <c r="D6" s="6" t="s">
        <v>15</v>
      </c>
      <c r="E6" s="6"/>
      <c r="F6" s="6" t="s">
        <v>7</v>
      </c>
      <c r="G6" s="6" t="s">
        <v>16</v>
      </c>
      <c r="H6" s="6" t="s">
        <v>17</v>
      </c>
      <c r="I6" s="6" t="s">
        <v>18</v>
      </c>
      <c r="J6" s="6" t="s">
        <v>19</v>
      </c>
      <c r="K6" s="7" t="s">
        <v>20</v>
      </c>
    </row>
    <row r="7" spans="2:11" ht="12">
      <c r="B7" s="5" t="s">
        <v>202</v>
      </c>
      <c r="D7" s="6"/>
      <c r="E7" s="6"/>
      <c r="F7" s="6"/>
      <c r="G7" s="6"/>
      <c r="H7" s="6"/>
      <c r="I7" s="6"/>
      <c r="J7" s="6"/>
      <c r="K7" s="7"/>
    </row>
    <row r="8" spans="1:13" ht="12">
      <c r="A8" s="8"/>
      <c r="B8" s="122" t="s">
        <v>322</v>
      </c>
      <c r="C8" s="8"/>
      <c r="D8" s="9">
        <v>355</v>
      </c>
      <c r="E8" s="9" t="str">
        <f>D8&amp;H8</f>
        <v>355SG</v>
      </c>
      <c r="F8" s="9">
        <v>3</v>
      </c>
      <c r="G8" s="40">
        <f>'Transmission - Detail'!S23</f>
        <v>548138000.7688024</v>
      </c>
      <c r="H8" s="123" t="s">
        <v>4</v>
      </c>
      <c r="I8" s="42">
        <v>0.4113042590825348</v>
      </c>
      <c r="J8" s="124">
        <f>+G8*I8</f>
        <v>225451494.28119418</v>
      </c>
      <c r="K8" s="10">
        <v>2.2</v>
      </c>
      <c r="L8" s="125"/>
      <c r="M8" s="126"/>
    </row>
    <row r="9" spans="1:13" ht="12">
      <c r="A9" s="8"/>
      <c r="B9" s="122" t="s">
        <v>323</v>
      </c>
      <c r="C9" s="8"/>
      <c r="D9" s="9" t="s">
        <v>85</v>
      </c>
      <c r="E9" s="9" t="str">
        <f>D9&amp;H9</f>
        <v>108TPSG</v>
      </c>
      <c r="F9" s="9">
        <v>3</v>
      </c>
      <c r="G9" s="40">
        <f>'Transmission - Detail'!S35</f>
        <v>-7054646.724880416</v>
      </c>
      <c r="H9" s="123" t="s">
        <v>4</v>
      </c>
      <c r="I9" s="42">
        <f>+I8</f>
        <v>0.4113042590825348</v>
      </c>
      <c r="J9" s="124">
        <f>+G9*I9</f>
        <v>-2901606.2442659703</v>
      </c>
      <c r="K9" s="10">
        <v>2.2</v>
      </c>
      <c r="L9" s="125"/>
      <c r="M9" s="126"/>
    </row>
    <row r="10" spans="1:13" ht="12">
      <c r="A10" s="8"/>
      <c r="B10" s="122" t="s">
        <v>214</v>
      </c>
      <c r="C10" s="8"/>
      <c r="D10" s="9" t="s">
        <v>85</v>
      </c>
      <c r="E10" s="9" t="str">
        <f>D10&amp;H10</f>
        <v>108TPSG</v>
      </c>
      <c r="F10" s="9">
        <v>3</v>
      </c>
      <c r="G10" s="40">
        <v>476689</v>
      </c>
      <c r="H10" s="123" t="s">
        <v>4</v>
      </c>
      <c r="I10" s="42">
        <f>+I8</f>
        <v>0.4113042590825348</v>
      </c>
      <c r="J10" s="124">
        <f>+G10*I10</f>
        <v>196064.21595779443</v>
      </c>
      <c r="K10" s="10"/>
      <c r="L10" s="125"/>
      <c r="M10" s="126"/>
    </row>
    <row r="11" spans="1:13" ht="12">
      <c r="A11" s="8"/>
      <c r="B11" s="38"/>
      <c r="C11" s="34"/>
      <c r="D11" s="13"/>
      <c r="E11" s="9" t="s">
        <v>0</v>
      </c>
      <c r="F11" s="13"/>
      <c r="G11" s="127">
        <f>SUM(G8:G10)</f>
        <v>541560043.043922</v>
      </c>
      <c r="H11" s="41"/>
      <c r="I11" s="42"/>
      <c r="J11" s="128">
        <f>SUM(J8:J10)</f>
        <v>222745952.252886</v>
      </c>
      <c r="K11" s="15"/>
      <c r="L11" s="129"/>
      <c r="M11" s="120"/>
    </row>
    <row r="12" spans="1:13" ht="12">
      <c r="A12" s="8"/>
      <c r="B12" s="122"/>
      <c r="C12" s="8"/>
      <c r="D12" s="9"/>
      <c r="E12" s="9" t="s">
        <v>0</v>
      </c>
      <c r="F12" s="9"/>
      <c r="G12" s="40"/>
      <c r="H12" s="123"/>
      <c r="I12" s="42"/>
      <c r="J12" s="124"/>
      <c r="K12" s="10"/>
      <c r="L12" s="130"/>
      <c r="M12" s="120"/>
    </row>
    <row r="13" spans="1:13" ht="12">
      <c r="A13" s="8"/>
      <c r="B13" s="122" t="s">
        <v>324</v>
      </c>
      <c r="C13" s="8"/>
      <c r="D13" s="9" t="s">
        <v>86</v>
      </c>
      <c r="E13" s="9" t="str">
        <f>D13&amp;H13</f>
        <v>403TPSG</v>
      </c>
      <c r="F13" s="9">
        <v>3</v>
      </c>
      <c r="G13" s="40">
        <f>'Transmission - Detail'!S29</f>
        <v>10921814.384482654</v>
      </c>
      <c r="H13" s="123" t="s">
        <v>4</v>
      </c>
      <c r="I13" s="42">
        <f>+I8</f>
        <v>0.4113042590825348</v>
      </c>
      <c r="J13" s="124">
        <f>+G13*I13</f>
        <v>4492188.773246609</v>
      </c>
      <c r="K13" s="10">
        <v>2.2</v>
      </c>
      <c r="L13" s="130"/>
      <c r="M13" s="120"/>
    </row>
    <row r="14" spans="1:13" ht="12">
      <c r="A14" s="8"/>
      <c r="B14" s="122"/>
      <c r="C14" s="8"/>
      <c r="D14" s="9"/>
      <c r="E14" s="9" t="s">
        <v>0</v>
      </c>
      <c r="F14" s="9"/>
      <c r="G14" s="40"/>
      <c r="H14" s="123"/>
      <c r="I14" s="42"/>
      <c r="J14" s="124"/>
      <c r="K14" s="10"/>
      <c r="L14" s="130"/>
      <c r="M14" s="120"/>
    </row>
    <row r="15" spans="1:13" ht="12">
      <c r="A15" s="8"/>
      <c r="K15" s="10"/>
      <c r="L15" s="130"/>
      <c r="M15" s="126"/>
    </row>
    <row r="16" spans="1:12" ht="12">
      <c r="A16" s="8"/>
      <c r="B16" s="33" t="s">
        <v>356</v>
      </c>
      <c r="C16" s="8"/>
      <c r="D16" s="9"/>
      <c r="E16" s="9" t="s">
        <v>0</v>
      </c>
      <c r="F16" s="9"/>
      <c r="G16" s="13"/>
      <c r="H16" s="9"/>
      <c r="I16" s="13"/>
      <c r="J16" s="131"/>
      <c r="K16" s="10"/>
      <c r="L16" s="8"/>
    </row>
    <row r="17" spans="1:12" ht="12">
      <c r="A17" s="8"/>
      <c r="B17" s="122" t="s">
        <v>357</v>
      </c>
      <c r="C17" s="8"/>
      <c r="D17" s="9">
        <v>571</v>
      </c>
      <c r="E17" s="9" t="str">
        <f>D17&amp;H17</f>
        <v>571SG</v>
      </c>
      <c r="F17" s="9">
        <v>3</v>
      </c>
      <c r="G17" s="40">
        <f>'Transmission - O&amp;M'!B12</f>
        <v>140000</v>
      </c>
      <c r="H17" s="123" t="s">
        <v>4</v>
      </c>
      <c r="I17" s="42">
        <f>+I8</f>
        <v>0.4113042590825348</v>
      </c>
      <c r="J17" s="124">
        <f>+G17*I17</f>
        <v>57582.596271554874</v>
      </c>
      <c r="K17" s="10">
        <v>2.3</v>
      </c>
      <c r="L17" s="8"/>
    </row>
    <row r="18" spans="1:12" ht="12">
      <c r="A18" s="8"/>
      <c r="K18" s="10"/>
      <c r="L18" s="8"/>
    </row>
    <row r="19" spans="1:12" ht="12">
      <c r="A19" s="8"/>
      <c r="B19" s="16" t="s">
        <v>320</v>
      </c>
      <c r="C19" s="34"/>
      <c r="D19" s="13"/>
      <c r="E19" s="9" t="s">
        <v>0</v>
      </c>
      <c r="F19" s="40"/>
      <c r="G19" s="41"/>
      <c r="H19" s="42"/>
      <c r="I19" s="37"/>
      <c r="J19" s="15"/>
      <c r="L19" s="8"/>
    </row>
    <row r="20" spans="1:12" ht="12">
      <c r="A20" s="8"/>
      <c r="B20" s="12" t="s">
        <v>207</v>
      </c>
      <c r="C20" s="34"/>
      <c r="D20" s="13">
        <v>447</v>
      </c>
      <c r="E20" s="9" t="str">
        <f aca="true" t="shared" si="0" ref="E20:E27">D20&amp;H20</f>
        <v>447SG</v>
      </c>
      <c r="F20" s="13">
        <v>3</v>
      </c>
      <c r="G20" s="40">
        <v>-1406683.5099999905</v>
      </c>
      <c r="H20" s="41" t="s">
        <v>4</v>
      </c>
      <c r="I20" s="42">
        <f>+I8</f>
        <v>0.4113042590825348</v>
      </c>
      <c r="J20" s="37">
        <f aca="true" t="shared" si="1" ref="J20:J27">+G20*I20</f>
        <v>-578574.9188441655</v>
      </c>
      <c r="K20" s="10">
        <v>2.5</v>
      </c>
      <c r="L20" s="8"/>
    </row>
    <row r="21" spans="1:12" ht="12">
      <c r="A21" s="8"/>
      <c r="B21" s="12" t="s">
        <v>208</v>
      </c>
      <c r="C21" s="34"/>
      <c r="D21" s="13">
        <v>555</v>
      </c>
      <c r="E21" s="9" t="str">
        <f t="shared" si="0"/>
        <v>555SG</v>
      </c>
      <c r="F21" s="13">
        <v>3</v>
      </c>
      <c r="G21" s="40">
        <v>819319.9099999666</v>
      </c>
      <c r="H21" s="41" t="s">
        <v>4</v>
      </c>
      <c r="I21" s="42">
        <f>+I8</f>
        <v>0.4113042590825348</v>
      </c>
      <c r="J21" s="37">
        <f t="shared" si="1"/>
        <v>336989.7685341054</v>
      </c>
      <c r="K21" s="10">
        <v>2.5</v>
      </c>
      <c r="L21" s="8"/>
    </row>
    <row r="22" spans="1:11" ht="12">
      <c r="A22" s="8"/>
      <c r="B22" s="12" t="s">
        <v>206</v>
      </c>
      <c r="C22" s="34"/>
      <c r="D22" s="13">
        <v>565</v>
      </c>
      <c r="E22" s="9" t="str">
        <f t="shared" si="0"/>
        <v>565SE</v>
      </c>
      <c r="F22" s="13">
        <v>3</v>
      </c>
      <c r="G22" s="40">
        <v>28267.26000000001</v>
      </c>
      <c r="H22" s="41" t="s">
        <v>27</v>
      </c>
      <c r="I22" s="42">
        <v>0.4100070689105177</v>
      </c>
      <c r="J22" s="37">
        <f t="shared" si="1"/>
        <v>11589.776418731524</v>
      </c>
      <c r="K22" s="10">
        <v>2.5</v>
      </c>
    </row>
    <row r="23" spans="1:14" ht="12">
      <c r="A23" s="8"/>
      <c r="B23" s="12" t="s">
        <v>209</v>
      </c>
      <c r="C23" s="34"/>
      <c r="D23" s="13">
        <v>501</v>
      </c>
      <c r="E23" s="9" t="str">
        <f t="shared" si="0"/>
        <v>501SE</v>
      </c>
      <c r="F23" s="13">
        <v>3</v>
      </c>
      <c r="G23" s="40">
        <v>-81930.94000005722</v>
      </c>
      <c r="H23" s="41" t="s">
        <v>27</v>
      </c>
      <c r="I23" s="42">
        <f>+I22</f>
        <v>0.4100070689105177</v>
      </c>
      <c r="J23" s="37">
        <f t="shared" si="1"/>
        <v>-33592.26456250695</v>
      </c>
      <c r="K23" s="10">
        <v>2.5</v>
      </c>
      <c r="M23" s="14"/>
      <c r="N23" s="14"/>
    </row>
    <row r="24" spans="1:14" ht="12">
      <c r="A24" s="8"/>
      <c r="B24" s="12" t="s">
        <v>210</v>
      </c>
      <c r="C24" s="34"/>
      <c r="D24" s="13">
        <v>501</v>
      </c>
      <c r="E24" s="9" t="str">
        <f t="shared" si="0"/>
        <v>501SE</v>
      </c>
      <c r="F24" s="13">
        <v>3</v>
      </c>
      <c r="G24" s="40">
        <v>-484622.32072285935</v>
      </c>
      <c r="H24" s="41" t="s">
        <v>27</v>
      </c>
      <c r="I24" s="42">
        <f>+I22</f>
        <v>0.4100070689105177</v>
      </c>
      <c r="J24" s="37">
        <f t="shared" si="1"/>
        <v>-198698.5772481924</v>
      </c>
      <c r="K24" s="10">
        <v>2.5</v>
      </c>
      <c r="M24" s="14"/>
      <c r="N24" s="14"/>
    </row>
    <row r="25" spans="1:14" ht="12">
      <c r="A25" s="8"/>
      <c r="B25" s="12" t="s">
        <v>211</v>
      </c>
      <c r="C25" s="34"/>
      <c r="D25" s="13">
        <v>547</v>
      </c>
      <c r="E25" s="9" t="str">
        <f t="shared" si="0"/>
        <v>547SE</v>
      </c>
      <c r="F25" s="13">
        <v>3</v>
      </c>
      <c r="G25" s="40">
        <v>-2680417.585747361</v>
      </c>
      <c r="H25" s="41" t="s">
        <v>27</v>
      </c>
      <c r="I25" s="42">
        <f>+I22</f>
        <v>0.4100070689105177</v>
      </c>
      <c r="J25" s="37">
        <f t="shared" si="1"/>
        <v>-1098990.1577884818</v>
      </c>
      <c r="K25" s="10">
        <v>2.5</v>
      </c>
      <c r="M25" s="14"/>
      <c r="N25" s="14"/>
    </row>
    <row r="26" spans="1:14" ht="12">
      <c r="A26" s="8"/>
      <c r="B26" s="12" t="s">
        <v>212</v>
      </c>
      <c r="C26" s="34"/>
      <c r="D26" s="13">
        <v>547</v>
      </c>
      <c r="E26" s="9" t="str">
        <f t="shared" si="0"/>
        <v>547SE</v>
      </c>
      <c r="F26" s="13">
        <v>3</v>
      </c>
      <c r="G26" s="40">
        <v>-342255.3354512658</v>
      </c>
      <c r="H26" s="41" t="s">
        <v>27</v>
      </c>
      <c r="I26" s="42">
        <f>+I22</f>
        <v>0.4100070689105177</v>
      </c>
      <c r="J26" s="37">
        <f t="shared" si="1"/>
        <v>-140327.10690735947</v>
      </c>
      <c r="K26" s="10">
        <v>2.5</v>
      </c>
      <c r="M26" s="14"/>
      <c r="N26" s="14"/>
    </row>
    <row r="27" spans="1:14" ht="12">
      <c r="A27" s="8"/>
      <c r="B27" s="12" t="s">
        <v>213</v>
      </c>
      <c r="C27" s="34"/>
      <c r="D27" s="13">
        <v>501</v>
      </c>
      <c r="E27" s="9" t="str">
        <f t="shared" si="0"/>
        <v>501SE</v>
      </c>
      <c r="F27" s="13">
        <v>3</v>
      </c>
      <c r="G27" s="40">
        <v>-39178.70000000298</v>
      </c>
      <c r="H27" s="41" t="s">
        <v>27</v>
      </c>
      <c r="I27" s="42">
        <f>+I22</f>
        <v>0.4100070689105177</v>
      </c>
      <c r="J27" s="37">
        <f t="shared" si="1"/>
        <v>-16063.543950725722</v>
      </c>
      <c r="K27" s="10">
        <v>2.5</v>
      </c>
      <c r="M27" s="14"/>
      <c r="N27" s="14"/>
    </row>
    <row r="28" spans="1:14" ht="12">
      <c r="A28" s="8"/>
      <c r="E28" s="9" t="s">
        <v>0</v>
      </c>
      <c r="G28" s="80">
        <f>SUM(G21:G27)-G20</f>
        <v>-1374134.2019215897</v>
      </c>
      <c r="H28" s="39"/>
      <c r="I28" s="39"/>
      <c r="J28" s="80">
        <f>SUM(J21:J27)-J20</f>
        <v>-560517.1866602639</v>
      </c>
      <c r="K28" s="9"/>
      <c r="M28" s="14"/>
      <c r="N28" s="14"/>
    </row>
    <row r="29" spans="1:14" ht="12">
      <c r="A29" s="8"/>
      <c r="B29" s="38"/>
      <c r="C29" s="34"/>
      <c r="D29" s="13"/>
      <c r="E29" s="13"/>
      <c r="F29" s="13"/>
      <c r="G29" s="40"/>
      <c r="H29" s="41"/>
      <c r="I29" s="42"/>
      <c r="J29" s="37"/>
      <c r="K29" s="13"/>
      <c r="M29" s="14"/>
      <c r="N29" s="14"/>
    </row>
    <row r="30" spans="1:11" ht="12">
      <c r="A30" s="8"/>
      <c r="B30" s="38"/>
      <c r="C30" s="34"/>
      <c r="D30" s="13"/>
      <c r="E30" s="13"/>
      <c r="F30" s="13"/>
      <c r="G30" s="40"/>
      <c r="H30" s="41"/>
      <c r="I30" s="42"/>
      <c r="J30" s="37"/>
      <c r="K30" s="13"/>
    </row>
    <row r="31" spans="1:13" ht="12">
      <c r="A31" s="8"/>
      <c r="B31" s="33" t="s">
        <v>358</v>
      </c>
      <c r="K31" s="13"/>
      <c r="L31" s="8"/>
      <c r="M31" s="8"/>
    </row>
    <row r="32" spans="2:13" ht="12">
      <c r="B32" s="2" t="s">
        <v>359</v>
      </c>
      <c r="D32" s="3">
        <v>456</v>
      </c>
      <c r="E32" s="9" t="str">
        <f>D32&amp;H32</f>
        <v>456SG</v>
      </c>
      <c r="F32" s="3">
        <v>3</v>
      </c>
      <c r="G32" s="132">
        <v>101000</v>
      </c>
      <c r="H32" s="123" t="s">
        <v>4</v>
      </c>
      <c r="I32" s="42">
        <f>+I8</f>
        <v>0.4113042590825348</v>
      </c>
      <c r="J32" s="124">
        <f>+G32*I32</f>
        <v>41541.73016733602</v>
      </c>
      <c r="K32" s="8"/>
      <c r="L32" s="8"/>
      <c r="M32" s="8"/>
    </row>
    <row r="33" spans="11:13" ht="12">
      <c r="K33" s="8"/>
      <c r="L33" s="8"/>
      <c r="M33" s="8"/>
    </row>
    <row r="34" spans="11:13" ht="12">
      <c r="K34" s="8"/>
      <c r="L34" s="8"/>
      <c r="M34" s="8"/>
    </row>
    <row r="35" spans="2:13" ht="12">
      <c r="B35" s="33" t="s">
        <v>360</v>
      </c>
      <c r="C35" s="8"/>
      <c r="D35" s="9"/>
      <c r="E35" s="9" t="s">
        <v>0</v>
      </c>
      <c r="F35" s="9"/>
      <c r="G35" s="40"/>
      <c r="H35" s="123"/>
      <c r="I35" s="42"/>
      <c r="J35" s="124"/>
      <c r="K35" s="15"/>
      <c r="L35" s="8"/>
      <c r="M35" s="8"/>
    </row>
    <row r="36" spans="2:13" ht="12">
      <c r="B36" s="133" t="s">
        <v>205</v>
      </c>
      <c r="C36" s="8"/>
      <c r="D36" s="9">
        <v>408</v>
      </c>
      <c r="E36" s="9" t="str">
        <f>D36&amp;H36</f>
        <v>408GPS</v>
      </c>
      <c r="F36" s="9">
        <v>3</v>
      </c>
      <c r="G36" s="40">
        <f>'Transmission - Property Tax '!D35</f>
        <v>4340000</v>
      </c>
      <c r="H36" s="41" t="s">
        <v>38</v>
      </c>
      <c r="I36" s="42">
        <v>0.41410923987646</v>
      </c>
      <c r="J36" s="37">
        <f>+G36*I36</f>
        <v>1797234.1010638364</v>
      </c>
      <c r="K36" s="15">
        <v>2.4</v>
      </c>
      <c r="L36" s="8"/>
      <c r="M36" s="8"/>
    </row>
    <row r="37" spans="1:13" ht="12">
      <c r="A37" s="8"/>
      <c r="B37" s="122"/>
      <c r="C37" s="8"/>
      <c r="D37" s="9"/>
      <c r="E37" s="9" t="s">
        <v>0</v>
      </c>
      <c r="F37" s="9"/>
      <c r="G37" s="40"/>
      <c r="H37" s="41"/>
      <c r="I37" s="134" t="s">
        <v>0</v>
      </c>
      <c r="J37" s="34"/>
      <c r="K37" s="15"/>
      <c r="L37" s="8"/>
      <c r="M37" s="8"/>
    </row>
    <row r="38" spans="1:13" ht="12">
      <c r="A38" s="8"/>
      <c r="B38" s="133" t="s">
        <v>361</v>
      </c>
      <c r="C38" s="8"/>
      <c r="D38" s="9"/>
      <c r="E38" s="9" t="s">
        <v>0</v>
      </c>
      <c r="F38" s="9"/>
      <c r="G38" s="40"/>
      <c r="H38" s="123"/>
      <c r="I38" s="42"/>
      <c r="J38" s="37"/>
      <c r="K38" s="15"/>
      <c r="L38" s="8"/>
      <c r="M38" s="8"/>
    </row>
    <row r="39" spans="1:13" ht="12">
      <c r="A39" s="8"/>
      <c r="B39" s="122" t="s">
        <v>215</v>
      </c>
      <c r="C39" s="8"/>
      <c r="D39" s="9" t="s">
        <v>87</v>
      </c>
      <c r="E39" s="9" t="str">
        <f>D39&amp;H39</f>
        <v>SCHMATSG</v>
      </c>
      <c r="F39" s="9">
        <v>3</v>
      </c>
      <c r="G39" s="40">
        <v>10921814.000000002</v>
      </c>
      <c r="H39" s="123" t="s">
        <v>4</v>
      </c>
      <c r="I39" s="42">
        <f>+I8</f>
        <v>0.4113042590825348</v>
      </c>
      <c r="J39" s="37">
        <f>ROUND(I39*G39,0)</f>
        <v>4492189</v>
      </c>
      <c r="K39" s="15"/>
      <c r="L39" s="8"/>
      <c r="M39" s="8"/>
    </row>
    <row r="40" spans="1:13" ht="12">
      <c r="A40" s="8"/>
      <c r="B40" s="122" t="s">
        <v>216</v>
      </c>
      <c r="C40" s="8"/>
      <c r="D40" s="9" t="s">
        <v>88</v>
      </c>
      <c r="E40" s="9" t="str">
        <f>D40&amp;H40</f>
        <v>SCHMDTSG</v>
      </c>
      <c r="F40" s="9">
        <v>3</v>
      </c>
      <c r="G40" s="40">
        <v>47239275.9946528</v>
      </c>
      <c r="H40" s="123" t="s">
        <v>4</v>
      </c>
      <c r="I40" s="42">
        <f>+I8</f>
        <v>0.4113042590825348</v>
      </c>
      <c r="J40" s="37">
        <f>ROUND(I40*G40,0)</f>
        <v>19429715</v>
      </c>
      <c r="K40" s="15"/>
      <c r="L40" s="8"/>
      <c r="M40" s="8"/>
    </row>
    <row r="41" spans="1:13" ht="12">
      <c r="A41" s="8"/>
      <c r="B41" s="122" t="s">
        <v>217</v>
      </c>
      <c r="C41" s="8"/>
      <c r="D41" s="9">
        <v>41010</v>
      </c>
      <c r="E41" s="9" t="str">
        <f>D41&amp;H41</f>
        <v>41010SG</v>
      </c>
      <c r="F41" s="9">
        <v>3</v>
      </c>
      <c r="G41" s="40">
        <v>14009939</v>
      </c>
      <c r="H41" s="123" t="s">
        <v>4</v>
      </c>
      <c r="I41" s="42">
        <f>+I8</f>
        <v>0.4113042590825348</v>
      </c>
      <c r="J41" s="37">
        <f>ROUND(I41*G41,0)</f>
        <v>5762348</v>
      </c>
      <c r="K41" s="15"/>
      <c r="L41" s="8"/>
      <c r="M41" s="8"/>
    </row>
    <row r="42" spans="1:11" ht="12">
      <c r="A42" s="8"/>
      <c r="B42" s="122" t="s">
        <v>218</v>
      </c>
      <c r="C42" s="8"/>
      <c r="D42" s="9">
        <v>282</v>
      </c>
      <c r="E42" s="9" t="str">
        <f>D42&amp;H42</f>
        <v>282SG</v>
      </c>
      <c r="F42" s="9">
        <v>3</v>
      </c>
      <c r="G42" s="40">
        <v>-7472078.5</v>
      </c>
      <c r="H42" s="123" t="s">
        <v>4</v>
      </c>
      <c r="I42" s="42">
        <f>+I8</f>
        <v>0.4113042590825348</v>
      </c>
      <c r="J42" s="37">
        <f>ROUND(I42*G42,0)</f>
        <v>-3073298</v>
      </c>
      <c r="K42" s="10"/>
    </row>
    <row r="43" spans="1:11" ht="12">
      <c r="A43" s="8"/>
      <c r="B43" s="122"/>
      <c r="C43" s="8"/>
      <c r="D43" s="9"/>
      <c r="E43" s="9"/>
      <c r="F43" s="9"/>
      <c r="G43" s="40"/>
      <c r="H43" s="123"/>
      <c r="I43" s="42"/>
      <c r="J43" s="37"/>
      <c r="K43" s="10"/>
    </row>
    <row r="44" spans="1:11" ht="12">
      <c r="A44" s="8"/>
      <c r="B44" s="122" t="s">
        <v>501</v>
      </c>
      <c r="C44" s="8"/>
      <c r="D44" s="9">
        <v>40911</v>
      </c>
      <c r="E44" s="9" t="str">
        <f>D44&amp;H44</f>
        <v>40911SG</v>
      </c>
      <c r="F44" s="9">
        <v>3</v>
      </c>
      <c r="G44" s="40">
        <v>-6126584.36991333</v>
      </c>
      <c r="H44" s="123" t="s">
        <v>4</v>
      </c>
      <c r="I44" s="42">
        <f>+I8</f>
        <v>0.4113042590825348</v>
      </c>
      <c r="J44" s="37">
        <f>ROUND(I44*G44,0)</f>
        <v>-2519890</v>
      </c>
      <c r="K44" s="10"/>
    </row>
    <row r="45" spans="1:11" ht="12">
      <c r="A45" s="8"/>
      <c r="B45" s="122"/>
      <c r="C45" s="8"/>
      <c r="D45" s="9"/>
      <c r="E45" s="9"/>
      <c r="F45" s="9"/>
      <c r="G45" s="40"/>
      <c r="H45" s="123"/>
      <c r="I45" s="42"/>
      <c r="J45" s="37"/>
      <c r="K45" s="10"/>
    </row>
    <row r="46" spans="1:11" ht="12">
      <c r="A46" s="8"/>
      <c r="B46" s="122"/>
      <c r="C46" s="8"/>
      <c r="D46" s="9"/>
      <c r="E46" s="9"/>
      <c r="F46" s="9"/>
      <c r="G46" s="40"/>
      <c r="H46" s="123"/>
      <c r="I46" s="42"/>
      <c r="J46" s="37"/>
      <c r="K46" s="10"/>
    </row>
    <row r="47" spans="1:11" ht="12">
      <c r="A47" s="8"/>
      <c r="B47" s="122"/>
      <c r="C47" s="8"/>
      <c r="D47" s="9"/>
      <c r="E47" s="9"/>
      <c r="F47" s="9"/>
      <c r="G47" s="40"/>
      <c r="H47" s="123"/>
      <c r="I47" s="42"/>
      <c r="J47" s="37"/>
      <c r="K47" s="10"/>
    </row>
    <row r="48" spans="1:11" ht="12">
      <c r="A48" s="8"/>
      <c r="B48" s="122"/>
      <c r="C48" s="8"/>
      <c r="D48" s="9"/>
      <c r="E48" s="9"/>
      <c r="F48" s="9"/>
      <c r="G48" s="40"/>
      <c r="H48" s="123"/>
      <c r="I48" s="42"/>
      <c r="J48" s="37"/>
      <c r="K48" s="10"/>
    </row>
    <row r="49" spans="1:11" ht="12">
      <c r="A49" s="8"/>
      <c r="B49" s="122"/>
      <c r="C49" s="8"/>
      <c r="D49" s="9"/>
      <c r="E49" s="9"/>
      <c r="F49" s="9"/>
      <c r="G49" s="40"/>
      <c r="H49" s="123"/>
      <c r="I49" s="42"/>
      <c r="J49" s="37"/>
      <c r="K49" s="10"/>
    </row>
    <row r="50" spans="1:11" ht="12">
      <c r="A50" s="8"/>
      <c r="B50" s="122"/>
      <c r="C50" s="8"/>
      <c r="D50" s="9"/>
      <c r="E50" s="9"/>
      <c r="F50" s="9"/>
      <c r="G50" s="40"/>
      <c r="H50" s="123"/>
      <c r="I50" s="42"/>
      <c r="J50" s="37"/>
      <c r="K50" s="10"/>
    </row>
    <row r="51" spans="1:11" ht="12">
      <c r="A51" s="8"/>
      <c r="B51" s="122"/>
      <c r="C51" s="8"/>
      <c r="D51" s="9"/>
      <c r="E51" s="9"/>
      <c r="F51" s="9"/>
      <c r="G51" s="40"/>
      <c r="H51" s="123"/>
      <c r="I51" s="42"/>
      <c r="J51" s="37"/>
      <c r="K51" s="10"/>
    </row>
    <row r="52" spans="1:11" ht="12">
      <c r="A52" s="8"/>
      <c r="B52" s="122"/>
      <c r="C52" s="8"/>
      <c r="D52" s="9"/>
      <c r="E52" s="9"/>
      <c r="F52" s="9"/>
      <c r="G52" s="40"/>
      <c r="H52" s="123"/>
      <c r="I52" s="42"/>
      <c r="J52" s="37"/>
      <c r="K52" s="10"/>
    </row>
    <row r="53" spans="1:11" ht="12">
      <c r="A53" s="8"/>
      <c r="B53" s="122"/>
      <c r="C53" s="8"/>
      <c r="D53" s="9"/>
      <c r="E53" s="9"/>
      <c r="F53" s="9"/>
      <c r="G53" s="40"/>
      <c r="H53" s="123"/>
      <c r="I53" s="42"/>
      <c r="J53" s="37"/>
      <c r="K53" s="10"/>
    </row>
    <row r="54" spans="1:11" ht="12">
      <c r="A54" s="8"/>
      <c r="B54" s="122"/>
      <c r="C54" s="8"/>
      <c r="D54" s="9"/>
      <c r="E54" s="9"/>
      <c r="F54" s="9"/>
      <c r="G54" s="40"/>
      <c r="H54" s="123"/>
      <c r="I54" s="42"/>
      <c r="J54" s="37"/>
      <c r="K54" s="10"/>
    </row>
    <row r="55" spans="1:11" ht="12.75" thickBot="1">
      <c r="A55" s="8"/>
      <c r="B55" s="18" t="s">
        <v>28</v>
      </c>
      <c r="C55" s="8"/>
      <c r="D55" s="9"/>
      <c r="E55" s="9"/>
      <c r="F55" s="9"/>
      <c r="G55" s="9"/>
      <c r="H55" s="9"/>
      <c r="I55" s="9"/>
      <c r="J55" s="9"/>
      <c r="K55" s="10"/>
    </row>
    <row r="56" spans="1:11" ht="12">
      <c r="A56" s="19"/>
      <c r="B56" s="20"/>
      <c r="C56" s="21"/>
      <c r="D56" s="22"/>
      <c r="E56" s="22"/>
      <c r="F56" s="22"/>
      <c r="G56" s="22"/>
      <c r="H56" s="22"/>
      <c r="I56" s="22"/>
      <c r="J56" s="22"/>
      <c r="K56" s="23"/>
    </row>
    <row r="57" spans="1:11" ht="12">
      <c r="A57" s="24"/>
      <c r="B57" s="17"/>
      <c r="C57" s="8"/>
      <c r="D57" s="9"/>
      <c r="E57" s="9"/>
      <c r="F57" s="9"/>
      <c r="G57" s="25"/>
      <c r="H57" s="9"/>
      <c r="I57" s="9"/>
      <c r="J57" s="9"/>
      <c r="K57" s="26"/>
    </row>
    <row r="58" spans="1:11" ht="12">
      <c r="A58" s="24"/>
      <c r="B58" s="17"/>
      <c r="C58" s="8"/>
      <c r="D58" s="9"/>
      <c r="E58" s="9"/>
      <c r="F58" s="9"/>
      <c r="G58" s="9"/>
      <c r="H58" s="9"/>
      <c r="I58" s="9"/>
      <c r="J58" s="9"/>
      <c r="K58" s="26"/>
    </row>
    <row r="59" spans="1:11" ht="12">
      <c r="A59" s="24"/>
      <c r="B59" s="17"/>
      <c r="C59" s="8"/>
      <c r="D59" s="9"/>
      <c r="E59" s="9"/>
      <c r="F59" s="9"/>
      <c r="G59" s="9"/>
      <c r="H59" s="9"/>
      <c r="I59" s="9"/>
      <c r="J59" s="9"/>
      <c r="K59" s="26"/>
    </row>
    <row r="60" spans="1:11" ht="12">
      <c r="A60" s="24"/>
      <c r="B60" s="8"/>
      <c r="C60" s="8"/>
      <c r="D60" s="9"/>
      <c r="E60" s="9"/>
      <c r="F60" s="9"/>
      <c r="G60" s="9"/>
      <c r="H60" s="9"/>
      <c r="I60" s="9"/>
      <c r="J60" s="9"/>
      <c r="K60" s="27"/>
    </row>
    <row r="61" spans="1:11" ht="12">
      <c r="A61" s="24"/>
      <c r="B61" s="8"/>
      <c r="C61" s="8"/>
      <c r="D61" s="9"/>
      <c r="E61" s="9"/>
      <c r="F61" s="9"/>
      <c r="G61" s="9"/>
      <c r="H61" s="9"/>
      <c r="I61" s="9"/>
      <c r="J61" s="9"/>
      <c r="K61" s="27"/>
    </row>
    <row r="62" spans="1:11" ht="12">
      <c r="A62" s="24"/>
      <c r="B62" s="8"/>
      <c r="C62" s="8"/>
      <c r="D62" s="9"/>
      <c r="E62" s="9"/>
      <c r="F62" s="9"/>
      <c r="G62" s="9"/>
      <c r="H62" s="9"/>
      <c r="I62" s="9"/>
      <c r="J62" s="9"/>
      <c r="K62" s="27"/>
    </row>
    <row r="63" spans="1:11" ht="12">
      <c r="A63" s="24"/>
      <c r="B63" s="8"/>
      <c r="C63" s="8"/>
      <c r="D63" s="9"/>
      <c r="E63" s="9"/>
      <c r="F63" s="9"/>
      <c r="G63" s="9"/>
      <c r="H63" s="9"/>
      <c r="I63" s="9"/>
      <c r="J63" s="9"/>
      <c r="K63" s="27"/>
    </row>
    <row r="64" spans="1:11" ht="12.75" thickBot="1">
      <c r="A64" s="28"/>
      <c r="B64" s="29"/>
      <c r="C64" s="29"/>
      <c r="D64" s="30"/>
      <c r="E64" s="30"/>
      <c r="F64" s="30"/>
      <c r="G64" s="30"/>
      <c r="H64" s="30"/>
      <c r="I64" s="30"/>
      <c r="J64" s="30"/>
      <c r="K64" s="31"/>
    </row>
    <row r="65" spans="1:11" ht="12">
      <c r="A65" s="8"/>
      <c r="B65" s="8"/>
      <c r="C65" s="8"/>
      <c r="D65" s="9"/>
      <c r="E65" s="9"/>
      <c r="F65" s="9"/>
      <c r="G65" s="9"/>
      <c r="H65" s="9"/>
      <c r="I65" s="9"/>
      <c r="J65" s="9"/>
      <c r="K65" s="9"/>
    </row>
    <row r="66" spans="1:11" ht="12">
      <c r="A66" s="8"/>
      <c r="B66" s="8"/>
      <c r="C66" s="8"/>
      <c r="D66" s="9"/>
      <c r="F66" s="135"/>
      <c r="G66" s="9"/>
      <c r="H66" s="9"/>
      <c r="I66" s="9"/>
      <c r="J66" s="9"/>
      <c r="K66" s="9"/>
    </row>
    <row r="67" ht="12">
      <c r="G67" s="135"/>
    </row>
  </sheetData>
  <sheetProtection/>
  <conditionalFormatting sqref="B35:B54 B16:B17 B8:B14 B19:B31">
    <cfRule type="cellIs" priority="2" dxfId="0" operator="equal" stopIfTrue="1">
      <formula>"Adjustment to Income/Expense/Rate Base:"</formula>
    </cfRule>
  </conditionalFormatting>
  <conditionalFormatting sqref="K1">
    <cfRule type="cellIs" priority="1" dxfId="0" operator="equal" stopIfTrue="1">
      <formula>"x.x"</formula>
    </cfRule>
  </conditionalFormatting>
  <dataValidations count="3">
    <dataValidation errorStyle="warning" type="list" allowBlank="1" showInputMessage="1" showErrorMessage="1" errorTitle="Factor" error="This factor is not included in the drop-down list. Is this the factor you want to use?" sqref="H65244:H65247">
      <formula1>#REF!</formula1>
    </dataValidation>
    <dataValidation type="list" allowBlank="1" showInputMessage="1" showErrorMessage="1" errorTitle="Adjustment Type" error="There are only three types of adjustments:&#10;Type 1 - ordered, reversal of prior period, correcting or normalizing adjustments.&#10;Type 2 - annualizing or change during the test period.&#10;Type 3 - adjustments beyond the test period." sqref="F65245:F65247">
      <formula1>"1, 2, 3"</formula1>
    </dataValidation>
    <dataValidation errorStyle="warning" type="list" allowBlank="1" showInputMessage="1" showErrorMessage="1" errorTitle="FERC ACCOUNT" error="This FERC Account is not included in the drop-down list. Is this the account you want to use?" sqref="D65245:D65247">
      <formula1>#REF!</formula1>
    </dataValidation>
  </dataValidations>
  <printOptions/>
  <pageMargins left="0.75" right="0.75" top="0.75" bottom="0.75" header="0.5" footer="0.5"/>
  <pageSetup fitToHeight="1" fitToWidth="1"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S40"/>
  <sheetViews>
    <sheetView view="pageBreakPreview" zoomScaleNormal="80" zoomScaleSheetLayoutView="100" zoomScalePageLayoutView="0" workbookViewId="0" topLeftCell="H1">
      <selection activeCell="A5" sqref="A5"/>
    </sheetView>
  </sheetViews>
  <sheetFormatPr defaultColWidth="9.140625" defaultRowHeight="12.75"/>
  <cols>
    <col min="1" max="1" width="14.8515625" style="136" customWidth="1"/>
    <col min="2" max="2" width="10.8515625" style="136" customWidth="1"/>
    <col min="3" max="3" width="17.57421875" style="136" bestFit="1" customWidth="1"/>
    <col min="4" max="4" width="18.00390625" style="136" customWidth="1"/>
    <col min="5" max="16" width="13.7109375" style="136" customWidth="1"/>
    <col min="17" max="17" width="13.421875" style="136" bestFit="1" customWidth="1"/>
    <col min="18" max="18" width="13.7109375" style="136" customWidth="1"/>
    <col min="19" max="19" width="21.140625" style="136" bestFit="1" customWidth="1"/>
    <col min="20" max="20" width="4.57421875" style="136" customWidth="1"/>
    <col min="21" max="37" width="13.7109375" style="136" customWidth="1"/>
    <col min="38" max="38" width="3.7109375" style="136" customWidth="1"/>
    <col min="39" max="39" width="13.7109375" style="136" customWidth="1"/>
    <col min="40" max="40" width="15.28125" style="136" customWidth="1"/>
    <col min="41" max="50" width="13.7109375" style="136" customWidth="1"/>
    <col min="51" max="16384" width="9.140625" style="136" customWidth="1"/>
  </cols>
  <sheetData>
    <row r="1" ht="15">
      <c r="A1" s="179" t="s">
        <v>13</v>
      </c>
    </row>
    <row r="2" ht="15">
      <c r="A2" s="180" t="s">
        <v>430</v>
      </c>
    </row>
    <row r="3" ht="15">
      <c r="A3" s="180" t="s">
        <v>335</v>
      </c>
    </row>
    <row r="4" ht="15">
      <c r="A4" s="180"/>
    </row>
    <row r="5" ht="15">
      <c r="A5" s="180"/>
    </row>
    <row r="6" ht="15.75" thickBot="1"/>
    <row r="7" spans="1:3" ht="15">
      <c r="A7" s="137" t="s">
        <v>362</v>
      </c>
      <c r="B7" s="138"/>
      <c r="C7" s="139"/>
    </row>
    <row r="8" spans="1:5" ht="15">
      <c r="A8" s="140" t="s">
        <v>1</v>
      </c>
      <c r="B8" s="141"/>
      <c r="C8" s="142">
        <f>S23</f>
        <v>548138000.7688024</v>
      </c>
      <c r="E8" s="143"/>
    </row>
    <row r="9" spans="1:5" ht="15">
      <c r="A9" s="349" t="s">
        <v>495</v>
      </c>
      <c r="B9" s="141"/>
      <c r="C9" s="144" t="s">
        <v>363</v>
      </c>
      <c r="E9" s="145"/>
    </row>
    <row r="10" spans="1:5" ht="15">
      <c r="A10" s="140" t="s">
        <v>204</v>
      </c>
      <c r="B10" s="141"/>
      <c r="C10" s="142">
        <v>47346332.18999998</v>
      </c>
      <c r="E10" s="145"/>
    </row>
    <row r="11" spans="1:5" ht="15">
      <c r="A11" s="140"/>
      <c r="B11" s="141"/>
      <c r="C11" s="146"/>
      <c r="E11" s="145"/>
    </row>
    <row r="12" spans="1:5" ht="15">
      <c r="A12" s="140"/>
      <c r="B12" s="148"/>
      <c r="C12" s="146"/>
      <c r="E12" s="145"/>
    </row>
    <row r="13" spans="1:5" ht="15.75" thickBot="1">
      <c r="A13" s="149"/>
      <c r="B13" s="150"/>
      <c r="C13" s="151"/>
      <c r="E13" s="145"/>
    </row>
    <row r="15" s="152" customFormat="1" ht="15"/>
    <row r="16" spans="1:19" s="152" customFormat="1" ht="15">
      <c r="A16" s="153" t="s">
        <v>5</v>
      </c>
      <c r="B16" s="153" t="s">
        <v>6</v>
      </c>
      <c r="C16" s="154" t="s">
        <v>197</v>
      </c>
      <c r="D16" s="155">
        <v>40452</v>
      </c>
      <c r="E16" s="155">
        <v>40483</v>
      </c>
      <c r="F16" s="155">
        <v>40513</v>
      </c>
      <c r="G16" s="155">
        <v>40544</v>
      </c>
      <c r="H16" s="155">
        <v>40575</v>
      </c>
      <c r="I16" s="155">
        <v>40603</v>
      </c>
      <c r="J16" s="155">
        <v>40634</v>
      </c>
      <c r="K16" s="155">
        <v>40664</v>
      </c>
      <c r="L16" s="155">
        <v>40695</v>
      </c>
      <c r="M16" s="155">
        <v>40725</v>
      </c>
      <c r="N16" s="155">
        <v>40756</v>
      </c>
      <c r="O16" s="155">
        <v>40787</v>
      </c>
      <c r="P16" s="155">
        <v>40817</v>
      </c>
      <c r="Q16" s="155">
        <v>40848</v>
      </c>
      <c r="R16" s="155">
        <v>40878</v>
      </c>
      <c r="S16" s="156" t="s">
        <v>200</v>
      </c>
    </row>
    <row r="17" s="152" customFormat="1" ht="15"/>
    <row r="18" s="152" customFormat="1" ht="15">
      <c r="E18" s="157"/>
    </row>
    <row r="19" spans="1:5" s="152" customFormat="1" ht="15">
      <c r="A19" s="158" t="s">
        <v>10</v>
      </c>
      <c r="E19" s="157"/>
    </row>
    <row r="20" spans="1:19" s="152" customFormat="1" ht="15">
      <c r="A20" s="152" t="s">
        <v>12</v>
      </c>
      <c r="B20" s="152" t="s">
        <v>4</v>
      </c>
      <c r="C20" s="159"/>
      <c r="D20" s="160">
        <v>10117587.740100002</v>
      </c>
      <c r="E20" s="160">
        <f aca="true" t="shared" si="0" ref="E20:R22">D20</f>
        <v>10117587.740100002</v>
      </c>
      <c r="F20" s="160">
        <f t="shared" si="0"/>
        <v>10117587.740100002</v>
      </c>
      <c r="G20" s="160">
        <f t="shared" si="0"/>
        <v>10117587.740100002</v>
      </c>
      <c r="H20" s="160">
        <f t="shared" si="0"/>
        <v>10117587.740100002</v>
      </c>
      <c r="I20" s="160">
        <f t="shared" si="0"/>
        <v>10117587.740100002</v>
      </c>
      <c r="J20" s="160">
        <f t="shared" si="0"/>
        <v>10117587.740100002</v>
      </c>
      <c r="K20" s="160">
        <f t="shared" si="0"/>
        <v>10117587.740100002</v>
      </c>
      <c r="L20" s="160">
        <f t="shared" si="0"/>
        <v>10117587.740100002</v>
      </c>
      <c r="M20" s="160">
        <f t="shared" si="0"/>
        <v>10117587.740100002</v>
      </c>
      <c r="N20" s="160">
        <f t="shared" si="0"/>
        <v>10117587.740100002</v>
      </c>
      <c r="O20" s="160">
        <f t="shared" si="0"/>
        <v>10117587.740100002</v>
      </c>
      <c r="P20" s="160">
        <f t="shared" si="0"/>
        <v>10117587.740100002</v>
      </c>
      <c r="Q20" s="160">
        <f t="shared" si="0"/>
        <v>10117587.740100002</v>
      </c>
      <c r="R20" s="160">
        <f t="shared" si="0"/>
        <v>10117587.740100002</v>
      </c>
      <c r="S20" s="160">
        <f>SUM(F20:R20)/13</f>
        <v>10117587.7401</v>
      </c>
    </row>
    <row r="21" spans="1:19" s="152" customFormat="1" ht="15">
      <c r="A21" s="152" t="s">
        <v>3</v>
      </c>
      <c r="B21" s="152" t="s">
        <v>4</v>
      </c>
      <c r="C21" s="159"/>
      <c r="D21" s="160">
        <v>38132874.04990001</v>
      </c>
      <c r="E21" s="160">
        <f t="shared" si="0"/>
        <v>38132874.04990001</v>
      </c>
      <c r="F21" s="160">
        <f t="shared" si="0"/>
        <v>38132874.04990001</v>
      </c>
      <c r="G21" s="160">
        <f t="shared" si="0"/>
        <v>38132874.04990001</v>
      </c>
      <c r="H21" s="160">
        <f t="shared" si="0"/>
        <v>38132874.04990001</v>
      </c>
      <c r="I21" s="160">
        <f t="shared" si="0"/>
        <v>38132874.04990001</v>
      </c>
      <c r="J21" s="160">
        <f t="shared" si="0"/>
        <v>38132874.04990001</v>
      </c>
      <c r="K21" s="160">
        <f t="shared" si="0"/>
        <v>38132874.04990001</v>
      </c>
      <c r="L21" s="160">
        <f t="shared" si="0"/>
        <v>38132874.04990001</v>
      </c>
      <c r="M21" s="160">
        <f t="shared" si="0"/>
        <v>38132874.04990001</v>
      </c>
      <c r="N21" s="160">
        <f t="shared" si="0"/>
        <v>38132874.04990001</v>
      </c>
      <c r="O21" s="160">
        <f t="shared" si="0"/>
        <v>38132874.04990001</v>
      </c>
      <c r="P21" s="160">
        <f t="shared" si="0"/>
        <v>38132874.04990001</v>
      </c>
      <c r="Q21" s="160">
        <f t="shared" si="0"/>
        <v>38132874.04990001</v>
      </c>
      <c r="R21" s="160">
        <f t="shared" si="0"/>
        <v>38132874.04990001</v>
      </c>
      <c r="S21" s="160">
        <f>SUM(F21:R21)/13</f>
        <v>38132874.0499</v>
      </c>
    </row>
    <row r="22" spans="1:19" s="152" customFormat="1" ht="15">
      <c r="A22" s="152" t="s">
        <v>2</v>
      </c>
      <c r="B22" s="152" t="s">
        <v>4</v>
      </c>
      <c r="C22" s="159"/>
      <c r="D22" s="160">
        <v>96948545.40552306</v>
      </c>
      <c r="E22" s="160">
        <v>499887538.97880226</v>
      </c>
      <c r="F22" s="160">
        <f t="shared" si="0"/>
        <v>499887538.97880226</v>
      </c>
      <c r="G22" s="160">
        <f t="shared" si="0"/>
        <v>499887538.97880226</v>
      </c>
      <c r="H22" s="160">
        <f t="shared" si="0"/>
        <v>499887538.97880226</v>
      </c>
      <c r="I22" s="160">
        <f t="shared" si="0"/>
        <v>499887538.97880226</v>
      </c>
      <c r="J22" s="160">
        <f>I22</f>
        <v>499887538.97880226</v>
      </c>
      <c r="K22" s="160">
        <f>J22</f>
        <v>499887538.97880226</v>
      </c>
      <c r="L22" s="160">
        <f t="shared" si="0"/>
        <v>499887538.97880226</v>
      </c>
      <c r="M22" s="160">
        <f t="shared" si="0"/>
        <v>499887538.97880226</v>
      </c>
      <c r="N22" s="160">
        <f t="shared" si="0"/>
        <v>499887538.97880226</v>
      </c>
      <c r="O22" s="160">
        <f t="shared" si="0"/>
        <v>499887538.97880226</v>
      </c>
      <c r="P22" s="160">
        <f t="shared" si="0"/>
        <v>499887538.97880226</v>
      </c>
      <c r="Q22" s="160">
        <f t="shared" si="0"/>
        <v>499887538.97880226</v>
      </c>
      <c r="R22" s="160">
        <f t="shared" si="0"/>
        <v>499887538.97880226</v>
      </c>
      <c r="S22" s="160">
        <f>SUM(F22:R22)/13</f>
        <v>499887538.9788024</v>
      </c>
    </row>
    <row r="23" spans="1:19" s="152" customFormat="1" ht="15">
      <c r="A23" s="152" t="s">
        <v>11</v>
      </c>
      <c r="D23" s="161">
        <f aca="true" t="shared" si="1" ref="D23:R23">SUBTOTAL(9,D20:D22)</f>
        <v>145199007.19552308</v>
      </c>
      <c r="E23" s="161">
        <f t="shared" si="1"/>
        <v>548138000.7688023</v>
      </c>
      <c r="F23" s="161">
        <f t="shared" si="1"/>
        <v>548138000.7688023</v>
      </c>
      <c r="G23" s="161">
        <f t="shared" si="1"/>
        <v>548138000.7688023</v>
      </c>
      <c r="H23" s="161">
        <f t="shared" si="1"/>
        <v>548138000.7688023</v>
      </c>
      <c r="I23" s="161">
        <f t="shared" si="1"/>
        <v>548138000.7688023</v>
      </c>
      <c r="J23" s="161">
        <f t="shared" si="1"/>
        <v>548138000.7688023</v>
      </c>
      <c r="K23" s="161">
        <f t="shared" si="1"/>
        <v>548138000.7688023</v>
      </c>
      <c r="L23" s="161">
        <f t="shared" si="1"/>
        <v>548138000.7688023</v>
      </c>
      <c r="M23" s="161">
        <f t="shared" si="1"/>
        <v>548138000.7688023</v>
      </c>
      <c r="N23" s="161">
        <f t="shared" si="1"/>
        <v>548138000.7688023</v>
      </c>
      <c r="O23" s="161">
        <f t="shared" si="1"/>
        <v>548138000.7688023</v>
      </c>
      <c r="P23" s="161">
        <f t="shared" si="1"/>
        <v>548138000.7688023</v>
      </c>
      <c r="Q23" s="161">
        <f t="shared" si="1"/>
        <v>548138000.7688023</v>
      </c>
      <c r="R23" s="161">
        <f t="shared" si="1"/>
        <v>548138000.7688023</v>
      </c>
      <c r="S23" s="161">
        <f>SUBTOTAL(9,S20:S22)</f>
        <v>548138000.7688024</v>
      </c>
    </row>
    <row r="24" s="152" customFormat="1" ht="15">
      <c r="S24" s="70" t="s">
        <v>327</v>
      </c>
    </row>
    <row r="25" s="152" customFormat="1" ht="15">
      <c r="J25" s="152" t="s">
        <v>0</v>
      </c>
    </row>
    <row r="26" spans="1:19" s="152" customFormat="1" ht="15">
      <c r="A26" s="162" t="s">
        <v>198</v>
      </c>
      <c r="S26" s="156" t="s">
        <v>364</v>
      </c>
    </row>
    <row r="27" spans="1:19" s="152" customFormat="1" ht="15">
      <c r="A27" s="152" t="s">
        <v>3</v>
      </c>
      <c r="B27" s="152" t="s">
        <v>4</v>
      </c>
      <c r="C27" s="181">
        <v>0.0203</v>
      </c>
      <c r="D27" s="157">
        <f>(D21)/2*$C27/12</f>
        <v>32254.055967207092</v>
      </c>
      <c r="E27" s="157">
        <f>(E21+D21)/2*$C27/12</f>
        <v>64508.111934414184</v>
      </c>
      <c r="F27" s="157">
        <f>(F21+E21)/2*$C27/12</f>
        <v>64508.111934414184</v>
      </c>
      <c r="G27" s="157">
        <f aca="true" t="shared" si="2" ref="G27:R28">(G21+F21)/2*$C27/12</f>
        <v>64508.111934414184</v>
      </c>
      <c r="H27" s="157">
        <f t="shared" si="2"/>
        <v>64508.111934414184</v>
      </c>
      <c r="I27" s="157">
        <f t="shared" si="2"/>
        <v>64508.111934414184</v>
      </c>
      <c r="J27" s="157">
        <f t="shared" si="2"/>
        <v>64508.111934414184</v>
      </c>
      <c r="K27" s="157">
        <f t="shared" si="2"/>
        <v>64508.111934414184</v>
      </c>
      <c r="L27" s="157">
        <f t="shared" si="2"/>
        <v>64508.111934414184</v>
      </c>
      <c r="M27" s="157">
        <f t="shared" si="2"/>
        <v>64508.111934414184</v>
      </c>
      <c r="N27" s="157">
        <f t="shared" si="2"/>
        <v>64508.111934414184</v>
      </c>
      <c r="O27" s="157">
        <f t="shared" si="2"/>
        <v>64508.111934414184</v>
      </c>
      <c r="P27" s="157">
        <f t="shared" si="2"/>
        <v>64508.111934414184</v>
      </c>
      <c r="Q27" s="157">
        <f t="shared" si="2"/>
        <v>64508.111934414184</v>
      </c>
      <c r="R27" s="157">
        <f t="shared" si="2"/>
        <v>64508.111934414184</v>
      </c>
      <c r="S27" s="163">
        <f>SUM(G27:R27)</f>
        <v>774097.3432129701</v>
      </c>
    </row>
    <row r="28" spans="1:19" s="152" customFormat="1" ht="15">
      <c r="A28" s="152" t="s">
        <v>2</v>
      </c>
      <c r="B28" s="152" t="s">
        <v>4</v>
      </c>
      <c r="C28" s="181">
        <v>0.0203</v>
      </c>
      <c r="D28" s="157">
        <f>(D22)/2*$C28/12</f>
        <v>82002.31132217158</v>
      </c>
      <c r="E28" s="157">
        <f>(E22+D22)/2*$C28/12</f>
        <v>504823.8547084084</v>
      </c>
      <c r="F28" s="157">
        <f>(F22+E22)/2*$C28/12</f>
        <v>845643.0867724739</v>
      </c>
      <c r="G28" s="157">
        <f t="shared" si="2"/>
        <v>845643.0867724739</v>
      </c>
      <c r="H28" s="157">
        <f t="shared" si="2"/>
        <v>845643.0867724739</v>
      </c>
      <c r="I28" s="157">
        <f t="shared" si="2"/>
        <v>845643.0867724739</v>
      </c>
      <c r="J28" s="157">
        <f t="shared" si="2"/>
        <v>845643.0867724739</v>
      </c>
      <c r="K28" s="157">
        <f t="shared" si="2"/>
        <v>845643.0867724739</v>
      </c>
      <c r="L28" s="157">
        <f t="shared" si="2"/>
        <v>845643.0867724739</v>
      </c>
      <c r="M28" s="157">
        <f t="shared" si="2"/>
        <v>845643.0867724739</v>
      </c>
      <c r="N28" s="157">
        <f t="shared" si="2"/>
        <v>845643.0867724739</v>
      </c>
      <c r="O28" s="157">
        <f t="shared" si="2"/>
        <v>845643.0867724739</v>
      </c>
      <c r="P28" s="157">
        <f t="shared" si="2"/>
        <v>845643.0867724739</v>
      </c>
      <c r="Q28" s="157">
        <f t="shared" si="2"/>
        <v>845643.0867724739</v>
      </c>
      <c r="R28" s="157">
        <f t="shared" si="2"/>
        <v>845643.0867724739</v>
      </c>
      <c r="S28" s="157">
        <f>SUM(G28:R28)</f>
        <v>10147717.041269684</v>
      </c>
    </row>
    <row r="29" spans="1:19" s="152" customFormat="1" ht="15">
      <c r="A29" s="152" t="s">
        <v>199</v>
      </c>
      <c r="D29" s="161">
        <f>SUBTOTAL(9,D27:D28)</f>
        <v>114256.36728937867</v>
      </c>
      <c r="E29" s="161">
        <f>SUBTOTAL(9,E27:E28)</f>
        <v>569331.9666428226</v>
      </c>
      <c r="F29" s="161">
        <f aca="true" t="shared" si="3" ref="F29:S29">SUBTOTAL(9,F27:F28)</f>
        <v>910151.198706888</v>
      </c>
      <c r="G29" s="161">
        <f t="shared" si="3"/>
        <v>910151.198706888</v>
      </c>
      <c r="H29" s="161">
        <f t="shared" si="3"/>
        <v>910151.198706888</v>
      </c>
      <c r="I29" s="161">
        <f t="shared" si="3"/>
        <v>910151.198706888</v>
      </c>
      <c r="J29" s="161">
        <f t="shared" si="3"/>
        <v>910151.198706888</v>
      </c>
      <c r="K29" s="161">
        <f t="shared" si="3"/>
        <v>910151.198706888</v>
      </c>
      <c r="L29" s="161">
        <f t="shared" si="3"/>
        <v>910151.198706888</v>
      </c>
      <c r="M29" s="161">
        <f t="shared" si="3"/>
        <v>910151.198706888</v>
      </c>
      <c r="N29" s="161">
        <f t="shared" si="3"/>
        <v>910151.198706888</v>
      </c>
      <c r="O29" s="161">
        <f t="shared" si="3"/>
        <v>910151.198706888</v>
      </c>
      <c r="P29" s="161">
        <f t="shared" si="3"/>
        <v>910151.198706888</v>
      </c>
      <c r="Q29" s="161">
        <f t="shared" si="3"/>
        <v>910151.198706888</v>
      </c>
      <c r="R29" s="161">
        <f t="shared" si="3"/>
        <v>910151.198706888</v>
      </c>
      <c r="S29" s="161">
        <f t="shared" si="3"/>
        <v>10921814.384482654</v>
      </c>
    </row>
    <row r="30" s="152" customFormat="1" ht="15">
      <c r="S30" s="70" t="s">
        <v>327</v>
      </c>
    </row>
    <row r="31" s="152" customFormat="1" ht="15">
      <c r="K31" s="163" t="s">
        <v>0</v>
      </c>
    </row>
    <row r="32" spans="1:19" s="152" customFormat="1" ht="15">
      <c r="A32" s="158" t="s">
        <v>201</v>
      </c>
      <c r="S32" s="156" t="s">
        <v>200</v>
      </c>
    </row>
    <row r="33" spans="1:19" s="152" customFormat="1" ht="15">
      <c r="A33" s="152" t="s">
        <v>3</v>
      </c>
      <c r="B33" s="152" t="s">
        <v>4</v>
      </c>
      <c r="C33" s="159"/>
      <c r="D33" s="163">
        <f>-D27</f>
        <v>-32254.055967207092</v>
      </c>
      <c r="E33" s="157">
        <f>D33-E27</f>
        <v>-96762.16790162127</v>
      </c>
      <c r="F33" s="157">
        <f>E33-F27</f>
        <v>-161270.27983603545</v>
      </c>
      <c r="G33" s="157">
        <f aca="true" t="shared" si="4" ref="G33:R34">F33-G27</f>
        <v>-225778.39177044964</v>
      </c>
      <c r="H33" s="157">
        <f t="shared" si="4"/>
        <v>-290286.50370486383</v>
      </c>
      <c r="I33" s="157">
        <f t="shared" si="4"/>
        <v>-354794.615639278</v>
      </c>
      <c r="J33" s="157">
        <f t="shared" si="4"/>
        <v>-419302.7275736922</v>
      </c>
      <c r="K33" s="157">
        <f t="shared" si="4"/>
        <v>-483810.8395081064</v>
      </c>
      <c r="L33" s="157">
        <f t="shared" si="4"/>
        <v>-548318.9514425206</v>
      </c>
      <c r="M33" s="157">
        <f t="shared" si="4"/>
        <v>-612827.0633769347</v>
      </c>
      <c r="N33" s="157">
        <f t="shared" si="4"/>
        <v>-677335.1753113489</v>
      </c>
      <c r="O33" s="157">
        <f t="shared" si="4"/>
        <v>-741843.287245763</v>
      </c>
      <c r="P33" s="157">
        <f t="shared" si="4"/>
        <v>-806351.3991801771</v>
      </c>
      <c r="Q33" s="157">
        <f t="shared" si="4"/>
        <v>-870859.5111145913</v>
      </c>
      <c r="R33" s="157">
        <f t="shared" si="4"/>
        <v>-935367.6230490054</v>
      </c>
      <c r="S33" s="163">
        <f>SUM(F33:R33)/13</f>
        <v>-548318.9514425206</v>
      </c>
    </row>
    <row r="34" spans="1:19" s="152" customFormat="1" ht="15">
      <c r="A34" s="152" t="s">
        <v>2</v>
      </c>
      <c r="B34" s="152" t="s">
        <v>4</v>
      </c>
      <c r="C34" s="159"/>
      <c r="D34" s="163">
        <f>-D28</f>
        <v>-82002.31132217158</v>
      </c>
      <c r="E34" s="157">
        <f>D34-E28</f>
        <v>-586826.16603058</v>
      </c>
      <c r="F34" s="157">
        <f>E34-F28</f>
        <v>-1432469.2528030537</v>
      </c>
      <c r="G34" s="157">
        <f t="shared" si="4"/>
        <v>-2278112.3395755277</v>
      </c>
      <c r="H34" s="157">
        <f t="shared" si="4"/>
        <v>-3123755.4263480017</v>
      </c>
      <c r="I34" s="157">
        <f t="shared" si="4"/>
        <v>-3969398.5131204757</v>
      </c>
      <c r="J34" s="157">
        <f t="shared" si="4"/>
        <v>-4815041.59989295</v>
      </c>
      <c r="K34" s="157">
        <f t="shared" si="4"/>
        <v>-5660684.686665423</v>
      </c>
      <c r="L34" s="157">
        <f t="shared" si="4"/>
        <v>-6506327.773437897</v>
      </c>
      <c r="M34" s="157">
        <f t="shared" si="4"/>
        <v>-7351970.86021037</v>
      </c>
      <c r="N34" s="157">
        <f t="shared" si="4"/>
        <v>-8197613.946982844</v>
      </c>
      <c r="O34" s="157">
        <f t="shared" si="4"/>
        <v>-9043257.033755317</v>
      </c>
      <c r="P34" s="157">
        <f t="shared" si="4"/>
        <v>-9888900.12052779</v>
      </c>
      <c r="Q34" s="157">
        <f t="shared" si="4"/>
        <v>-10734543.207300264</v>
      </c>
      <c r="R34" s="157">
        <f t="shared" si="4"/>
        <v>-11580186.294072738</v>
      </c>
      <c r="S34" s="163">
        <f>SUM(F34:R34)/13</f>
        <v>-6506327.773437896</v>
      </c>
    </row>
    <row r="35" spans="1:19" s="152" customFormat="1" ht="15">
      <c r="A35" s="152" t="s">
        <v>203</v>
      </c>
      <c r="D35" s="161">
        <f aca="true" t="shared" si="5" ref="D35:R35">SUBTOTAL(9,D33:D34)</f>
        <v>-114256.36728937867</v>
      </c>
      <c r="E35" s="161">
        <f t="shared" si="5"/>
        <v>-683588.3339322013</v>
      </c>
      <c r="F35" s="161">
        <f t="shared" si="5"/>
        <v>-1593739.532639089</v>
      </c>
      <c r="G35" s="161">
        <f t="shared" si="5"/>
        <v>-2503890.731345977</v>
      </c>
      <c r="H35" s="161">
        <f t="shared" si="5"/>
        <v>-3414041.9300528653</v>
      </c>
      <c r="I35" s="161">
        <f t="shared" si="5"/>
        <v>-4324193.128759754</v>
      </c>
      <c r="J35" s="161">
        <f t="shared" si="5"/>
        <v>-5234344.327466642</v>
      </c>
      <c r="K35" s="161">
        <f t="shared" si="5"/>
        <v>-6144495.526173529</v>
      </c>
      <c r="L35" s="161">
        <f t="shared" si="5"/>
        <v>-7054646.724880418</v>
      </c>
      <c r="M35" s="161">
        <f t="shared" si="5"/>
        <v>-7964797.9235873055</v>
      </c>
      <c r="N35" s="161">
        <f t="shared" si="5"/>
        <v>-8874949.122294193</v>
      </c>
      <c r="O35" s="161">
        <f t="shared" si="5"/>
        <v>-9785100.32100108</v>
      </c>
      <c r="P35" s="161">
        <f t="shared" si="5"/>
        <v>-10695251.519707968</v>
      </c>
      <c r="Q35" s="161">
        <f t="shared" si="5"/>
        <v>-11605402.718414856</v>
      </c>
      <c r="R35" s="161">
        <f t="shared" si="5"/>
        <v>-12515553.917121744</v>
      </c>
      <c r="S35" s="161">
        <f>SUBTOTAL(9,S33:S34)</f>
        <v>-7054646.724880416</v>
      </c>
    </row>
    <row r="36" s="152" customFormat="1" ht="15">
      <c r="S36" s="70" t="s">
        <v>327</v>
      </c>
    </row>
    <row r="37" s="152" customFormat="1" ht="15"/>
    <row r="38" spans="10:18" s="152" customFormat="1" ht="15">
      <c r="J38" s="163"/>
      <c r="K38" s="163"/>
      <c r="L38" s="163"/>
      <c r="M38" s="163"/>
      <c r="N38" s="163"/>
      <c r="O38" s="163"/>
      <c r="P38" s="163"/>
      <c r="Q38" s="163"/>
      <c r="R38" s="163"/>
    </row>
    <row r="39" spans="10:18" s="152" customFormat="1" ht="15">
      <c r="J39" s="163"/>
      <c r="K39" s="163"/>
      <c r="L39" s="163"/>
      <c r="M39" s="163"/>
      <c r="N39" s="163"/>
      <c r="O39" s="163"/>
      <c r="P39" s="163"/>
      <c r="Q39" s="163"/>
      <c r="R39" s="163"/>
    </row>
    <row r="40" spans="10:18" ht="15">
      <c r="J40" s="163"/>
      <c r="K40" s="163"/>
      <c r="L40" s="163"/>
      <c r="M40" s="163"/>
      <c r="N40" s="163"/>
      <c r="O40" s="163"/>
      <c r="P40" s="163"/>
      <c r="Q40" s="163"/>
      <c r="R40" s="163"/>
    </row>
  </sheetData>
  <sheetProtection/>
  <printOptions/>
  <pageMargins left="0.75" right="0.75" top="0.5" bottom="0.75" header="0.5" footer="0.5"/>
  <pageSetup fitToWidth="2" horizontalDpi="600" verticalDpi="600" orientation="landscape" paperSize="17" scale="90" r:id="rId1"/>
  <headerFooter alignWithMargins="0">
    <oddFooter>&amp;CPage 2.&amp;P</oddFooter>
  </headerFooter>
  <colBreaks count="1" manualBreakCount="1">
    <brk id="14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B1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1.57421875" style="0" customWidth="1"/>
    <col min="2" max="2" width="10.7109375" style="0" bestFit="1" customWidth="1"/>
  </cols>
  <sheetData>
    <row r="1" ht="12.75">
      <c r="A1" s="1" t="s">
        <v>13</v>
      </c>
    </row>
    <row r="2" ht="12.75">
      <c r="A2" s="1" t="s">
        <v>220</v>
      </c>
    </row>
    <row r="3" ht="12.75">
      <c r="A3" s="180" t="s">
        <v>502</v>
      </c>
    </row>
    <row r="9" ht="12.75">
      <c r="A9" s="82" t="s">
        <v>315</v>
      </c>
    </row>
    <row r="10" spans="1:2" ht="12.75">
      <c r="A10" s="60" t="s">
        <v>431</v>
      </c>
      <c r="B10" s="44">
        <v>90000</v>
      </c>
    </row>
    <row r="11" spans="1:2" ht="12.75">
      <c r="A11" s="60" t="s">
        <v>432</v>
      </c>
      <c r="B11" s="67">
        <v>50000</v>
      </c>
    </row>
    <row r="12" ht="12.75">
      <c r="B12" s="69">
        <f>SUM(B10:B11)</f>
        <v>140000</v>
      </c>
    </row>
    <row r="13" ht="12.75">
      <c r="B13" s="68" t="s">
        <v>327</v>
      </c>
    </row>
    <row r="15" ht="12.75">
      <c r="A15" s="227" t="s">
        <v>434</v>
      </c>
    </row>
    <row r="16" ht="12.75">
      <c r="A16" s="227" t="s">
        <v>433</v>
      </c>
    </row>
    <row r="17" ht="12.75">
      <c r="A17" s="227" t="s">
        <v>503</v>
      </c>
    </row>
    <row r="18" ht="12.75">
      <c r="A18" s="227" t="s">
        <v>435</v>
      </c>
    </row>
  </sheetData>
  <sheetProtection/>
  <printOptions/>
  <pageMargins left="0.7" right="0.7" top="0.75" bottom="0.75" header="0.3" footer="0.3"/>
  <pageSetup horizontalDpi="600" verticalDpi="600" orientation="portrait" r:id="rId1"/>
  <headerFooter alignWithMargins="0">
    <oddHeader>&amp;RPage 2.3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CC"/>
  </sheetPr>
  <dimension ref="A1:H54"/>
  <sheetViews>
    <sheetView zoomScalePageLayoutView="0" workbookViewId="0" topLeftCell="A13">
      <selection activeCell="A5" sqref="A5"/>
    </sheetView>
  </sheetViews>
  <sheetFormatPr defaultColWidth="9.140625" defaultRowHeight="12.75"/>
  <cols>
    <col min="1" max="1" width="29.140625" style="182" customWidth="1"/>
    <col min="2" max="2" width="10.421875" style="182" customWidth="1"/>
    <col min="3" max="3" width="20.57421875" style="182" customWidth="1"/>
    <col min="4" max="4" width="17.7109375" style="182" bestFit="1" customWidth="1"/>
    <col min="5" max="5" width="20.140625" style="184" bestFit="1" customWidth="1"/>
    <col min="6" max="6" width="19.140625" style="184" customWidth="1"/>
    <col min="7" max="7" width="9.140625" style="182" customWidth="1"/>
    <col min="8" max="8" width="20.421875" style="182" customWidth="1"/>
    <col min="9" max="16384" width="9.140625" style="182" customWidth="1"/>
  </cols>
  <sheetData>
    <row r="1" spans="1:6" ht="12.75">
      <c r="A1" s="179" t="s">
        <v>13</v>
      </c>
      <c r="B1" s="200"/>
      <c r="C1" s="200"/>
      <c r="D1" s="200"/>
      <c r="E1" s="200"/>
      <c r="F1" s="200"/>
    </row>
    <row r="2" spans="1:6" ht="12.75">
      <c r="A2" s="180" t="s">
        <v>430</v>
      </c>
      <c r="B2" s="200"/>
      <c r="C2" s="200"/>
      <c r="D2" s="200"/>
      <c r="E2" s="200"/>
      <c r="F2" s="200"/>
    </row>
    <row r="3" spans="1:6" ht="12.75">
      <c r="A3" s="180" t="s">
        <v>312</v>
      </c>
      <c r="B3" s="183"/>
      <c r="C3" s="183"/>
      <c r="D3" s="183"/>
      <c r="E3" s="183"/>
      <c r="F3" s="183"/>
    </row>
    <row r="4" spans="4:6" ht="12.75">
      <c r="D4" s="184"/>
      <c r="F4" s="185"/>
    </row>
    <row r="5" spans="4:6" ht="12.75">
      <c r="D5" s="186"/>
      <c r="E5" s="186" t="s">
        <v>365</v>
      </c>
      <c r="F5" s="186" t="s">
        <v>366</v>
      </c>
    </row>
    <row r="6" spans="4:6" ht="12.75">
      <c r="D6" s="187" t="s">
        <v>278</v>
      </c>
      <c r="E6" s="187" t="s">
        <v>367</v>
      </c>
      <c r="F6" s="350" t="s">
        <v>496</v>
      </c>
    </row>
    <row r="7" spans="4:6" ht="5.25" customHeight="1">
      <c r="D7" s="188"/>
      <c r="E7" s="188"/>
      <c r="F7" s="188"/>
    </row>
    <row r="8" spans="1:6" ht="12.75">
      <c r="A8" s="201" t="s">
        <v>368</v>
      </c>
      <c r="B8" s="202"/>
      <c r="C8" s="203" t="s">
        <v>369</v>
      </c>
      <c r="D8" s="204">
        <f>SUM(E8:F8)</f>
        <v>457829684.0602164</v>
      </c>
      <c r="E8" s="184">
        <v>166289212.9779871</v>
      </c>
      <c r="F8" s="184">
        <v>291540471.0822293</v>
      </c>
    </row>
    <row r="9" spans="1:4" ht="4.5" customHeight="1">
      <c r="A9" s="202"/>
      <c r="B9" s="202"/>
      <c r="C9" s="202"/>
      <c r="D9" s="204"/>
    </row>
    <row r="10" spans="1:6" ht="12.75">
      <c r="A10" s="202" t="s">
        <v>370</v>
      </c>
      <c r="B10" s="202"/>
      <c r="C10" s="203" t="s">
        <v>371</v>
      </c>
      <c r="D10" s="205"/>
      <c r="E10" s="189">
        <v>0.788</v>
      </c>
      <c r="F10" s="189">
        <v>0.719</v>
      </c>
    </row>
    <row r="11" spans="1:6" ht="12.75">
      <c r="A11" s="202" t="s">
        <v>372</v>
      </c>
      <c r="B11" s="202"/>
      <c r="C11" s="352" t="s">
        <v>504</v>
      </c>
      <c r="D11" s="204">
        <f>SUM(E11:F11)</f>
        <v>340653498.53477675</v>
      </c>
      <c r="E11" s="184">
        <f>E8*E10</f>
        <v>131035899.82665385</v>
      </c>
      <c r="F11" s="184">
        <f>F8*F10</f>
        <v>209617598.70812288</v>
      </c>
    </row>
    <row r="12" spans="1:4" ht="5.25" customHeight="1">
      <c r="A12" s="202"/>
      <c r="B12" s="202"/>
      <c r="C12" s="202"/>
      <c r="D12" s="204"/>
    </row>
    <row r="13" spans="1:6" ht="12.75">
      <c r="A13" s="202" t="s">
        <v>373</v>
      </c>
      <c r="B13" s="202"/>
      <c r="C13" s="203" t="s">
        <v>374</v>
      </c>
      <c r="D13" s="206"/>
      <c r="E13" s="190">
        <f>+E52</f>
        <v>0.008347001928020565</v>
      </c>
      <c r="F13" s="190">
        <f>+F44</f>
        <v>0.012044510630498533</v>
      </c>
    </row>
    <row r="14" spans="1:4" ht="4.5" customHeight="1">
      <c r="A14" s="202"/>
      <c r="B14" s="202"/>
      <c r="C14" s="202"/>
      <c r="D14" s="204"/>
    </row>
    <row r="15" spans="1:6" ht="12.75">
      <c r="A15" s="202" t="s">
        <v>313</v>
      </c>
      <c r="B15" s="202"/>
      <c r="C15" s="352" t="s">
        <v>505</v>
      </c>
      <c r="D15" s="207">
        <f>+F15+E15</f>
        <v>3619000</v>
      </c>
      <c r="E15" s="191">
        <f>ROUND(E11*E13,-3)</f>
        <v>1094000</v>
      </c>
      <c r="F15" s="191">
        <f>ROUND(F11*F13,-3)</f>
        <v>2525000</v>
      </c>
    </row>
    <row r="16" spans="1:6" ht="12.75">
      <c r="A16" s="202"/>
      <c r="B16" s="202"/>
      <c r="C16" s="202"/>
      <c r="D16" s="204"/>
      <c r="E16" s="192"/>
      <c r="F16" s="192"/>
    </row>
    <row r="17" spans="1:6" ht="12.75">
      <c r="A17" s="202"/>
      <c r="B17" s="202"/>
      <c r="C17" s="202"/>
      <c r="D17" s="204"/>
      <c r="E17" s="192"/>
      <c r="F17" s="192"/>
    </row>
    <row r="18" spans="1:8" s="184" customFormat="1" ht="12.75">
      <c r="A18" s="201" t="s">
        <v>375</v>
      </c>
      <c r="B18" s="202"/>
      <c r="C18" s="203" t="s">
        <v>369</v>
      </c>
      <c r="D18" s="204">
        <v>79385640.70172776</v>
      </c>
      <c r="G18" s="182"/>
      <c r="H18" s="182"/>
    </row>
    <row r="19" spans="1:8" s="184" customFormat="1" ht="3.75" customHeight="1">
      <c r="A19" s="202"/>
      <c r="B19" s="202"/>
      <c r="C19" s="202"/>
      <c r="D19" s="204"/>
      <c r="G19" s="182"/>
      <c r="H19" s="182"/>
    </row>
    <row r="20" spans="1:8" s="184" customFormat="1" ht="12.75">
      <c r="A20" s="202" t="s">
        <v>370</v>
      </c>
      <c r="B20" s="202"/>
      <c r="C20" s="203" t="s">
        <v>371</v>
      </c>
      <c r="D20" s="206">
        <f>E10</f>
        <v>0.788</v>
      </c>
      <c r="G20" s="182"/>
      <c r="H20" s="182"/>
    </row>
    <row r="21" spans="1:8" s="184" customFormat="1" ht="5.25" customHeight="1">
      <c r="A21" s="202"/>
      <c r="B21" s="202"/>
      <c r="C21" s="202"/>
      <c r="D21" s="208"/>
      <c r="G21" s="182"/>
      <c r="H21" s="182"/>
    </row>
    <row r="22" spans="1:8" s="184" customFormat="1" ht="12.75">
      <c r="A22" s="202" t="s">
        <v>372</v>
      </c>
      <c r="B22" s="202"/>
      <c r="C22" s="352" t="s">
        <v>504</v>
      </c>
      <c r="D22" s="204">
        <f>D18*D20</f>
        <v>62555884.87296148</v>
      </c>
      <c r="G22" s="182"/>
      <c r="H22" s="182"/>
    </row>
    <row r="23" spans="1:8" s="184" customFormat="1" ht="12.75">
      <c r="A23" s="202" t="s">
        <v>373</v>
      </c>
      <c r="B23" s="202"/>
      <c r="C23" s="202"/>
      <c r="D23" s="209">
        <v>0.009634</v>
      </c>
      <c r="G23" s="182"/>
      <c r="H23" s="182"/>
    </row>
    <row r="24" spans="1:8" s="184" customFormat="1" ht="12.75">
      <c r="A24" s="202" t="s">
        <v>313</v>
      </c>
      <c r="B24" s="202"/>
      <c r="C24" s="352" t="s">
        <v>505</v>
      </c>
      <c r="D24" s="207">
        <f>ROUND(D22*D23,-3)</f>
        <v>603000</v>
      </c>
      <c r="G24" s="182"/>
      <c r="H24" s="182"/>
    </row>
    <row r="25" spans="1:8" s="184" customFormat="1" ht="12.75">
      <c r="A25" s="202"/>
      <c r="B25" s="202"/>
      <c r="C25" s="202"/>
      <c r="D25" s="204"/>
      <c r="G25" s="182"/>
      <c r="H25" s="182"/>
    </row>
    <row r="26" spans="1:8" s="184" customFormat="1" ht="12.75">
      <c r="A26" s="201" t="s">
        <v>376</v>
      </c>
      <c r="B26" s="202"/>
      <c r="C26" s="203" t="s">
        <v>369</v>
      </c>
      <c r="D26" s="204">
        <v>10922676.238055818</v>
      </c>
      <c r="G26" s="182"/>
      <c r="H26" s="182"/>
    </row>
    <row r="27" spans="1:8" s="184" customFormat="1" ht="3.75" customHeight="1">
      <c r="A27" s="202"/>
      <c r="B27" s="202"/>
      <c r="C27" s="202"/>
      <c r="D27" s="204"/>
      <c r="G27" s="182"/>
      <c r="H27" s="182"/>
    </row>
    <row r="28" spans="1:8" s="184" customFormat="1" ht="12.75">
      <c r="A28" s="202" t="s">
        <v>370</v>
      </c>
      <c r="B28" s="202"/>
      <c r="C28" s="203" t="s">
        <v>371</v>
      </c>
      <c r="D28" s="206">
        <v>0.788</v>
      </c>
      <c r="G28" s="182"/>
      <c r="H28" s="182"/>
    </row>
    <row r="29" spans="1:8" s="184" customFormat="1" ht="5.25" customHeight="1">
      <c r="A29" s="202"/>
      <c r="B29" s="202"/>
      <c r="C29" s="202"/>
      <c r="D29" s="208"/>
      <c r="G29" s="182"/>
      <c r="H29" s="182"/>
    </row>
    <row r="30" spans="1:8" s="184" customFormat="1" ht="12.75">
      <c r="A30" s="202" t="s">
        <v>372</v>
      </c>
      <c r="B30" s="202"/>
      <c r="C30" s="352" t="s">
        <v>504</v>
      </c>
      <c r="D30" s="204">
        <f>D26*D28</f>
        <v>8607068.875587985</v>
      </c>
      <c r="G30" s="182"/>
      <c r="H30" s="182"/>
    </row>
    <row r="31" spans="1:8" s="184" customFormat="1" ht="12.75">
      <c r="A31" s="202" t="s">
        <v>373</v>
      </c>
      <c r="B31" s="202"/>
      <c r="C31" s="202"/>
      <c r="D31" s="209">
        <v>0.013894</v>
      </c>
      <c r="G31" s="182"/>
      <c r="H31" s="182"/>
    </row>
    <row r="32" spans="1:8" s="184" customFormat="1" ht="12.75">
      <c r="A32" s="202" t="s">
        <v>313</v>
      </c>
      <c r="B32" s="202"/>
      <c r="C32" s="352" t="s">
        <v>505</v>
      </c>
      <c r="D32" s="207">
        <f>ROUND(D30*D31,-3)</f>
        <v>120000</v>
      </c>
      <c r="G32" s="182"/>
      <c r="H32" s="182"/>
    </row>
    <row r="33" spans="1:8" s="184" customFormat="1" ht="12.75">
      <c r="A33" s="202"/>
      <c r="B33" s="202"/>
      <c r="C33" s="202"/>
      <c r="D33" s="204"/>
      <c r="G33" s="182"/>
      <c r="H33" s="182"/>
    </row>
    <row r="34" spans="1:4" ht="13.5" thickBot="1">
      <c r="A34" s="202"/>
      <c r="B34" s="202"/>
      <c r="C34" s="202"/>
      <c r="D34" s="204"/>
    </row>
    <row r="35" spans="1:5" ht="13.5" thickBot="1">
      <c r="A35" s="366" t="s">
        <v>377</v>
      </c>
      <c r="B35" s="367"/>
      <c r="C35" s="367"/>
      <c r="D35" s="210">
        <f>ROUND(SUM(D32,D24,D15),-4)</f>
        <v>4340000</v>
      </c>
      <c r="E35" s="194"/>
    </row>
    <row r="36" spans="1:4" ht="12.75">
      <c r="A36" s="202"/>
      <c r="B36" s="202"/>
      <c r="C36" s="202"/>
      <c r="D36" s="72" t="s">
        <v>327</v>
      </c>
    </row>
    <row r="37" spans="1:4" ht="12.75">
      <c r="A37" s="202"/>
      <c r="B37" s="202"/>
      <c r="C37" s="212" t="s">
        <v>378</v>
      </c>
      <c r="D37" s="204"/>
    </row>
    <row r="38" spans="1:6" ht="12.75">
      <c r="A38" s="202"/>
      <c r="B38" s="202"/>
      <c r="C38" s="213" t="s">
        <v>379</v>
      </c>
      <c r="D38" s="202"/>
      <c r="F38" s="186" t="s">
        <v>380</v>
      </c>
    </row>
    <row r="39" spans="1:6" ht="12.75">
      <c r="A39" s="202"/>
      <c r="B39" s="202"/>
      <c r="C39" s="214" t="s">
        <v>381</v>
      </c>
      <c r="D39" s="202"/>
      <c r="F39" s="187" t="s">
        <v>373</v>
      </c>
    </row>
    <row r="40" spans="1:4" ht="5.25" customHeight="1">
      <c r="A40" s="202"/>
      <c r="B40" s="202"/>
      <c r="C40" s="202"/>
      <c r="D40" s="202"/>
    </row>
    <row r="41" spans="1:6" ht="12.75">
      <c r="A41" s="202" t="s">
        <v>382</v>
      </c>
      <c r="B41" s="203" t="s">
        <v>383</v>
      </c>
      <c r="C41" s="215">
        <v>0.01204</v>
      </c>
      <c r="D41" s="202"/>
      <c r="E41" s="196" t="s">
        <v>384</v>
      </c>
      <c r="F41" s="197">
        <f>C41*54.33/54.56</f>
        <v>0.01198924486803519</v>
      </c>
    </row>
    <row r="42" spans="1:6" ht="12.75">
      <c r="A42" s="202" t="s">
        <v>385</v>
      </c>
      <c r="B42" s="203" t="s">
        <v>386</v>
      </c>
      <c r="C42" s="215">
        <v>0.01311</v>
      </c>
      <c r="D42" s="202"/>
      <c r="E42" s="196" t="s">
        <v>387</v>
      </c>
      <c r="F42" s="197">
        <f>C42*0.23/54.56</f>
        <v>5.5265762463343114E-05</v>
      </c>
    </row>
    <row r="43" spans="1:6" ht="12.75">
      <c r="A43" s="202" t="s">
        <v>388</v>
      </c>
      <c r="B43" s="203" t="s">
        <v>389</v>
      </c>
      <c r="C43" s="215"/>
      <c r="D43" s="202"/>
      <c r="F43" s="197"/>
    </row>
    <row r="44" spans="1:6" ht="13.5" thickBot="1">
      <c r="A44" s="202" t="s">
        <v>390</v>
      </c>
      <c r="B44" s="202"/>
      <c r="C44" s="215"/>
      <c r="D44" s="202"/>
      <c r="F44" s="198">
        <f>SUM(F41:F43)</f>
        <v>0.012044510630498533</v>
      </c>
    </row>
    <row r="45" spans="1:5" ht="12.75">
      <c r="A45" s="202"/>
      <c r="B45" s="202"/>
      <c r="C45" s="211" t="s">
        <v>391</v>
      </c>
      <c r="D45" s="202"/>
      <c r="E45" s="199"/>
    </row>
    <row r="46" spans="1:6" ht="12.75">
      <c r="A46" s="202"/>
      <c r="B46" s="202"/>
      <c r="C46" s="213" t="s">
        <v>379</v>
      </c>
      <c r="D46" s="202"/>
      <c r="E46" s="186" t="s">
        <v>380</v>
      </c>
      <c r="F46" s="182"/>
    </row>
    <row r="47" spans="1:6" ht="12.75">
      <c r="A47" s="202"/>
      <c r="B47" s="202"/>
      <c r="C47" s="214" t="s">
        <v>381</v>
      </c>
      <c r="D47" s="202"/>
      <c r="E47" s="187" t="s">
        <v>373</v>
      </c>
      <c r="F47" s="182"/>
    </row>
    <row r="48" spans="1:6" ht="4.5" customHeight="1">
      <c r="A48" s="202"/>
      <c r="B48" s="202"/>
      <c r="C48" s="202"/>
      <c r="D48" s="202"/>
      <c r="F48" s="182"/>
    </row>
    <row r="49" spans="1:6" ht="12.75">
      <c r="A49" s="202" t="s">
        <v>392</v>
      </c>
      <c r="B49" s="203" t="s">
        <v>393</v>
      </c>
      <c r="C49" s="215">
        <v>0.00979</v>
      </c>
      <c r="D49" s="203" t="s">
        <v>394</v>
      </c>
      <c r="E49" s="197">
        <f>6.31/31.12*C49</f>
        <v>0.0019850546272493575</v>
      </c>
      <c r="F49" s="182"/>
    </row>
    <row r="50" spans="1:6" ht="12.75">
      <c r="A50" s="202" t="s">
        <v>395</v>
      </c>
      <c r="B50" s="203" t="s">
        <v>396</v>
      </c>
      <c r="C50" s="215">
        <v>0.00798</v>
      </c>
      <c r="D50" s="203" t="s">
        <v>397</v>
      </c>
      <c r="E50" s="197">
        <f>24.81/31.12*C50</f>
        <v>0.006361947300771207</v>
      </c>
      <c r="F50" s="182"/>
    </row>
    <row r="51" spans="1:6" ht="12.75">
      <c r="A51" s="202" t="s">
        <v>398</v>
      </c>
      <c r="B51" s="202" t="s">
        <v>399</v>
      </c>
      <c r="C51" s="215"/>
      <c r="D51" s="202"/>
      <c r="E51" s="197"/>
      <c r="F51" s="182"/>
    </row>
    <row r="52" spans="1:6" ht="13.5" thickBot="1">
      <c r="A52" s="202" t="s">
        <v>390</v>
      </c>
      <c r="B52" s="202"/>
      <c r="C52" s="215"/>
      <c r="D52" s="202"/>
      <c r="E52" s="198">
        <f>SUM(E49:E51)</f>
        <v>0.008347001928020565</v>
      </c>
      <c r="F52" s="182"/>
    </row>
    <row r="53" spans="1:4" ht="12.75">
      <c r="A53" s="202"/>
      <c r="B53" s="202"/>
      <c r="C53" s="202"/>
      <c r="D53" s="202"/>
    </row>
    <row r="54" spans="1:4" ht="12.75">
      <c r="A54" s="202"/>
      <c r="B54" s="202"/>
      <c r="C54" s="202"/>
      <c r="D54" s="202"/>
    </row>
  </sheetData>
  <sheetProtection/>
  <mergeCells count="1">
    <mergeCell ref="A35:C35"/>
  </mergeCells>
  <printOptions/>
  <pageMargins left="0.7" right="0.7" top="0.75" bottom="0.75" header="0.3" footer="0.3"/>
  <pageSetup horizontalDpi="600" verticalDpi="600" orientation="portrait" scale="78" r:id="rId1"/>
  <headerFooter alignWithMargins="0">
    <oddHeader>&amp;RPage 2.4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75" zoomScaleNormal="75" zoomScaleSheetLayoutView="75" zoomScalePageLayoutView="0" workbookViewId="0" topLeftCell="C1">
      <selection activeCell="A6" sqref="A6"/>
    </sheetView>
  </sheetViews>
  <sheetFormatPr defaultColWidth="9.140625" defaultRowHeight="12.75"/>
  <cols>
    <col min="1" max="1" width="36.28125" style="310" customWidth="1"/>
    <col min="2" max="2" width="33.57421875" style="310" bestFit="1" customWidth="1"/>
    <col min="3" max="3" width="20.140625" style="310" customWidth="1"/>
    <col min="4" max="5" width="20.140625" style="313" customWidth="1"/>
    <col min="6" max="6" width="20.140625" style="310" customWidth="1"/>
    <col min="7" max="7" width="21.8515625" style="310" bestFit="1" customWidth="1"/>
    <col min="8" max="8" width="31.421875" style="310" bestFit="1" customWidth="1"/>
    <col min="9" max="9" width="23.00390625" style="310" bestFit="1" customWidth="1"/>
    <col min="10" max="10" width="23.00390625" style="310" customWidth="1"/>
    <col min="11" max="11" width="7.8515625" style="310" customWidth="1"/>
    <col min="12" max="16384" width="9.140625" style="310" customWidth="1"/>
  </cols>
  <sheetData>
    <row r="1" spans="1:10" ht="12.75">
      <c r="A1" s="241" t="s">
        <v>13</v>
      </c>
      <c r="D1" s="311"/>
      <c r="E1" s="311"/>
      <c r="F1" s="312"/>
      <c r="G1" s="241"/>
      <c r="H1" s="241"/>
      <c r="I1" s="241"/>
      <c r="J1" s="241"/>
    </row>
    <row r="2" ht="12.75">
      <c r="A2" s="180" t="s">
        <v>430</v>
      </c>
    </row>
    <row r="3" ht="12.75">
      <c r="A3" s="241" t="s">
        <v>274</v>
      </c>
    </row>
    <row r="4" spans="1:10" s="314" customFormat="1" ht="12.75">
      <c r="A4" s="340" t="s">
        <v>494</v>
      </c>
      <c r="C4" s="315" t="s">
        <v>275</v>
      </c>
      <c r="D4" s="315" t="s">
        <v>276</v>
      </c>
      <c r="E4" s="316" t="s">
        <v>277</v>
      </c>
      <c r="F4" s="316" t="s">
        <v>466</v>
      </c>
      <c r="G4" s="316" t="s">
        <v>467</v>
      </c>
      <c r="H4" s="316" t="s">
        <v>468</v>
      </c>
      <c r="I4" s="316" t="s">
        <v>469</v>
      </c>
      <c r="J4" s="316" t="s">
        <v>470</v>
      </c>
    </row>
    <row r="5" spans="3:10" s="314" customFormat="1" ht="12.75">
      <c r="C5" s="317" t="s">
        <v>471</v>
      </c>
      <c r="D5" s="317" t="s">
        <v>472</v>
      </c>
      <c r="E5" s="314" t="s">
        <v>473</v>
      </c>
      <c r="F5" s="314" t="s">
        <v>321</v>
      </c>
      <c r="G5" s="314" t="s">
        <v>474</v>
      </c>
      <c r="H5" s="314" t="s">
        <v>475</v>
      </c>
      <c r="I5" s="314" t="s">
        <v>436</v>
      </c>
      <c r="J5" s="314" t="s">
        <v>278</v>
      </c>
    </row>
    <row r="6" spans="3:10" s="314" customFormat="1" ht="12.75">
      <c r="C6" s="317" t="s">
        <v>476</v>
      </c>
      <c r="D6" s="317" t="s">
        <v>477</v>
      </c>
      <c r="E6" s="314" t="s">
        <v>280</v>
      </c>
      <c r="F6" s="314" t="s">
        <v>478</v>
      </c>
      <c r="G6" s="314" t="s">
        <v>280</v>
      </c>
      <c r="H6" s="314" t="s">
        <v>479</v>
      </c>
      <c r="I6" s="314" t="s">
        <v>280</v>
      </c>
      <c r="J6" s="314" t="s">
        <v>280</v>
      </c>
    </row>
    <row r="7" spans="1:11" s="314" customFormat="1" ht="12.75">
      <c r="A7" s="318" t="s">
        <v>5</v>
      </c>
      <c r="B7" s="318" t="s">
        <v>279</v>
      </c>
      <c r="C7" s="319" t="s">
        <v>480</v>
      </c>
      <c r="D7" s="319" t="s">
        <v>481</v>
      </c>
      <c r="E7" s="318" t="s">
        <v>311</v>
      </c>
      <c r="F7" s="318" t="s">
        <v>474</v>
      </c>
      <c r="G7" s="318" t="s">
        <v>482</v>
      </c>
      <c r="H7" s="318" t="s">
        <v>506</v>
      </c>
      <c r="I7" s="318" t="s">
        <v>483</v>
      </c>
      <c r="J7" s="318" t="s">
        <v>484</v>
      </c>
      <c r="K7" s="314" t="s">
        <v>6</v>
      </c>
    </row>
    <row r="8" spans="3:5" ht="12.75">
      <c r="C8" s="313"/>
      <c r="E8" s="310"/>
    </row>
    <row r="9" spans="1:5" ht="12.75">
      <c r="A9" s="310" t="s">
        <v>281</v>
      </c>
      <c r="C9" s="313"/>
      <c r="E9" s="310"/>
    </row>
    <row r="10" spans="1:11" ht="12.75">
      <c r="A10" s="320" t="s">
        <v>282</v>
      </c>
      <c r="B10" s="321">
        <v>447.12</v>
      </c>
      <c r="C10" s="322">
        <v>20042724.58</v>
      </c>
      <c r="D10" s="322">
        <v>20042724.58</v>
      </c>
      <c r="E10" s="323">
        <f aca="true" t="shared" si="0" ref="E10:E15">D10-C10</f>
        <v>0</v>
      </c>
      <c r="F10" s="324">
        <v>20042724.58</v>
      </c>
      <c r="G10" s="323">
        <f aca="true" t="shared" si="1" ref="G10:G15">F10-D10</f>
        <v>0</v>
      </c>
      <c r="H10" s="323">
        <v>20042724.58</v>
      </c>
      <c r="I10" s="323">
        <f aca="true" t="shared" si="2" ref="I10:I15">H10-F10</f>
        <v>0</v>
      </c>
      <c r="J10" s="323">
        <f aca="true" t="shared" si="3" ref="J10:J15">E10+I10+G10</f>
        <v>0</v>
      </c>
      <c r="K10" s="325" t="s">
        <v>4</v>
      </c>
    </row>
    <row r="11" spans="1:11" ht="12.75">
      <c r="A11" s="320" t="s">
        <v>283</v>
      </c>
      <c r="B11" s="321">
        <v>447.122</v>
      </c>
      <c r="C11" s="322">
        <v>25490589.4</v>
      </c>
      <c r="D11" s="322">
        <v>25490589.4</v>
      </c>
      <c r="E11" s="323">
        <f t="shared" si="0"/>
        <v>0</v>
      </c>
      <c r="F11" s="324">
        <v>25490589.4</v>
      </c>
      <c r="G11" s="323">
        <f t="shared" si="1"/>
        <v>0</v>
      </c>
      <c r="H11" s="323">
        <v>25490589.4</v>
      </c>
      <c r="I11" s="323">
        <f t="shared" si="2"/>
        <v>0</v>
      </c>
      <c r="J11" s="323">
        <f t="shared" si="3"/>
        <v>0</v>
      </c>
      <c r="K11" s="325" t="s">
        <v>4</v>
      </c>
    </row>
    <row r="12" spans="1:11" ht="12.75">
      <c r="A12" s="320" t="s">
        <v>284</v>
      </c>
      <c r="B12" s="321" t="s">
        <v>285</v>
      </c>
      <c r="C12" s="322">
        <v>712559928.48</v>
      </c>
      <c r="D12" s="322">
        <v>712091927.8199999</v>
      </c>
      <c r="E12" s="323">
        <f t="shared" si="0"/>
        <v>-468000.66000008583</v>
      </c>
      <c r="F12" s="324">
        <v>710685244.31</v>
      </c>
      <c r="G12" s="323">
        <f t="shared" si="1"/>
        <v>-1406683.5099999905</v>
      </c>
      <c r="H12" s="323">
        <v>714935300.91</v>
      </c>
      <c r="I12" s="323">
        <f t="shared" si="2"/>
        <v>4250056.600000024</v>
      </c>
      <c r="J12" s="323">
        <f t="shared" si="3"/>
        <v>2375372.4299999475</v>
      </c>
      <c r="K12" s="325" t="s">
        <v>4</v>
      </c>
    </row>
    <row r="13" spans="1:11" ht="12.75">
      <c r="A13" s="320" t="s">
        <v>286</v>
      </c>
      <c r="B13" s="321">
        <v>447.5</v>
      </c>
      <c r="C13" s="63">
        <v>0</v>
      </c>
      <c r="D13" s="63">
        <v>0</v>
      </c>
      <c r="E13" s="323">
        <f t="shared" si="0"/>
        <v>0</v>
      </c>
      <c r="F13" s="62">
        <v>0</v>
      </c>
      <c r="G13" s="323">
        <f t="shared" si="1"/>
        <v>0</v>
      </c>
      <c r="H13" s="62">
        <v>0</v>
      </c>
      <c r="I13" s="323">
        <f t="shared" si="2"/>
        <v>0</v>
      </c>
      <c r="J13" s="323">
        <f t="shared" si="3"/>
        <v>0</v>
      </c>
      <c r="K13" s="325" t="s">
        <v>27</v>
      </c>
    </row>
    <row r="14" spans="1:11" ht="12.75">
      <c r="A14" s="320" t="s">
        <v>485</v>
      </c>
      <c r="B14" s="321">
        <v>447.9</v>
      </c>
      <c r="C14" s="322"/>
      <c r="D14" s="322"/>
      <c r="E14" s="323">
        <f t="shared" si="0"/>
        <v>0</v>
      </c>
      <c r="F14" s="324"/>
      <c r="G14" s="323">
        <f t="shared" si="1"/>
        <v>0</v>
      </c>
      <c r="H14" s="323"/>
      <c r="I14" s="323">
        <f t="shared" si="2"/>
        <v>0</v>
      </c>
      <c r="J14" s="323">
        <f t="shared" si="3"/>
        <v>0</v>
      </c>
      <c r="K14" s="325" t="s">
        <v>101</v>
      </c>
    </row>
    <row r="15" spans="1:11" ht="12.75">
      <c r="A15" s="320" t="s">
        <v>486</v>
      </c>
      <c r="B15" s="321">
        <v>447.1</v>
      </c>
      <c r="C15" s="322"/>
      <c r="D15" s="322"/>
      <c r="E15" s="323">
        <f t="shared" si="0"/>
        <v>0</v>
      </c>
      <c r="F15" s="324"/>
      <c r="G15" s="323">
        <f t="shared" si="1"/>
        <v>0</v>
      </c>
      <c r="H15" s="323"/>
      <c r="I15" s="323">
        <f t="shared" si="2"/>
        <v>0</v>
      </c>
      <c r="J15" s="323">
        <f t="shared" si="3"/>
        <v>0</v>
      </c>
      <c r="K15" s="325" t="s">
        <v>101</v>
      </c>
    </row>
    <row r="16" spans="1:11" ht="13.5" thickBot="1">
      <c r="A16" s="310" t="s">
        <v>287</v>
      </c>
      <c r="B16" s="321"/>
      <c r="C16" s="326">
        <f aca="true" t="shared" si="4" ref="C16:J16">SUM(C10:C15)</f>
        <v>758093242.46</v>
      </c>
      <c r="D16" s="326">
        <f t="shared" si="4"/>
        <v>757625241.8</v>
      </c>
      <c r="E16" s="327">
        <f t="shared" si="4"/>
        <v>-468000.66000008583</v>
      </c>
      <c r="F16" s="328">
        <f t="shared" si="4"/>
        <v>756218558.29</v>
      </c>
      <c r="G16" s="327">
        <f t="shared" si="4"/>
        <v>-1406683.5099999905</v>
      </c>
      <c r="H16" s="327">
        <f t="shared" si="4"/>
        <v>760468614.89</v>
      </c>
      <c r="I16" s="327">
        <f t="shared" si="4"/>
        <v>4250056.600000024</v>
      </c>
      <c r="J16" s="327">
        <f t="shared" si="4"/>
        <v>2375372.4299999475</v>
      </c>
      <c r="K16" s="325"/>
    </row>
    <row r="17" spans="2:11" ht="13.5" thickTop="1">
      <c r="B17" s="321"/>
      <c r="C17" s="322"/>
      <c r="D17" s="322"/>
      <c r="E17" s="323"/>
      <c r="F17" s="324"/>
      <c r="G17" s="323"/>
      <c r="H17" s="323"/>
      <c r="I17" s="323"/>
      <c r="J17" s="323"/>
      <c r="K17" s="325"/>
    </row>
    <row r="18" spans="1:11" ht="12.75">
      <c r="A18" s="310" t="s">
        <v>288</v>
      </c>
      <c r="B18" s="321"/>
      <c r="C18" s="322"/>
      <c r="D18" s="322"/>
      <c r="E18" s="323"/>
      <c r="F18" s="324"/>
      <c r="G18" s="323"/>
      <c r="H18" s="323"/>
      <c r="I18" s="323"/>
      <c r="J18" s="323"/>
      <c r="K18" s="325"/>
    </row>
    <row r="19" spans="1:11" ht="12.75">
      <c r="A19" s="320" t="s">
        <v>289</v>
      </c>
      <c r="B19" s="321">
        <v>555.66</v>
      </c>
      <c r="C19" s="322">
        <v>67742739.17723805</v>
      </c>
      <c r="D19" s="322">
        <v>67742739.17723805</v>
      </c>
      <c r="E19" s="323">
        <f>D19-C19</f>
        <v>0</v>
      </c>
      <c r="F19" s="324">
        <v>67742739.17723805</v>
      </c>
      <c r="G19" s="323">
        <f aca="true" t="shared" si="5" ref="G19:G26">F19-D19</f>
        <v>0</v>
      </c>
      <c r="H19" s="323">
        <v>67742739.17723805</v>
      </c>
      <c r="I19" s="323">
        <f>H19-F19</f>
        <v>0</v>
      </c>
      <c r="J19" s="323">
        <f>E19+I19+G19</f>
        <v>0</v>
      </c>
      <c r="K19" s="329" t="s">
        <v>4</v>
      </c>
    </row>
    <row r="20" spans="1:11" ht="12.75">
      <c r="A20" s="320" t="s">
        <v>290</v>
      </c>
      <c r="B20" s="321">
        <v>555.68</v>
      </c>
      <c r="C20" s="322">
        <v>45678761.041939706</v>
      </c>
      <c r="D20" s="322">
        <v>45678761.041939706</v>
      </c>
      <c r="E20" s="323">
        <f aca="true" t="shared" si="6" ref="E20:E26">D20-C20</f>
        <v>0</v>
      </c>
      <c r="F20" s="324">
        <v>45678761.041939706</v>
      </c>
      <c r="G20" s="323">
        <f t="shared" si="5"/>
        <v>0</v>
      </c>
      <c r="H20" s="323">
        <v>45678761.041939706</v>
      </c>
      <c r="I20" s="323">
        <f aca="true" t="shared" si="7" ref="I20:I26">H20-F20</f>
        <v>0</v>
      </c>
      <c r="J20" s="323">
        <f aca="true" t="shared" si="8" ref="J20:J26">E20+I20+G20</f>
        <v>0</v>
      </c>
      <c r="K20" s="329" t="s">
        <v>4</v>
      </c>
    </row>
    <row r="21" spans="1:11" ht="12.75">
      <c r="A21" s="320" t="s">
        <v>291</v>
      </c>
      <c r="B21" s="321" t="s">
        <v>292</v>
      </c>
      <c r="C21" s="322">
        <v>59408930.18673346</v>
      </c>
      <c r="D21" s="322">
        <v>59408930.18673346</v>
      </c>
      <c r="E21" s="323">
        <f t="shared" si="6"/>
        <v>0</v>
      </c>
      <c r="F21" s="324">
        <v>59408930.18673346</v>
      </c>
      <c r="G21" s="323">
        <f t="shared" si="5"/>
        <v>0</v>
      </c>
      <c r="H21" s="323">
        <v>59408930.18673346</v>
      </c>
      <c r="I21" s="323">
        <f t="shared" si="7"/>
        <v>0</v>
      </c>
      <c r="J21" s="323">
        <f t="shared" si="8"/>
        <v>0</v>
      </c>
      <c r="K21" s="329" t="s">
        <v>27</v>
      </c>
    </row>
    <row r="22" spans="1:11" ht="12.75">
      <c r="A22" s="320" t="s">
        <v>293</v>
      </c>
      <c r="B22" s="321" t="s">
        <v>294</v>
      </c>
      <c r="C22" s="322">
        <v>323959279.6940888</v>
      </c>
      <c r="D22" s="322">
        <v>324323571.29408884</v>
      </c>
      <c r="E22" s="323">
        <f t="shared" si="6"/>
        <v>364291.60000002384</v>
      </c>
      <c r="F22" s="324">
        <v>325142891.2040888</v>
      </c>
      <c r="G22" s="323">
        <f t="shared" si="5"/>
        <v>819319.9099999666</v>
      </c>
      <c r="H22" s="323">
        <v>321690839.79408884</v>
      </c>
      <c r="I22" s="323">
        <f t="shared" si="7"/>
        <v>-3452051.4099999666</v>
      </c>
      <c r="J22" s="323">
        <f t="shared" si="8"/>
        <v>-2268439.899999976</v>
      </c>
      <c r="K22" s="329" t="s">
        <v>4</v>
      </c>
    </row>
    <row r="23" spans="1:11" ht="12.75">
      <c r="A23" s="320" t="s">
        <v>487</v>
      </c>
      <c r="B23" s="321" t="s">
        <v>488</v>
      </c>
      <c r="C23" s="64"/>
      <c r="D23" s="64"/>
      <c r="E23" s="323">
        <f t="shared" si="6"/>
        <v>0</v>
      </c>
      <c r="F23" s="61"/>
      <c r="G23" s="323">
        <f t="shared" si="5"/>
        <v>0</v>
      </c>
      <c r="H23" s="61"/>
      <c r="I23" s="323">
        <f t="shared" si="7"/>
        <v>0</v>
      </c>
      <c r="J23" s="323">
        <f t="shared" si="8"/>
        <v>0</v>
      </c>
      <c r="K23" s="329" t="s">
        <v>27</v>
      </c>
    </row>
    <row r="24" spans="1:11" ht="12.75">
      <c r="A24" s="320" t="s">
        <v>295</v>
      </c>
      <c r="B24" s="321"/>
      <c r="C24" s="64">
        <v>7467740</v>
      </c>
      <c r="D24" s="64">
        <v>7467740</v>
      </c>
      <c r="E24" s="323">
        <f t="shared" si="6"/>
        <v>0</v>
      </c>
      <c r="F24" s="64">
        <v>7467740</v>
      </c>
      <c r="G24" s="323">
        <f t="shared" si="5"/>
        <v>0</v>
      </c>
      <c r="H24" s="61">
        <v>7467740</v>
      </c>
      <c r="I24" s="323">
        <f t="shared" si="7"/>
        <v>0</v>
      </c>
      <c r="J24" s="323">
        <f t="shared" si="8"/>
        <v>0</v>
      </c>
      <c r="K24" s="329" t="s">
        <v>4</v>
      </c>
    </row>
    <row r="25" spans="1:11" ht="12.75">
      <c r="A25" s="320" t="s">
        <v>296</v>
      </c>
      <c r="B25" s="321"/>
      <c r="C25" s="64">
        <v>28284029.47</v>
      </c>
      <c r="D25" s="64">
        <v>28284029.47</v>
      </c>
      <c r="E25" s="323">
        <f t="shared" si="6"/>
        <v>0</v>
      </c>
      <c r="F25" s="64">
        <v>28284029.47</v>
      </c>
      <c r="G25" s="323">
        <f t="shared" si="5"/>
        <v>0</v>
      </c>
      <c r="H25" s="61">
        <v>30624747.87</v>
      </c>
      <c r="I25" s="323">
        <f t="shared" si="7"/>
        <v>2340718.4000000022</v>
      </c>
      <c r="J25" s="323">
        <f t="shared" si="8"/>
        <v>2340718.4000000022</v>
      </c>
      <c r="K25" s="329" t="s">
        <v>4</v>
      </c>
    </row>
    <row r="26" spans="1:11" ht="12.75">
      <c r="A26" s="320" t="s">
        <v>489</v>
      </c>
      <c r="B26" s="321" t="s">
        <v>490</v>
      </c>
      <c r="C26" s="64"/>
      <c r="D26" s="64"/>
      <c r="E26" s="323">
        <f t="shared" si="6"/>
        <v>0</v>
      </c>
      <c r="F26" s="61"/>
      <c r="G26" s="323">
        <f t="shared" si="5"/>
        <v>0</v>
      </c>
      <c r="H26" s="61"/>
      <c r="I26" s="323">
        <f t="shared" si="7"/>
        <v>0</v>
      </c>
      <c r="J26" s="323">
        <f t="shared" si="8"/>
        <v>0</v>
      </c>
      <c r="K26" s="329" t="s">
        <v>101</v>
      </c>
    </row>
    <row r="27" spans="1:11" ht="13.5" thickBot="1">
      <c r="A27" s="310" t="s">
        <v>297</v>
      </c>
      <c r="B27" s="321"/>
      <c r="C27" s="326">
        <f>SUM(C19:C26)</f>
        <v>532541479.57000005</v>
      </c>
      <c r="D27" s="326">
        <f aca="true" t="shared" si="9" ref="D27:J27">SUM(D19:D26)</f>
        <v>532905771.1700001</v>
      </c>
      <c r="E27" s="327">
        <f t="shared" si="9"/>
        <v>364291.60000002384</v>
      </c>
      <c r="F27" s="328">
        <f t="shared" si="9"/>
        <v>533725091.08000004</v>
      </c>
      <c r="G27" s="327">
        <f t="shared" si="9"/>
        <v>819319.9099999666</v>
      </c>
      <c r="H27" s="327">
        <f t="shared" si="9"/>
        <v>532613758.07000005</v>
      </c>
      <c r="I27" s="327">
        <f t="shared" si="9"/>
        <v>-1111333.0099999644</v>
      </c>
      <c r="J27" s="327">
        <f t="shared" si="9"/>
        <v>72278.50000002608</v>
      </c>
      <c r="K27" s="325"/>
    </row>
    <row r="28" spans="2:11" ht="13.5" thickTop="1">
      <c r="B28" s="321"/>
      <c r="C28" s="330"/>
      <c r="D28" s="330"/>
      <c r="E28" s="331"/>
      <c r="F28" s="332"/>
      <c r="G28" s="331"/>
      <c r="H28" s="331"/>
      <c r="I28" s="331"/>
      <c r="J28" s="331"/>
      <c r="K28" s="325"/>
    </row>
    <row r="29" spans="1:11" ht="12.75">
      <c r="A29" s="310" t="s">
        <v>298</v>
      </c>
      <c r="B29" s="321"/>
      <c r="C29" s="322"/>
      <c r="D29" s="322"/>
      <c r="E29" s="323"/>
      <c r="F29" s="324"/>
      <c r="G29" s="323"/>
      <c r="H29" s="323"/>
      <c r="I29" s="323"/>
      <c r="J29" s="323"/>
      <c r="K29" s="325"/>
    </row>
    <row r="30" spans="1:11" ht="12.75">
      <c r="A30" s="320" t="s">
        <v>299</v>
      </c>
      <c r="B30" s="321">
        <v>565.26</v>
      </c>
      <c r="C30" s="322">
        <v>40241889.36000001</v>
      </c>
      <c r="D30" s="322">
        <v>40241889.36000001</v>
      </c>
      <c r="E30" s="323">
        <f>D30-C30</f>
        <v>0</v>
      </c>
      <c r="F30" s="324">
        <v>40241889.36000001</v>
      </c>
      <c r="G30" s="323">
        <f>F30-D30</f>
        <v>0</v>
      </c>
      <c r="H30" s="323">
        <v>40241889.36000001</v>
      </c>
      <c r="I30" s="323">
        <f>H30-F30</f>
        <v>0</v>
      </c>
      <c r="J30" s="323">
        <f>E30+I30+G30</f>
        <v>0</v>
      </c>
      <c r="K30" s="329" t="s">
        <v>4</v>
      </c>
    </row>
    <row r="31" spans="1:11" ht="12.75">
      <c r="A31" s="320" t="s">
        <v>300</v>
      </c>
      <c r="B31" s="321">
        <v>565.27</v>
      </c>
      <c r="C31" s="322">
        <v>408869.84999999776</v>
      </c>
      <c r="D31" s="322">
        <v>408869.84999999776</v>
      </c>
      <c r="E31" s="323">
        <f>D31-C31</f>
        <v>0</v>
      </c>
      <c r="F31" s="324">
        <v>408869.84999999776</v>
      </c>
      <c r="G31" s="323">
        <f>F31-D31</f>
        <v>0</v>
      </c>
      <c r="H31" s="323">
        <v>408869.84999999776</v>
      </c>
      <c r="I31" s="323">
        <f>H31-F31</f>
        <v>0</v>
      </c>
      <c r="J31" s="323">
        <f>E31+I31+G31</f>
        <v>0</v>
      </c>
      <c r="K31" s="329" t="s">
        <v>4</v>
      </c>
    </row>
    <row r="32" spans="1:11" ht="12.75">
      <c r="A32" s="320" t="s">
        <v>293</v>
      </c>
      <c r="B32" s="321" t="s">
        <v>301</v>
      </c>
      <c r="C32" s="322">
        <v>97743482.78999999</v>
      </c>
      <c r="D32" s="322">
        <v>97743482.78999999</v>
      </c>
      <c r="E32" s="323">
        <f>D32-C32</f>
        <v>0</v>
      </c>
      <c r="F32" s="324">
        <v>97743482.78999998</v>
      </c>
      <c r="G32" s="323">
        <f>F32-D32</f>
        <v>0</v>
      </c>
      <c r="H32" s="323">
        <v>97743482.78999999</v>
      </c>
      <c r="I32" s="323">
        <f>H32-F32</f>
        <v>0</v>
      </c>
      <c r="J32" s="323">
        <f>E32+I32+G32</f>
        <v>0</v>
      </c>
      <c r="K32" s="329" t="s">
        <v>4</v>
      </c>
    </row>
    <row r="33" spans="1:11" ht="12.75">
      <c r="A33" s="320" t="s">
        <v>302</v>
      </c>
      <c r="B33" s="321">
        <v>565.25</v>
      </c>
      <c r="C33" s="322">
        <v>940601.81</v>
      </c>
      <c r="D33" s="322">
        <v>939662.38</v>
      </c>
      <c r="E33" s="323">
        <f>D33-C33</f>
        <v>-939.4300000000512</v>
      </c>
      <c r="F33" s="324">
        <v>967929.64</v>
      </c>
      <c r="G33" s="323">
        <f>F33-D33</f>
        <v>28267.26000000001</v>
      </c>
      <c r="H33" s="323">
        <v>982626.79</v>
      </c>
      <c r="I33" s="323">
        <f>H33-F33</f>
        <v>14697.150000000023</v>
      </c>
      <c r="J33" s="323">
        <f>E33+I33+G33</f>
        <v>42024.97999999998</v>
      </c>
      <c r="K33" s="325" t="s">
        <v>27</v>
      </c>
    </row>
    <row r="34" spans="1:11" ht="13.5" thickBot="1">
      <c r="A34" s="310" t="s">
        <v>303</v>
      </c>
      <c r="B34" s="321"/>
      <c r="C34" s="326">
        <f aca="true" t="shared" si="10" ref="C34:J34">SUM(C30:C33)</f>
        <v>139334843.81</v>
      </c>
      <c r="D34" s="326">
        <f t="shared" si="10"/>
        <v>139333904.38</v>
      </c>
      <c r="E34" s="327">
        <f t="shared" si="10"/>
        <v>-939.4300000000512</v>
      </c>
      <c r="F34" s="328">
        <f t="shared" si="10"/>
        <v>139362171.64</v>
      </c>
      <c r="G34" s="327">
        <f t="shared" si="10"/>
        <v>28267.26000000001</v>
      </c>
      <c r="H34" s="327">
        <f t="shared" si="10"/>
        <v>139376868.79</v>
      </c>
      <c r="I34" s="327">
        <f t="shared" si="10"/>
        <v>14697.150000000023</v>
      </c>
      <c r="J34" s="327">
        <f t="shared" si="10"/>
        <v>42024.97999999998</v>
      </c>
      <c r="K34" s="325"/>
    </row>
    <row r="35" spans="2:11" ht="13.5" thickTop="1">
      <c r="B35" s="321"/>
      <c r="C35" s="322"/>
      <c r="D35" s="322"/>
      <c r="E35" s="323"/>
      <c r="F35" s="324"/>
      <c r="G35" s="323"/>
      <c r="H35" s="323"/>
      <c r="I35" s="323"/>
      <c r="J35" s="323"/>
      <c r="K35" s="325"/>
    </row>
    <row r="36" spans="1:11" ht="12.75">
      <c r="A36" s="310" t="s">
        <v>304</v>
      </c>
      <c r="B36" s="321"/>
      <c r="C36" s="322"/>
      <c r="D36" s="322"/>
      <c r="E36" s="323"/>
      <c r="F36" s="324"/>
      <c r="G36" s="323"/>
      <c r="H36" s="323"/>
      <c r="I36" s="323"/>
      <c r="J36" s="323"/>
      <c r="K36" s="325"/>
    </row>
    <row r="37" spans="1:11" ht="12.75">
      <c r="A37" s="320" t="s">
        <v>209</v>
      </c>
      <c r="B37" s="321" t="s">
        <v>305</v>
      </c>
      <c r="C37" s="322">
        <v>562077434.8299999</v>
      </c>
      <c r="D37" s="322">
        <v>561865501.98</v>
      </c>
      <c r="E37" s="323">
        <f>D37-C37</f>
        <v>-211932.84999990463</v>
      </c>
      <c r="F37" s="324">
        <v>561783571.04</v>
      </c>
      <c r="G37" s="323">
        <f aca="true" t="shared" si="11" ref="G37:G43">F37-D37</f>
        <v>-81930.94000005722</v>
      </c>
      <c r="H37" s="323">
        <v>561086835.37</v>
      </c>
      <c r="I37" s="323">
        <f>H37-F37</f>
        <v>-696735.6699999571</v>
      </c>
      <c r="J37" s="323">
        <f>E37+I37+G37</f>
        <v>-990599.4599999189</v>
      </c>
      <c r="K37" s="325" t="s">
        <v>27</v>
      </c>
    </row>
    <row r="38" spans="1:11" ht="12.75">
      <c r="A38" s="320" t="s">
        <v>210</v>
      </c>
      <c r="B38" s="321">
        <v>501.35</v>
      </c>
      <c r="C38" s="322">
        <v>13604040.118276075</v>
      </c>
      <c r="D38" s="322">
        <v>13609831.515730549</v>
      </c>
      <c r="E38" s="323">
        <f aca="true" t="shared" si="12" ref="E38:E43">D38-C38</f>
        <v>5791.397454474121</v>
      </c>
      <c r="F38" s="324">
        <v>13125209.19500769</v>
      </c>
      <c r="G38" s="323">
        <f t="shared" si="11"/>
        <v>-484622.32072285935</v>
      </c>
      <c r="H38" s="323">
        <v>12776458.643257402</v>
      </c>
      <c r="I38" s="323">
        <f aca="true" t="shared" si="13" ref="I38:I43">H38-F38</f>
        <v>-348750.5517502874</v>
      </c>
      <c r="J38" s="323">
        <f aca="true" t="shared" si="14" ref="J38:J43">E38+I38+G38</f>
        <v>-827581.4750186726</v>
      </c>
      <c r="K38" s="325" t="s">
        <v>27</v>
      </c>
    </row>
    <row r="39" spans="1:11" ht="12.75">
      <c r="A39" s="320" t="s">
        <v>306</v>
      </c>
      <c r="B39" s="321">
        <v>503</v>
      </c>
      <c r="C39" s="322">
        <v>3774004.17</v>
      </c>
      <c r="D39" s="322">
        <v>3774004.17</v>
      </c>
      <c r="E39" s="323">
        <f t="shared" si="12"/>
        <v>0</v>
      </c>
      <c r="F39" s="324">
        <v>3774004.17</v>
      </c>
      <c r="G39" s="323">
        <f t="shared" si="11"/>
        <v>0</v>
      </c>
      <c r="H39" s="323">
        <v>3774004.17</v>
      </c>
      <c r="I39" s="323">
        <f t="shared" si="13"/>
        <v>0</v>
      </c>
      <c r="J39" s="323">
        <f t="shared" si="14"/>
        <v>0</v>
      </c>
      <c r="K39" s="325" t="s">
        <v>27</v>
      </c>
    </row>
    <row r="40" spans="1:11" ht="12.75">
      <c r="A40" s="320" t="s">
        <v>211</v>
      </c>
      <c r="B40" s="321">
        <v>547</v>
      </c>
      <c r="C40" s="322">
        <v>443376922.9146381</v>
      </c>
      <c r="D40" s="322">
        <v>443429904.0851418</v>
      </c>
      <c r="E40" s="323">
        <f t="shared" si="12"/>
        <v>52981.17050367594</v>
      </c>
      <c r="F40" s="324">
        <v>440749486.4993944</v>
      </c>
      <c r="G40" s="323">
        <f t="shared" si="11"/>
        <v>-2680417.585747361</v>
      </c>
      <c r="H40" s="323">
        <v>439426033.04916346</v>
      </c>
      <c r="I40" s="323">
        <f t="shared" si="13"/>
        <v>-1323453.450230956</v>
      </c>
      <c r="J40" s="323">
        <f t="shared" si="14"/>
        <v>-3950889.8654746413</v>
      </c>
      <c r="K40" s="325" t="s">
        <v>27</v>
      </c>
    </row>
    <row r="41" spans="1:11" ht="12.75">
      <c r="A41" s="320" t="s">
        <v>212</v>
      </c>
      <c r="B41" s="321">
        <v>547</v>
      </c>
      <c r="C41" s="322">
        <v>11877835.262631837</v>
      </c>
      <c r="D41" s="322">
        <v>11880154.074673753</v>
      </c>
      <c r="E41" s="323">
        <f t="shared" si="12"/>
        <v>2318.812041915953</v>
      </c>
      <c r="F41" s="324">
        <v>11537898.739222487</v>
      </c>
      <c r="G41" s="323">
        <f t="shared" si="11"/>
        <v>-342255.3354512658</v>
      </c>
      <c r="H41" s="323">
        <v>11276002.516779253</v>
      </c>
      <c r="I41" s="323">
        <f t="shared" si="13"/>
        <v>-261896.22244323418</v>
      </c>
      <c r="J41" s="323">
        <f t="shared" si="14"/>
        <v>-601832.745852584</v>
      </c>
      <c r="K41" s="325" t="s">
        <v>27</v>
      </c>
    </row>
    <row r="42" spans="1:11" ht="12.75">
      <c r="A42" s="320" t="s">
        <v>307</v>
      </c>
      <c r="B42" s="321" t="s">
        <v>308</v>
      </c>
      <c r="C42" s="322">
        <v>54449272.33</v>
      </c>
      <c r="D42" s="322">
        <v>54452952</v>
      </c>
      <c r="E42" s="323">
        <f t="shared" si="12"/>
        <v>3679.670000001788</v>
      </c>
      <c r="F42" s="324">
        <v>54413773.3</v>
      </c>
      <c r="G42" s="323">
        <f t="shared" si="11"/>
        <v>-39178.70000000298</v>
      </c>
      <c r="H42" s="323">
        <v>54345557.63</v>
      </c>
      <c r="I42" s="323">
        <f t="shared" si="13"/>
        <v>-68215.66999999434</v>
      </c>
      <c r="J42" s="323">
        <f t="shared" si="14"/>
        <v>-103714.69999999553</v>
      </c>
      <c r="K42" s="325" t="s">
        <v>27</v>
      </c>
    </row>
    <row r="43" spans="1:11" ht="12.75">
      <c r="A43" s="320" t="s">
        <v>491</v>
      </c>
      <c r="B43" s="321" t="s">
        <v>492</v>
      </c>
      <c r="C43" s="322"/>
      <c r="D43" s="322"/>
      <c r="E43" s="323">
        <f t="shared" si="12"/>
        <v>0</v>
      </c>
      <c r="F43" s="323"/>
      <c r="G43" s="323">
        <f t="shared" si="11"/>
        <v>0</v>
      </c>
      <c r="H43" s="323"/>
      <c r="I43" s="323">
        <f t="shared" si="13"/>
        <v>0</v>
      </c>
      <c r="J43" s="323">
        <f t="shared" si="14"/>
        <v>0</v>
      </c>
      <c r="K43" s="325" t="s">
        <v>27</v>
      </c>
    </row>
    <row r="44" spans="1:11" ht="13.5" thickBot="1">
      <c r="A44" s="310" t="s">
        <v>309</v>
      </c>
      <c r="C44" s="326">
        <f>SUM(C37:C43)</f>
        <v>1089159509.625546</v>
      </c>
      <c r="D44" s="326">
        <f aca="true" t="shared" si="15" ref="D44:J44">SUM(D37:D43)</f>
        <v>1089012347.825546</v>
      </c>
      <c r="E44" s="327">
        <f t="shared" si="15"/>
        <v>-147161.79999983683</v>
      </c>
      <c r="F44" s="327">
        <f t="shared" si="15"/>
        <v>1085383942.9436245</v>
      </c>
      <c r="G44" s="327">
        <f t="shared" si="15"/>
        <v>-3628404.8819215465</v>
      </c>
      <c r="H44" s="327">
        <f t="shared" si="15"/>
        <v>1082684891.3792002</v>
      </c>
      <c r="I44" s="327">
        <f t="shared" si="15"/>
        <v>-2699051.564424429</v>
      </c>
      <c r="J44" s="327">
        <f t="shared" si="15"/>
        <v>-6474618.246345812</v>
      </c>
      <c r="K44" s="325"/>
    </row>
    <row r="45" spans="3:11" ht="13.5" thickTop="1">
      <c r="C45" s="322"/>
      <c r="D45" s="322"/>
      <c r="E45" s="323"/>
      <c r="F45" s="323"/>
      <c r="G45" s="323"/>
      <c r="H45" s="323"/>
      <c r="I45" s="323"/>
      <c r="J45" s="323"/>
      <c r="K45" s="325"/>
    </row>
    <row r="46" spans="1:11" s="241" customFormat="1" ht="13.5" thickBot="1">
      <c r="A46" s="314" t="s">
        <v>310</v>
      </c>
      <c r="C46" s="333">
        <f aca="true" t="shared" si="16" ref="C46:J46">C27+C34+C44-C16</f>
        <v>1002942590.545546</v>
      </c>
      <c r="D46" s="333">
        <f t="shared" si="16"/>
        <v>1003626781.575546</v>
      </c>
      <c r="E46" s="334">
        <f t="shared" si="16"/>
        <v>684191.0300002728</v>
      </c>
      <c r="F46" s="334">
        <f t="shared" si="16"/>
        <v>1002252647.3736246</v>
      </c>
      <c r="G46" s="334">
        <f t="shared" si="16"/>
        <v>-1374134.2019215897</v>
      </c>
      <c r="H46" s="334">
        <f t="shared" si="16"/>
        <v>994206903.3492001</v>
      </c>
      <c r="I46" s="334">
        <f t="shared" si="16"/>
        <v>-8045744.024424417</v>
      </c>
      <c r="J46" s="334">
        <f t="shared" si="16"/>
        <v>-8735687.196345733</v>
      </c>
      <c r="K46" s="314"/>
    </row>
    <row r="47" spans="3:10" ht="13.5" thickTop="1">
      <c r="C47" s="335" t="s">
        <v>0</v>
      </c>
      <c r="D47" s="335" t="s">
        <v>0</v>
      </c>
      <c r="E47" s="335" t="s">
        <v>493</v>
      </c>
      <c r="F47" s="336"/>
      <c r="G47" s="335" t="s">
        <v>327</v>
      </c>
      <c r="H47" s="335"/>
      <c r="I47" s="335" t="s">
        <v>329</v>
      </c>
      <c r="J47" s="335"/>
    </row>
    <row r="48" spans="2:10" ht="12.75">
      <c r="B48" s="337"/>
      <c r="C48" s="338"/>
      <c r="D48" s="338"/>
      <c r="E48" s="338"/>
      <c r="F48" s="339"/>
      <c r="G48" s="323"/>
      <c r="H48" s="339"/>
      <c r="I48" s="323"/>
      <c r="J48" s="323"/>
    </row>
    <row r="49" spans="4:10" ht="12.75">
      <c r="D49" s="322"/>
      <c r="E49" s="322"/>
      <c r="F49" s="323"/>
      <c r="G49" s="323"/>
      <c r="H49" s="323"/>
      <c r="I49" s="323"/>
      <c r="J49" s="323"/>
    </row>
    <row r="50" spans="4:10" ht="12.75">
      <c r="D50" s="322"/>
      <c r="E50" s="322"/>
      <c r="F50" s="323"/>
      <c r="G50" s="323"/>
      <c r="H50" s="323"/>
      <c r="I50" s="323"/>
      <c r="J50" s="323"/>
    </row>
    <row r="51" spans="4:10" ht="12.75">
      <c r="D51" s="322"/>
      <c r="E51" s="322"/>
      <c r="F51" s="323"/>
      <c r="G51" s="323"/>
      <c r="H51" s="323"/>
      <c r="I51" s="323"/>
      <c r="J51" s="323"/>
    </row>
  </sheetData>
  <sheetProtection/>
  <printOptions/>
  <pageMargins left="0.5" right="0.5" top="1" bottom="1" header="0.5" footer="0.75"/>
  <pageSetup fitToHeight="1" fitToWidth="1" horizontalDpi="600" verticalDpi="600" orientation="landscape" scale="49" r:id="rId1"/>
  <headerFooter alignWithMargins="0">
    <oddFooter>&amp;CPage 2.5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O70"/>
  <sheetViews>
    <sheetView zoomScalePageLayoutView="0" workbookViewId="0" topLeftCell="A25">
      <selection activeCell="C5" sqref="C5"/>
    </sheetView>
  </sheetViews>
  <sheetFormatPr defaultColWidth="10.00390625" defaultRowHeight="12.75"/>
  <cols>
    <col min="1" max="1" width="2.57421875" style="2" customWidth="1"/>
    <col min="2" max="2" width="7.140625" style="2" customWidth="1"/>
    <col min="3" max="3" width="27.00390625" style="2" customWidth="1"/>
    <col min="4" max="4" width="9.7109375" style="2" customWidth="1"/>
    <col min="5" max="5" width="9.7109375" style="2" hidden="1" customWidth="1"/>
    <col min="6" max="6" width="4.7109375" style="2" customWidth="1"/>
    <col min="7" max="7" width="14.421875" style="2" customWidth="1"/>
    <col min="8" max="8" width="8.421875" style="2" bestFit="1" customWidth="1"/>
    <col min="9" max="9" width="10.00390625" style="2" bestFit="1" customWidth="1"/>
    <col min="10" max="10" width="13.00390625" style="2" customWidth="1"/>
    <col min="11" max="11" width="8.28125" style="2" customWidth="1"/>
    <col min="12" max="16384" width="10.00390625" style="2" customWidth="1"/>
  </cols>
  <sheetData>
    <row r="1" spans="2:11" ht="12.75">
      <c r="B1" s="179" t="s">
        <v>13</v>
      </c>
      <c r="D1" s="3"/>
      <c r="E1" s="3"/>
      <c r="F1" s="3"/>
      <c r="G1" s="3"/>
      <c r="H1" s="3"/>
      <c r="I1" s="3"/>
      <c r="J1" s="3"/>
      <c r="K1" s="4" t="s">
        <v>328</v>
      </c>
    </row>
    <row r="2" spans="2:11" ht="12.75">
      <c r="B2" s="180" t="s">
        <v>355</v>
      </c>
      <c r="D2" s="3"/>
      <c r="E2" s="3"/>
      <c r="F2" s="3"/>
      <c r="G2" s="3"/>
      <c r="H2" s="3"/>
      <c r="I2" s="3"/>
      <c r="J2" s="3"/>
      <c r="K2" s="4"/>
    </row>
    <row r="3" spans="2:11" ht="12.75">
      <c r="B3" s="180" t="s">
        <v>336</v>
      </c>
      <c r="D3" s="3"/>
      <c r="E3" s="3"/>
      <c r="F3" s="3"/>
      <c r="G3" s="3"/>
      <c r="H3" s="3"/>
      <c r="I3" s="3"/>
      <c r="J3" s="3"/>
      <c r="K3" s="4"/>
    </row>
    <row r="4" spans="2:11" ht="12">
      <c r="B4" s="121"/>
      <c r="D4" s="3"/>
      <c r="E4" s="3"/>
      <c r="F4" s="3"/>
      <c r="G4" s="3"/>
      <c r="H4" s="3"/>
      <c r="I4" s="3"/>
      <c r="J4" s="3"/>
      <c r="K4" s="4"/>
    </row>
    <row r="5" spans="4:11" ht="12">
      <c r="D5" s="3"/>
      <c r="E5" s="3"/>
      <c r="F5" s="3"/>
      <c r="G5" s="3" t="s">
        <v>14</v>
      </c>
      <c r="H5" s="3"/>
      <c r="I5" s="3"/>
      <c r="J5" s="3" t="s">
        <v>196</v>
      </c>
      <c r="K5" s="4"/>
    </row>
    <row r="6" spans="4:11" ht="12">
      <c r="D6" s="6" t="s">
        <v>15</v>
      </c>
      <c r="E6" s="6"/>
      <c r="F6" s="6" t="s">
        <v>7</v>
      </c>
      <c r="G6" s="6" t="s">
        <v>16</v>
      </c>
      <c r="H6" s="6" t="s">
        <v>17</v>
      </c>
      <c r="I6" s="6" t="s">
        <v>18</v>
      </c>
      <c r="J6" s="6" t="s">
        <v>19</v>
      </c>
      <c r="K6" s="7" t="s">
        <v>20</v>
      </c>
    </row>
    <row r="7" spans="2:11" ht="12">
      <c r="B7" s="5" t="s">
        <v>202</v>
      </c>
      <c r="D7" s="6"/>
      <c r="E7" s="6"/>
      <c r="F7" s="6"/>
      <c r="G7" s="6"/>
      <c r="H7" s="6"/>
      <c r="I7" s="6"/>
      <c r="J7" s="6"/>
      <c r="K7" s="7"/>
    </row>
    <row r="8" spans="1:13" ht="12">
      <c r="A8" s="8"/>
      <c r="B8" s="122" t="s">
        <v>400</v>
      </c>
      <c r="C8" s="8"/>
      <c r="D8" s="9">
        <v>343</v>
      </c>
      <c r="E8" s="9" t="str">
        <f>D8&amp;H8</f>
        <v>343SG</v>
      </c>
      <c r="F8" s="9">
        <v>3</v>
      </c>
      <c r="G8" s="131">
        <f>'Dunlap l - Detail'!U27-'Dunlap l - Detail'!U26</f>
        <v>253706812.83000004</v>
      </c>
      <c r="H8" s="41" t="s">
        <v>4</v>
      </c>
      <c r="I8" s="42">
        <v>0.4113042590825348</v>
      </c>
      <c r="J8" s="124">
        <f>+G8*I8</f>
        <v>104350692.67523451</v>
      </c>
      <c r="K8" s="10">
        <v>3.2</v>
      </c>
      <c r="L8" s="125"/>
      <c r="M8" s="126"/>
    </row>
    <row r="9" spans="1:13" ht="12">
      <c r="A9" s="8"/>
      <c r="B9" s="122" t="s">
        <v>322</v>
      </c>
      <c r="C9" s="8"/>
      <c r="D9" s="9">
        <v>355</v>
      </c>
      <c r="E9" s="9" t="str">
        <f>D9&amp;H9</f>
        <v>355SG</v>
      </c>
      <c r="F9" s="9">
        <v>3</v>
      </c>
      <c r="G9" s="131">
        <f>'Dunlap l - Detail'!U26</f>
        <v>10806009.409999998</v>
      </c>
      <c r="H9" s="41" t="s">
        <v>4</v>
      </c>
      <c r="I9" s="42">
        <f>+I8</f>
        <v>0.4113042590825348</v>
      </c>
      <c r="J9" s="124">
        <f>+G9*I9</f>
        <v>4444557.694018949</v>
      </c>
      <c r="K9" s="10">
        <v>3.2</v>
      </c>
      <c r="L9" s="125"/>
      <c r="M9" s="126"/>
    </row>
    <row r="10" spans="1:13" ht="12">
      <c r="A10" s="8"/>
      <c r="B10" s="122" t="s">
        <v>401</v>
      </c>
      <c r="C10" s="8"/>
      <c r="D10" s="9" t="s">
        <v>402</v>
      </c>
      <c r="E10" s="9" t="str">
        <f>D10&amp;H10</f>
        <v>108OPSG</v>
      </c>
      <c r="F10" s="9">
        <v>3</v>
      </c>
      <c r="G10" s="131">
        <f>'Dunlap l - Detail'!U41-'Dunlap l - Detail'!U40</f>
        <v>-7172023.716439167</v>
      </c>
      <c r="H10" s="41" t="s">
        <v>4</v>
      </c>
      <c r="I10" s="42">
        <f>+I8</f>
        <v>0.4113042590825348</v>
      </c>
      <c r="J10" s="124">
        <f>+G10*I10</f>
        <v>-2949883.9008123796</v>
      </c>
      <c r="K10" s="10">
        <v>3.2</v>
      </c>
      <c r="L10" s="125"/>
      <c r="M10" s="126"/>
    </row>
    <row r="11" spans="1:13" ht="12">
      <c r="A11" s="8"/>
      <c r="B11" s="122" t="s">
        <v>323</v>
      </c>
      <c r="C11" s="8"/>
      <c r="D11" s="9" t="s">
        <v>85</v>
      </c>
      <c r="E11" s="9" t="str">
        <f>D11&amp;H11</f>
        <v>108TPSG</v>
      </c>
      <c r="F11" s="9">
        <v>3</v>
      </c>
      <c r="G11" s="131">
        <f>'Dunlap l - Detail'!U40</f>
        <v>-191941.74214512497</v>
      </c>
      <c r="H11" s="41" t="s">
        <v>4</v>
      </c>
      <c r="I11" s="42">
        <f>+I8</f>
        <v>0.4113042590825348</v>
      </c>
      <c r="J11" s="124">
        <f>+G11*I11</f>
        <v>-78946.45604001157</v>
      </c>
      <c r="K11" s="10">
        <v>3.2</v>
      </c>
      <c r="L11" s="125"/>
      <c r="M11" s="126"/>
    </row>
    <row r="12" spans="1:13" ht="12">
      <c r="A12" s="8"/>
      <c r="B12" s="133" t="s">
        <v>0</v>
      </c>
      <c r="C12" s="8"/>
      <c r="D12" s="9"/>
      <c r="E12" s="9" t="s">
        <v>0</v>
      </c>
      <c r="F12" s="9"/>
      <c r="G12" s="164">
        <f>SUM(G8:G11)</f>
        <v>257148856.78141576</v>
      </c>
      <c r="H12" s="13"/>
      <c r="I12" s="13"/>
      <c r="J12" s="165">
        <f>SUM(J8:J11)</f>
        <v>105766420.01240107</v>
      </c>
      <c r="K12" s="10"/>
      <c r="L12" s="130"/>
      <c r="M12" s="126"/>
    </row>
    <row r="13" spans="1:13" ht="12">
      <c r="A13" s="8"/>
      <c r="B13" s="122"/>
      <c r="C13" s="8"/>
      <c r="D13" s="9"/>
      <c r="E13" s="9" t="s">
        <v>0</v>
      </c>
      <c r="F13" s="9"/>
      <c r="G13" s="131"/>
      <c r="H13" s="41"/>
      <c r="I13" s="42"/>
      <c r="J13" s="124"/>
      <c r="K13" s="10"/>
      <c r="L13" s="130"/>
      <c r="M13" s="120"/>
    </row>
    <row r="14" spans="1:13" ht="12">
      <c r="A14" s="8"/>
      <c r="B14" s="122" t="s">
        <v>403</v>
      </c>
      <c r="C14" s="8"/>
      <c r="D14" s="9" t="s">
        <v>404</v>
      </c>
      <c r="E14" s="9" t="str">
        <f aca="true" t="shared" si="0" ref="E14:E32">D14&amp;H14</f>
        <v>403OPSG</v>
      </c>
      <c r="F14" s="9">
        <v>3</v>
      </c>
      <c r="G14" s="131">
        <f>'Dunlap l - Detail'!U34-'Dunlap l - Detail'!U33</f>
        <v>10125209.95262</v>
      </c>
      <c r="H14" s="41" t="s">
        <v>4</v>
      </c>
      <c r="I14" s="42">
        <f>+I8</f>
        <v>0.4113042590825348</v>
      </c>
      <c r="J14" s="124">
        <f>+G14*I14</f>
        <v>4164541.9776174766</v>
      </c>
      <c r="K14" s="10">
        <v>3.2</v>
      </c>
      <c r="L14" s="130"/>
      <c r="M14" s="120"/>
    </row>
    <row r="15" spans="1:13" ht="12">
      <c r="A15" s="8"/>
      <c r="B15" s="122" t="s">
        <v>405</v>
      </c>
      <c r="C15" s="8"/>
      <c r="D15" s="9" t="s">
        <v>86</v>
      </c>
      <c r="E15" s="9" t="str">
        <f t="shared" si="0"/>
        <v>403TPSG</v>
      </c>
      <c r="F15" s="9">
        <v>3</v>
      </c>
      <c r="G15" s="131">
        <f>'Dunlap l - Detail'!U33</f>
        <v>219361.991023</v>
      </c>
      <c r="H15" s="41" t="s">
        <v>4</v>
      </c>
      <c r="I15" s="42">
        <f>+I8</f>
        <v>0.4113042590825348</v>
      </c>
      <c r="J15" s="124">
        <f>+G15*I15</f>
        <v>90224.52118858467</v>
      </c>
      <c r="K15" s="10">
        <v>3.2</v>
      </c>
      <c r="L15" s="130"/>
      <c r="M15" s="120"/>
    </row>
    <row r="16" spans="1:13" ht="12">
      <c r="A16" s="8"/>
      <c r="B16" s="122"/>
      <c r="C16" s="8"/>
      <c r="D16" s="9"/>
      <c r="E16" s="9"/>
      <c r="F16" s="9"/>
      <c r="G16" s="165">
        <f>SUM(G14:G15)</f>
        <v>10344571.943643</v>
      </c>
      <c r="H16" s="41"/>
      <c r="I16" s="42"/>
      <c r="J16" s="166">
        <f>SUM(J14:J15)</f>
        <v>4254766.498806061</v>
      </c>
      <c r="K16" s="10"/>
      <c r="L16" s="130"/>
      <c r="M16" s="120"/>
    </row>
    <row r="17" spans="1:13" ht="12">
      <c r="A17" s="8"/>
      <c r="B17" s="133" t="s">
        <v>0</v>
      </c>
      <c r="C17" s="8"/>
      <c r="D17" s="9"/>
      <c r="E17" s="9" t="s">
        <v>0</v>
      </c>
      <c r="F17" s="9"/>
      <c r="G17" s="9"/>
      <c r="H17" s="13"/>
      <c r="I17" s="13"/>
      <c r="J17" s="131"/>
      <c r="K17" s="10"/>
      <c r="L17" s="130"/>
      <c r="M17" s="120"/>
    </row>
    <row r="18" spans="1:14" ht="12">
      <c r="A18" s="8"/>
      <c r="K18" s="10"/>
      <c r="M18" s="14"/>
      <c r="N18" s="14"/>
    </row>
    <row r="19" spans="1:14" ht="12">
      <c r="A19" s="8"/>
      <c r="B19" s="33" t="s">
        <v>319</v>
      </c>
      <c r="C19" s="8"/>
      <c r="D19" s="9"/>
      <c r="E19" s="9" t="s">
        <v>0</v>
      </c>
      <c r="F19" s="9"/>
      <c r="G19" s="40"/>
      <c r="H19" s="41"/>
      <c r="I19" s="42"/>
      <c r="J19" s="124"/>
      <c r="K19" s="10"/>
      <c r="M19" s="14"/>
      <c r="N19" s="14"/>
    </row>
    <row r="20" spans="1:14" ht="12">
      <c r="A20" s="8"/>
      <c r="B20" s="122" t="s">
        <v>406</v>
      </c>
      <c r="C20" s="8"/>
      <c r="D20" s="9">
        <v>549</v>
      </c>
      <c r="E20" s="9" t="str">
        <f t="shared" si="0"/>
        <v>549SG</v>
      </c>
      <c r="F20" s="9">
        <v>3</v>
      </c>
      <c r="G20" s="40">
        <f>'Dunlap l - O&amp;M'!B15</f>
        <v>2435111</v>
      </c>
      <c r="H20" s="41" t="s">
        <v>4</v>
      </c>
      <c r="I20" s="42">
        <f>+I8</f>
        <v>0.4113042590825348</v>
      </c>
      <c r="J20" s="124">
        <f>+G20*I20</f>
        <v>1001571.5256387305</v>
      </c>
      <c r="K20" s="10">
        <v>3.3</v>
      </c>
      <c r="M20" s="14"/>
      <c r="N20" s="14"/>
    </row>
    <row r="21" spans="1:14" ht="12">
      <c r="A21" s="8"/>
      <c r="B21" s="122" t="s">
        <v>357</v>
      </c>
      <c r="C21" s="8"/>
      <c r="D21" s="9">
        <v>571</v>
      </c>
      <c r="E21" s="9" t="str">
        <f>D21&amp;H21</f>
        <v>571SG</v>
      </c>
      <c r="F21" s="9">
        <v>3</v>
      </c>
      <c r="G21" s="40">
        <f>'Dunlap l - O&amp;M'!B18</f>
        <v>30000</v>
      </c>
      <c r="H21" s="41" t="s">
        <v>4</v>
      </c>
      <c r="I21" s="42">
        <f>+I8</f>
        <v>0.4113042590825348</v>
      </c>
      <c r="J21" s="124">
        <f>+G21*I21</f>
        <v>12339.127772476044</v>
      </c>
      <c r="K21" s="10">
        <v>3.3</v>
      </c>
      <c r="M21" s="14"/>
      <c r="N21" s="14"/>
    </row>
    <row r="22" spans="1:14" ht="12">
      <c r="A22" s="8"/>
      <c r="B22" s="133"/>
      <c r="C22" s="8"/>
      <c r="D22" s="9"/>
      <c r="E22" s="9" t="s">
        <v>0</v>
      </c>
      <c r="F22" s="9"/>
      <c r="G22" s="13"/>
      <c r="H22" s="13"/>
      <c r="I22" s="13"/>
      <c r="J22" s="131"/>
      <c r="K22" s="10"/>
      <c r="M22" s="14"/>
      <c r="N22" s="14"/>
    </row>
    <row r="23" spans="1:15" ht="12">
      <c r="A23" s="8"/>
      <c r="B23" s="16" t="s">
        <v>320</v>
      </c>
      <c r="C23" s="34"/>
      <c r="D23" s="13"/>
      <c r="E23" s="9" t="s">
        <v>0</v>
      </c>
      <c r="F23" s="40"/>
      <c r="G23" s="41"/>
      <c r="H23" s="42"/>
      <c r="I23" s="37"/>
      <c r="J23" s="15"/>
      <c r="K23" s="15"/>
      <c r="L23" s="10"/>
      <c r="N23" s="14"/>
      <c r="O23" s="14"/>
    </row>
    <row r="24" spans="1:15" ht="12">
      <c r="A24" s="8"/>
      <c r="B24" s="12" t="s">
        <v>207</v>
      </c>
      <c r="C24" s="34"/>
      <c r="D24" s="13">
        <v>447</v>
      </c>
      <c r="E24" s="9" t="str">
        <f t="shared" si="0"/>
        <v>447SG</v>
      </c>
      <c r="F24" s="13">
        <v>3</v>
      </c>
      <c r="G24" s="40">
        <v>4250056.600000024</v>
      </c>
      <c r="H24" s="41" t="s">
        <v>4</v>
      </c>
      <c r="I24" s="42">
        <f>+I8</f>
        <v>0.4113042590825348</v>
      </c>
      <c r="J24" s="37">
        <f aca="true" t="shared" si="1" ref="J24:J32">+G24*I24</f>
        <v>1748066.380921847</v>
      </c>
      <c r="K24" s="15">
        <v>2.5</v>
      </c>
      <c r="L24" s="10"/>
      <c r="N24" s="14"/>
      <c r="O24" s="14"/>
    </row>
    <row r="25" spans="1:15" ht="12">
      <c r="A25" s="8"/>
      <c r="B25" s="12" t="s">
        <v>208</v>
      </c>
      <c r="C25" s="34"/>
      <c r="D25" s="13">
        <v>555</v>
      </c>
      <c r="E25" s="9" t="str">
        <f t="shared" si="0"/>
        <v>555SG</v>
      </c>
      <c r="F25" s="13">
        <v>3</v>
      </c>
      <c r="G25" s="40">
        <v>-3452051.4099999666</v>
      </c>
      <c r="H25" s="41" t="s">
        <v>4</v>
      </c>
      <c r="I25" s="42">
        <f>+I8</f>
        <v>0.4113042590825348</v>
      </c>
      <c r="J25" s="37">
        <f t="shared" si="1"/>
        <v>-1419843.447504856</v>
      </c>
      <c r="K25" s="15">
        <v>2.5</v>
      </c>
      <c r="L25" s="10"/>
      <c r="N25" s="14"/>
      <c r="O25" s="14"/>
    </row>
    <row r="26" spans="1:15" ht="12">
      <c r="A26" s="8"/>
      <c r="B26" s="12" t="s">
        <v>407</v>
      </c>
      <c r="C26" s="34"/>
      <c r="D26" s="13">
        <v>555</v>
      </c>
      <c r="E26" s="9" t="str">
        <f t="shared" si="0"/>
        <v>555SG</v>
      </c>
      <c r="F26" s="13">
        <v>3</v>
      </c>
      <c r="G26" s="40">
        <v>2340718.4000000022</v>
      </c>
      <c r="H26" s="41" t="s">
        <v>4</v>
      </c>
      <c r="I26" s="42">
        <f>+I8</f>
        <v>0.4113042590825348</v>
      </c>
      <c r="J26" s="37">
        <f t="shared" si="1"/>
        <v>962747.4472328572</v>
      </c>
      <c r="K26" s="15">
        <v>2.5</v>
      </c>
      <c r="L26" s="10"/>
      <c r="N26" s="14"/>
      <c r="O26" s="14"/>
    </row>
    <row r="27" spans="1:15" ht="12">
      <c r="A27" s="8"/>
      <c r="B27" s="12" t="s">
        <v>206</v>
      </c>
      <c r="C27" s="34"/>
      <c r="D27" s="13">
        <v>565</v>
      </c>
      <c r="E27" s="9" t="str">
        <f t="shared" si="0"/>
        <v>565SE</v>
      </c>
      <c r="F27" s="13">
        <v>3</v>
      </c>
      <c r="G27" s="40">
        <v>14697.150000000023</v>
      </c>
      <c r="H27" s="41" t="s">
        <v>27</v>
      </c>
      <c r="I27" s="42">
        <v>0.4100070689105177</v>
      </c>
      <c r="J27" s="37">
        <f t="shared" si="1"/>
        <v>6025.935392838224</v>
      </c>
      <c r="K27" s="15">
        <v>2.5</v>
      </c>
      <c r="L27" s="10"/>
      <c r="N27" s="14"/>
      <c r="O27" s="14"/>
    </row>
    <row r="28" spans="1:15" ht="12">
      <c r="A28" s="8"/>
      <c r="B28" s="12" t="s">
        <v>209</v>
      </c>
      <c r="C28" s="34"/>
      <c r="D28" s="13">
        <v>501</v>
      </c>
      <c r="E28" s="9" t="str">
        <f t="shared" si="0"/>
        <v>501SE</v>
      </c>
      <c r="F28" s="13">
        <v>3</v>
      </c>
      <c r="G28" s="40">
        <v>-696735.6699999571</v>
      </c>
      <c r="H28" s="41" t="s">
        <v>27</v>
      </c>
      <c r="I28" s="42">
        <f>+I27</f>
        <v>0.4100070689105177</v>
      </c>
      <c r="J28" s="37">
        <f t="shared" si="1"/>
        <v>-285666.5498620881</v>
      </c>
      <c r="K28" s="15">
        <v>2.5</v>
      </c>
      <c r="L28" s="10"/>
      <c r="N28" s="14"/>
      <c r="O28" s="14"/>
    </row>
    <row r="29" spans="1:15" ht="12">
      <c r="A29" s="8"/>
      <c r="B29" s="12" t="s">
        <v>210</v>
      </c>
      <c r="C29" s="34"/>
      <c r="D29" s="13">
        <v>501</v>
      </c>
      <c r="E29" s="9" t="str">
        <f t="shared" si="0"/>
        <v>501SE</v>
      </c>
      <c r="F29" s="13">
        <v>3</v>
      </c>
      <c r="G29" s="40">
        <v>-348750.5517502874</v>
      </c>
      <c r="H29" s="41" t="s">
        <v>27</v>
      </c>
      <c r="I29" s="42">
        <f>+I27</f>
        <v>0.4100070689105177</v>
      </c>
      <c r="J29" s="37">
        <f t="shared" si="1"/>
        <v>-142990.19150406116</v>
      </c>
      <c r="K29" s="15">
        <v>2.5</v>
      </c>
      <c r="L29" s="10"/>
      <c r="N29" s="14"/>
      <c r="O29" s="14"/>
    </row>
    <row r="30" spans="1:15" ht="12">
      <c r="A30" s="8"/>
      <c r="B30" s="12" t="s">
        <v>211</v>
      </c>
      <c r="C30" s="34"/>
      <c r="D30" s="13">
        <v>547</v>
      </c>
      <c r="E30" s="9" t="str">
        <f t="shared" si="0"/>
        <v>547SE</v>
      </c>
      <c r="F30" s="13">
        <v>3</v>
      </c>
      <c r="G30" s="40">
        <v>-1323453.450230956</v>
      </c>
      <c r="H30" s="41" t="s">
        <v>27</v>
      </c>
      <c r="I30" s="42">
        <f>+I27</f>
        <v>0.4100070689105177</v>
      </c>
      <c r="J30" s="37">
        <f t="shared" si="1"/>
        <v>-542625.269968706</v>
      </c>
      <c r="K30" s="15">
        <v>2.5</v>
      </c>
      <c r="L30" s="10"/>
      <c r="N30" s="14"/>
      <c r="O30" s="14"/>
    </row>
    <row r="31" spans="1:15" ht="12">
      <c r="A31" s="8"/>
      <c r="B31" s="12" t="s">
        <v>212</v>
      </c>
      <c r="C31" s="34"/>
      <c r="D31" s="13">
        <v>547</v>
      </c>
      <c r="E31" s="9" t="str">
        <f t="shared" si="0"/>
        <v>547SE</v>
      </c>
      <c r="F31" s="13">
        <v>3</v>
      </c>
      <c r="G31" s="40">
        <v>-261896.22244323418</v>
      </c>
      <c r="H31" s="41" t="s">
        <v>27</v>
      </c>
      <c r="I31" s="42">
        <f>+I27</f>
        <v>0.4100070689105177</v>
      </c>
      <c r="J31" s="37">
        <f t="shared" si="1"/>
        <v>-107379.30252268739</v>
      </c>
      <c r="K31" s="15">
        <v>2.5</v>
      </c>
      <c r="L31" s="10"/>
      <c r="N31" s="14"/>
      <c r="O31" s="14"/>
    </row>
    <row r="32" spans="1:15" ht="12">
      <c r="A32" s="8"/>
      <c r="B32" s="12" t="s">
        <v>213</v>
      </c>
      <c r="C32" s="34"/>
      <c r="D32" s="13">
        <v>501</v>
      </c>
      <c r="E32" s="9" t="str">
        <f t="shared" si="0"/>
        <v>501SE</v>
      </c>
      <c r="F32" s="13">
        <v>3</v>
      </c>
      <c r="G32" s="40">
        <v>-68215.66999999434</v>
      </c>
      <c r="H32" s="41" t="s">
        <v>27</v>
      </c>
      <c r="I32" s="42">
        <f>+I27</f>
        <v>0.4100070689105177</v>
      </c>
      <c r="J32" s="37">
        <f t="shared" si="1"/>
        <v>-27968.90691046481</v>
      </c>
      <c r="K32" s="15">
        <v>2.5</v>
      </c>
      <c r="L32" s="10"/>
      <c r="N32" s="14"/>
      <c r="O32" s="14"/>
    </row>
    <row r="33" spans="1:14" ht="12">
      <c r="A33" s="8"/>
      <c r="E33" s="9" t="s">
        <v>0</v>
      </c>
      <c r="G33" s="80">
        <f>SUM(G25:G32)-G24</f>
        <v>-8045744.024424417</v>
      </c>
      <c r="H33" s="39"/>
      <c r="I33" s="39"/>
      <c r="J33" s="80">
        <f>SUM(J25:J32)-J24</f>
        <v>-3305766.666569015</v>
      </c>
      <c r="K33" s="9"/>
      <c r="M33" s="14"/>
      <c r="N33" s="14"/>
    </row>
    <row r="34" spans="1:14" ht="12">
      <c r="A34" s="8"/>
      <c r="B34" s="122"/>
      <c r="C34" s="8"/>
      <c r="D34" s="9"/>
      <c r="E34" s="9" t="s">
        <v>0</v>
      </c>
      <c r="F34" s="9"/>
      <c r="G34" s="40"/>
      <c r="H34" s="41"/>
      <c r="I34" s="42"/>
      <c r="J34" s="124"/>
      <c r="K34" s="9"/>
      <c r="M34" s="14"/>
      <c r="N34" s="14"/>
    </row>
    <row r="35" spans="1:15" ht="12">
      <c r="A35" s="8"/>
      <c r="K35" s="15"/>
      <c r="L35" s="9"/>
      <c r="N35" s="14"/>
      <c r="O35" s="14"/>
    </row>
    <row r="36" spans="1:15" ht="12">
      <c r="A36" s="8"/>
      <c r="B36" s="33" t="s">
        <v>507</v>
      </c>
      <c r="K36" s="15"/>
      <c r="L36" s="9"/>
      <c r="N36" s="167"/>
      <c r="O36" s="14"/>
    </row>
    <row r="37" spans="1:15" ht="12">
      <c r="A37" s="8"/>
      <c r="B37" s="2" t="s">
        <v>408</v>
      </c>
      <c r="D37" s="3">
        <v>456</v>
      </c>
      <c r="E37" s="9" t="str">
        <f>D37&amp;H37</f>
        <v>456SG</v>
      </c>
      <c r="F37" s="3">
        <v>3</v>
      </c>
      <c r="G37" s="132">
        <v>1320919.0529209687</v>
      </c>
      <c r="H37" s="123" t="s">
        <v>4</v>
      </c>
      <c r="I37" s="42">
        <f>+I8</f>
        <v>0.4113042590825348</v>
      </c>
      <c r="J37" s="124">
        <f>+G37*I37</f>
        <v>543299.6323696626</v>
      </c>
      <c r="K37" s="15">
        <v>3.4</v>
      </c>
      <c r="L37" s="9"/>
      <c r="N37" s="14"/>
      <c r="O37" s="14"/>
    </row>
    <row r="38" spans="1:15" ht="12">
      <c r="A38" s="8"/>
      <c r="D38" s="3"/>
      <c r="E38" s="9"/>
      <c r="F38" s="3"/>
      <c r="G38" s="132"/>
      <c r="H38" s="123"/>
      <c r="I38" s="42"/>
      <c r="J38" s="124"/>
      <c r="K38" s="15"/>
      <c r="L38" s="9"/>
      <c r="N38" s="14"/>
      <c r="O38" s="14"/>
    </row>
    <row r="39" spans="1:15" ht="12">
      <c r="A39" s="8"/>
      <c r="B39" s="2" t="s">
        <v>508</v>
      </c>
      <c r="D39" s="3">
        <v>456</v>
      </c>
      <c r="E39" s="9" t="str">
        <f>D39&amp;H39</f>
        <v>456SG</v>
      </c>
      <c r="F39" s="3">
        <v>3</v>
      </c>
      <c r="G39" s="132">
        <v>535511.022957732</v>
      </c>
      <c r="H39" s="123" t="s">
        <v>4</v>
      </c>
      <c r="I39" s="42">
        <f>+I8</f>
        <v>0.4113042590825348</v>
      </c>
      <c r="J39" s="124">
        <f>+G39*I39</f>
        <v>220257.96452816023</v>
      </c>
      <c r="K39" s="15">
        <v>3.4</v>
      </c>
      <c r="L39" s="9"/>
      <c r="N39" s="14"/>
      <c r="O39" s="14"/>
    </row>
    <row r="40" spans="1:15" ht="12">
      <c r="A40" s="8"/>
      <c r="B40" s="2" t="s">
        <v>409</v>
      </c>
      <c r="D40" s="3">
        <v>456</v>
      </c>
      <c r="E40" s="9" t="str">
        <f>D40&amp;H40</f>
        <v>456CA</v>
      </c>
      <c r="F40" s="3">
        <v>3</v>
      </c>
      <c r="G40" s="132">
        <v>-33183.90169561609</v>
      </c>
      <c r="H40" s="123" t="s">
        <v>410</v>
      </c>
      <c r="I40" s="42">
        <v>0</v>
      </c>
      <c r="J40" s="124">
        <f>+G40*I40</f>
        <v>0</v>
      </c>
      <c r="K40" s="15">
        <v>3.4</v>
      </c>
      <c r="L40" s="9"/>
      <c r="N40" s="14"/>
      <c r="O40" s="14"/>
    </row>
    <row r="41" spans="1:15" ht="12">
      <c r="A41" s="8"/>
      <c r="B41" s="2" t="s">
        <v>411</v>
      </c>
      <c r="D41" s="3">
        <v>456</v>
      </c>
      <c r="E41" s="9" t="str">
        <f>D41&amp;H41</f>
        <v>456OR</v>
      </c>
      <c r="F41" s="3">
        <v>3</v>
      </c>
      <c r="G41" s="132">
        <v>-502327.12126211566</v>
      </c>
      <c r="H41" s="123" t="s">
        <v>412</v>
      </c>
      <c r="I41" s="42">
        <v>0</v>
      </c>
      <c r="J41" s="124">
        <f>+G41*I41</f>
        <v>0</v>
      </c>
      <c r="K41" s="15">
        <v>3.4</v>
      </c>
      <c r="L41" s="9"/>
      <c r="N41" s="14"/>
      <c r="O41" s="14"/>
    </row>
    <row r="42" spans="1:14" ht="12">
      <c r="A42" s="8"/>
      <c r="B42" s="12"/>
      <c r="C42" s="35"/>
      <c r="D42" s="13"/>
      <c r="E42" s="13"/>
      <c r="F42" s="13"/>
      <c r="G42" s="168">
        <f>SUM(G39:G41)</f>
        <v>0</v>
      </c>
      <c r="H42" s="41"/>
      <c r="I42" s="42"/>
      <c r="J42" s="168">
        <f>SUM(J39:J41)</f>
        <v>220257.96452816023</v>
      </c>
      <c r="K42" s="9"/>
      <c r="M42" s="14"/>
      <c r="N42" s="14"/>
    </row>
    <row r="43" spans="1:14" ht="12">
      <c r="A43" s="8"/>
      <c r="B43" s="12"/>
      <c r="C43" s="35"/>
      <c r="D43" s="13"/>
      <c r="E43" s="9"/>
      <c r="F43" s="13"/>
      <c r="G43" s="169"/>
      <c r="H43" s="41"/>
      <c r="I43" s="42"/>
      <c r="J43" s="37"/>
      <c r="K43" s="9"/>
      <c r="M43" s="14"/>
      <c r="N43" s="14"/>
    </row>
    <row r="44" spans="1:14" ht="12">
      <c r="A44" s="8"/>
      <c r="B44" s="33" t="s">
        <v>360</v>
      </c>
      <c r="E44" s="9" t="s">
        <v>0</v>
      </c>
      <c r="H44" s="39"/>
      <c r="I44" s="39"/>
      <c r="K44" s="9"/>
      <c r="M44" s="14"/>
      <c r="N44" s="14"/>
    </row>
    <row r="45" spans="1:12" ht="12">
      <c r="A45" s="8"/>
      <c r="B45" s="122" t="s">
        <v>205</v>
      </c>
      <c r="C45" s="8"/>
      <c r="D45" s="9">
        <v>408</v>
      </c>
      <c r="E45" s="9" t="str">
        <f>D45&amp;H45</f>
        <v>408GPS</v>
      </c>
      <c r="F45" s="9">
        <v>3</v>
      </c>
      <c r="G45" s="132">
        <f>'Dunlap l - Property Tax'!H8</f>
        <v>1240000</v>
      </c>
      <c r="H45" s="41" t="s">
        <v>38</v>
      </c>
      <c r="I45" s="42">
        <v>0.41410923987646</v>
      </c>
      <c r="J45" s="37">
        <f>+G45*I45</f>
        <v>513495.4574468104</v>
      </c>
      <c r="K45" s="13">
        <v>3.5</v>
      </c>
      <c r="L45" s="8"/>
    </row>
    <row r="46" spans="1:12" ht="12">
      <c r="A46" s="8"/>
      <c r="B46" s="33"/>
      <c r="E46" s="9"/>
      <c r="H46" s="39"/>
      <c r="I46" s="39"/>
      <c r="K46" s="13"/>
      <c r="L46" s="8"/>
    </row>
    <row r="47" spans="2:12" ht="12">
      <c r="B47" s="122" t="s">
        <v>215</v>
      </c>
      <c r="C47" s="8"/>
      <c r="D47" s="9" t="s">
        <v>87</v>
      </c>
      <c r="E47" s="9" t="str">
        <f>D47&amp;H47</f>
        <v>SCHMATSG</v>
      </c>
      <c r="F47" s="9">
        <v>3</v>
      </c>
      <c r="G47" s="40">
        <v>10344571.906900002</v>
      </c>
      <c r="H47" s="41" t="s">
        <v>4</v>
      </c>
      <c r="I47" s="42">
        <f>+I8</f>
        <v>0.4113042590825348</v>
      </c>
      <c r="J47" s="37">
        <f>ROUND(I47*G47,0)</f>
        <v>4254766</v>
      </c>
      <c r="K47" s="8"/>
      <c r="L47" s="8"/>
    </row>
    <row r="48" spans="2:12" ht="12">
      <c r="B48" s="122" t="s">
        <v>216</v>
      </c>
      <c r="C48" s="8"/>
      <c r="D48" s="9" t="s">
        <v>88</v>
      </c>
      <c r="E48" s="9" t="str">
        <f>D48&amp;H48</f>
        <v>SCHMDTSG</v>
      </c>
      <c r="F48" s="9">
        <v>3</v>
      </c>
      <c r="G48" s="40">
        <v>79904696.8052323</v>
      </c>
      <c r="H48" s="41" t="s">
        <v>4</v>
      </c>
      <c r="I48" s="42">
        <f>+I8</f>
        <v>0.4113042590825348</v>
      </c>
      <c r="J48" s="37">
        <f>ROUND(I48*G48,0)</f>
        <v>32865142</v>
      </c>
      <c r="K48" s="8"/>
      <c r="L48" s="8"/>
    </row>
    <row r="49" spans="2:12" ht="12">
      <c r="B49" s="122" t="s">
        <v>217</v>
      </c>
      <c r="C49" s="8"/>
      <c r="D49" s="9">
        <v>41010</v>
      </c>
      <c r="E49" s="9" t="str">
        <f>D49&amp;H49</f>
        <v>41010SG</v>
      </c>
      <c r="F49" s="9">
        <v>3</v>
      </c>
      <c r="G49" s="40">
        <v>26537447.017926067</v>
      </c>
      <c r="H49" s="41" t="s">
        <v>4</v>
      </c>
      <c r="I49" s="42">
        <f>+I8</f>
        <v>0.4113042590825348</v>
      </c>
      <c r="J49" s="37">
        <f>ROUND(I49*G49,0)</f>
        <v>10914965</v>
      </c>
      <c r="K49" s="8"/>
      <c r="L49" s="8"/>
    </row>
    <row r="50" spans="2:12" ht="12">
      <c r="B50" s="122" t="s">
        <v>218</v>
      </c>
      <c r="C50" s="8"/>
      <c r="D50" s="9">
        <v>282</v>
      </c>
      <c r="E50" s="9" t="str">
        <f>D50&amp;H50</f>
        <v>282SG</v>
      </c>
      <c r="F50" s="9">
        <v>3</v>
      </c>
      <c r="G50" s="40">
        <v>-28817727.139459737</v>
      </c>
      <c r="H50" s="41" t="s">
        <v>4</v>
      </c>
      <c r="I50" s="42">
        <f>+I8</f>
        <v>0.4113042590825348</v>
      </c>
      <c r="J50" s="37">
        <f>ROUND(I50*G50,0)</f>
        <v>-11852854</v>
      </c>
      <c r="K50" s="15"/>
      <c r="L50" s="8"/>
    </row>
    <row r="51" spans="1:12" ht="12">
      <c r="A51" s="8"/>
      <c r="B51" s="38"/>
      <c r="C51" s="34"/>
      <c r="D51" s="13"/>
      <c r="E51" s="13"/>
      <c r="F51" s="13"/>
      <c r="G51" s="40"/>
      <c r="H51" s="41"/>
      <c r="I51" s="42"/>
      <c r="J51" s="37"/>
      <c r="K51" s="15"/>
      <c r="L51" s="8"/>
    </row>
    <row r="52" spans="1:12" ht="12">
      <c r="A52" s="8"/>
      <c r="B52" s="38" t="s">
        <v>509</v>
      </c>
      <c r="C52" s="34"/>
      <c r="D52" s="13">
        <v>40910</v>
      </c>
      <c r="E52" s="9" t="str">
        <f>D52&amp;H52</f>
        <v>40910SG</v>
      </c>
      <c r="F52" s="9">
        <v>3</v>
      </c>
      <c r="G52" s="40">
        <f>-'Dunlap l - Tax Credit'!B12</f>
        <v>-7779326</v>
      </c>
      <c r="H52" s="41" t="s">
        <v>4</v>
      </c>
      <c r="I52" s="42">
        <f>+I8</f>
        <v>0.4113042590825348</v>
      </c>
      <c r="J52" s="37">
        <f>ROUND(I52*G52,0)</f>
        <v>-3199670</v>
      </c>
      <c r="K52" s="15">
        <v>3.6</v>
      </c>
      <c r="L52" s="8"/>
    </row>
    <row r="53" spans="1:11" ht="12.75">
      <c r="A53" s="8"/>
      <c r="B53" s="38"/>
      <c r="C53" s="35"/>
      <c r="D53" s="13"/>
      <c r="E53" s="13"/>
      <c r="F53" s="13"/>
      <c r="G53" s="169"/>
      <c r="H53" s="36"/>
      <c r="I53" s="42"/>
      <c r="J53" s="37"/>
      <c r="K53" s="15"/>
    </row>
    <row r="54" spans="1:11" ht="12">
      <c r="A54" s="8"/>
      <c r="B54" s="122" t="s">
        <v>501</v>
      </c>
      <c r="C54" s="35"/>
      <c r="D54" s="13">
        <v>40911</v>
      </c>
      <c r="E54" s="9" t="str">
        <f>D54&amp;H54</f>
        <v>40911SG</v>
      </c>
      <c r="F54" s="13">
        <v>3</v>
      </c>
      <c r="G54" s="169">
        <v>3702542.90778788</v>
      </c>
      <c r="H54" s="41" t="s">
        <v>4</v>
      </c>
      <c r="I54" s="42">
        <f>+I8</f>
        <v>0.4113042590825348</v>
      </c>
      <c r="J54" s="37">
        <f>ROUND(I54*G54,0)</f>
        <v>1522872</v>
      </c>
      <c r="K54" s="15"/>
    </row>
    <row r="55" spans="1:11" ht="12">
      <c r="A55" s="8"/>
      <c r="B55" s="122"/>
      <c r="C55" s="35"/>
      <c r="D55" s="13"/>
      <c r="E55" s="13"/>
      <c r="F55" s="13"/>
      <c r="G55" s="169"/>
      <c r="H55" s="41"/>
      <c r="I55" s="42"/>
      <c r="J55" s="37"/>
      <c r="K55" s="15"/>
    </row>
    <row r="56" spans="1:11" ht="12">
      <c r="A56" s="8"/>
      <c r="B56" s="122"/>
      <c r="C56" s="35"/>
      <c r="D56" s="13"/>
      <c r="E56" s="13"/>
      <c r="F56" s="13"/>
      <c r="G56" s="169"/>
      <c r="H56" s="41"/>
      <c r="I56" s="42"/>
      <c r="J56" s="37"/>
      <c r="K56" s="15"/>
    </row>
    <row r="57" spans="1:11" ht="12">
      <c r="A57" s="8"/>
      <c r="B57" s="17"/>
      <c r="C57" s="11"/>
      <c r="D57" s="9"/>
      <c r="E57" s="9"/>
      <c r="F57" s="9"/>
      <c r="G57" s="9"/>
      <c r="H57" s="9"/>
      <c r="I57" s="9"/>
      <c r="J57" s="9"/>
      <c r="K57" s="10"/>
    </row>
    <row r="58" spans="1:11" ht="12.75" thickBot="1">
      <c r="A58" s="8"/>
      <c r="B58" s="18" t="s">
        <v>28</v>
      </c>
      <c r="C58" s="8"/>
      <c r="D58" s="9"/>
      <c r="E58" s="9"/>
      <c r="F58" s="9"/>
      <c r="G58" s="9"/>
      <c r="H58" s="9"/>
      <c r="I58" s="9"/>
      <c r="J58" s="9"/>
      <c r="K58" s="10"/>
    </row>
    <row r="59" spans="1:11" ht="12">
      <c r="A59" s="19"/>
      <c r="B59" s="20"/>
      <c r="C59" s="21"/>
      <c r="D59" s="22"/>
      <c r="E59" s="22"/>
      <c r="F59" s="22"/>
      <c r="G59" s="22"/>
      <c r="H59" s="22"/>
      <c r="I59" s="22"/>
      <c r="J59" s="22"/>
      <c r="K59" s="23"/>
    </row>
    <row r="60" spans="1:11" ht="12">
      <c r="A60" s="24"/>
      <c r="B60" s="17"/>
      <c r="C60" s="8"/>
      <c r="D60" s="9"/>
      <c r="E60" s="9"/>
      <c r="F60" s="9"/>
      <c r="G60" s="25"/>
      <c r="H60" s="9"/>
      <c r="I60" s="9"/>
      <c r="J60" s="9"/>
      <c r="K60" s="26"/>
    </row>
    <row r="61" spans="1:11" ht="12">
      <c r="A61" s="24"/>
      <c r="B61" s="17"/>
      <c r="C61" s="8"/>
      <c r="D61" s="9"/>
      <c r="E61" s="9"/>
      <c r="F61" s="9"/>
      <c r="G61" s="9"/>
      <c r="H61" s="9"/>
      <c r="I61" s="9"/>
      <c r="J61" s="9"/>
      <c r="K61" s="26"/>
    </row>
    <row r="62" spans="1:11" ht="12">
      <c r="A62" s="24"/>
      <c r="B62" s="17"/>
      <c r="C62" s="8"/>
      <c r="D62" s="9"/>
      <c r="E62" s="9"/>
      <c r="F62" s="9"/>
      <c r="G62" s="9"/>
      <c r="H62" s="9"/>
      <c r="I62" s="9"/>
      <c r="J62" s="9"/>
      <c r="K62" s="26"/>
    </row>
    <row r="63" spans="1:11" ht="12">
      <c r="A63" s="24"/>
      <c r="B63" s="8"/>
      <c r="C63" s="8"/>
      <c r="D63" s="9"/>
      <c r="E63" s="9"/>
      <c r="F63" s="9"/>
      <c r="G63" s="9"/>
      <c r="H63" s="9"/>
      <c r="I63" s="9"/>
      <c r="J63" s="9"/>
      <c r="K63" s="27"/>
    </row>
    <row r="64" spans="1:11" ht="12">
      <c r="A64" s="24"/>
      <c r="B64" s="8"/>
      <c r="C64" s="8"/>
      <c r="D64" s="9"/>
      <c r="E64" s="9"/>
      <c r="F64" s="9"/>
      <c r="G64" s="9"/>
      <c r="H64" s="9"/>
      <c r="I64" s="9"/>
      <c r="J64" s="9"/>
      <c r="K64" s="27"/>
    </row>
    <row r="65" spans="1:11" ht="12">
      <c r="A65" s="24"/>
      <c r="B65" s="8"/>
      <c r="C65" s="8"/>
      <c r="D65" s="9"/>
      <c r="E65" s="9"/>
      <c r="F65" s="9"/>
      <c r="G65" s="9"/>
      <c r="H65" s="9"/>
      <c r="I65" s="9"/>
      <c r="J65" s="9"/>
      <c r="K65" s="27"/>
    </row>
    <row r="66" spans="1:11" ht="12">
      <c r="A66" s="24"/>
      <c r="B66" s="8"/>
      <c r="C66" s="8"/>
      <c r="D66" s="9"/>
      <c r="E66" s="9"/>
      <c r="F66" s="9"/>
      <c r="G66" s="9"/>
      <c r="H66" s="9"/>
      <c r="I66" s="9"/>
      <c r="J66" s="9"/>
      <c r="K66" s="27"/>
    </row>
    <row r="67" spans="1:11" ht="12.75" thickBot="1">
      <c r="A67" s="28"/>
      <c r="B67" s="29"/>
      <c r="C67" s="29"/>
      <c r="D67" s="30"/>
      <c r="E67" s="30"/>
      <c r="F67" s="30"/>
      <c r="G67" s="30"/>
      <c r="H67" s="30"/>
      <c r="I67" s="30"/>
      <c r="J67" s="30"/>
      <c r="K67" s="31"/>
    </row>
    <row r="68" spans="1:11" ht="12">
      <c r="A68" s="8"/>
      <c r="B68" s="8"/>
      <c r="C68" s="8"/>
      <c r="D68" s="9"/>
      <c r="E68" s="9"/>
      <c r="F68" s="9"/>
      <c r="G68" s="9"/>
      <c r="H68" s="9"/>
      <c r="I68" s="9"/>
      <c r="J68" s="9"/>
      <c r="K68" s="9"/>
    </row>
    <row r="69" spans="1:11" ht="12">
      <c r="A69" s="8"/>
      <c r="B69" s="8"/>
      <c r="C69" s="8"/>
      <c r="D69" s="9"/>
      <c r="E69" s="9"/>
      <c r="F69" s="9"/>
      <c r="G69" s="9"/>
      <c r="H69" s="9"/>
      <c r="I69" s="9"/>
      <c r="J69" s="9"/>
      <c r="K69" s="9"/>
    </row>
    <row r="70" ht="12">
      <c r="G70" s="135"/>
    </row>
  </sheetData>
  <sheetProtection/>
  <conditionalFormatting sqref="B8:B17 B36:B56 B19:B34">
    <cfRule type="cellIs" priority="4" dxfId="0" operator="equal" stopIfTrue="1">
      <formula>"Adjustment to Income/Expense/Rate Base:"</formula>
    </cfRule>
  </conditionalFormatting>
  <conditionalFormatting sqref="K1">
    <cfRule type="cellIs" priority="3" dxfId="0" operator="equal" stopIfTrue="1">
      <formula>"x.x"</formula>
    </cfRule>
  </conditionalFormatting>
  <conditionalFormatting sqref="B54:B56">
    <cfRule type="cellIs" priority="1" dxfId="0" operator="equal" stopIfTrue="1">
      <formula>"Adjustment to Income/Expense/Rate Base:"</formula>
    </cfRule>
  </conditionalFormatting>
  <dataValidations count="2">
    <dataValidation type="list" allowBlank="1" showInputMessage="1" showErrorMessage="1" errorTitle="Adjustment Type" error="There are only three types of adjustments:&#10;Type 1 - ordered, reversal of prior period, correcting or normalizing adjustments.&#10;Type 2 - annualizing or change during the test period.&#10;Type 3 - adjustments beyond the test period." sqref="F64976:F64978">
      <formula1>"1, 2, 3"</formula1>
    </dataValidation>
    <dataValidation errorStyle="warning" type="list" allowBlank="1" showInputMessage="1" showErrorMessage="1" errorTitle="Factor" error="This factor is not included in the drop-down list. Is this the factor you want to use?" sqref="H64975:H64978">
      <formula1>#REF!</formula1>
    </dataValidation>
  </dataValidations>
  <printOptions/>
  <pageMargins left="0.75" right="0.75" top="0.75" bottom="0.75" header="0.5" footer="0.5"/>
  <pageSetup fitToHeight="1" fitToWidth="1" horizontalDpi="600" verticalDpi="600" orientation="portrait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9999"/>
  </sheetPr>
  <dimension ref="A1:U42"/>
  <sheetViews>
    <sheetView zoomScalePageLayoutView="0" workbookViewId="0" topLeftCell="M13">
      <selection activeCell="A5" sqref="A5"/>
    </sheetView>
  </sheetViews>
  <sheetFormatPr defaultColWidth="9.140625" defaultRowHeight="12.75"/>
  <cols>
    <col min="1" max="1" width="25.7109375" style="136" customWidth="1"/>
    <col min="2" max="2" width="11.8515625" style="136" customWidth="1"/>
    <col min="3" max="3" width="17.57421875" style="136" bestFit="1" customWidth="1"/>
    <col min="4" max="20" width="13.7109375" style="136" customWidth="1"/>
    <col min="21" max="21" width="21.7109375" style="136" customWidth="1"/>
    <col min="22" max="24" width="13.7109375" style="136" customWidth="1"/>
    <col min="25" max="25" width="16.28125" style="136" bestFit="1" customWidth="1"/>
    <col min="26" max="26" width="13.7109375" style="136" customWidth="1"/>
    <col min="27" max="27" width="16.28125" style="136" bestFit="1" customWidth="1"/>
    <col min="28" max="30" width="13.7109375" style="136" customWidth="1"/>
    <col min="31" max="31" width="16.28125" style="136" bestFit="1" customWidth="1"/>
    <col min="32" max="34" width="13.7109375" style="136" customWidth="1"/>
    <col min="35" max="35" width="16.28125" style="136" bestFit="1" customWidth="1"/>
    <col min="36" max="39" width="13.7109375" style="136" customWidth="1"/>
    <col min="40" max="40" width="3.7109375" style="136" customWidth="1"/>
    <col min="41" max="41" width="13.7109375" style="136" customWidth="1"/>
    <col min="42" max="42" width="15.28125" style="136" customWidth="1"/>
    <col min="43" max="52" width="13.7109375" style="136" customWidth="1"/>
    <col min="53" max="16384" width="9.140625" style="136" customWidth="1"/>
  </cols>
  <sheetData>
    <row r="1" ht="15">
      <c r="A1" s="179" t="s">
        <v>13</v>
      </c>
    </row>
    <row r="2" ht="15">
      <c r="A2" s="180" t="s">
        <v>355</v>
      </c>
    </row>
    <row r="3" ht="15">
      <c r="A3" s="180" t="s">
        <v>336</v>
      </c>
    </row>
    <row r="4" ht="15">
      <c r="A4" s="180"/>
    </row>
    <row r="5" ht="15">
      <c r="A5" s="180"/>
    </row>
    <row r="6" ht="15.75" thickBot="1"/>
    <row r="7" spans="1:5" ht="15">
      <c r="A7" s="137" t="s">
        <v>362</v>
      </c>
      <c r="B7" s="138"/>
      <c r="C7" s="139"/>
      <c r="D7" s="170"/>
      <c r="E7" s="170"/>
    </row>
    <row r="8" spans="1:6" ht="15">
      <c r="A8" s="349" t="s">
        <v>497</v>
      </c>
      <c r="B8" s="141"/>
      <c r="C8" s="171">
        <f>U23+U24+U25</f>
        <v>253706812.83000004</v>
      </c>
      <c r="D8" s="172"/>
      <c r="E8" s="172"/>
      <c r="F8" s="143"/>
    </row>
    <row r="9" spans="1:6" ht="15">
      <c r="A9" s="140" t="s">
        <v>413</v>
      </c>
      <c r="B9" s="141"/>
      <c r="C9" s="171">
        <f>U26</f>
        <v>10806009.409999998</v>
      </c>
      <c r="D9" s="172"/>
      <c r="E9" s="172"/>
      <c r="F9" s="143"/>
    </row>
    <row r="10" spans="1:6" ht="15">
      <c r="A10" s="349" t="s">
        <v>498</v>
      </c>
      <c r="B10" s="141"/>
      <c r="C10" s="144" t="s">
        <v>414</v>
      </c>
      <c r="D10" s="173"/>
      <c r="E10" s="173"/>
      <c r="F10" s="145"/>
    </row>
    <row r="11" spans="1:6" ht="15">
      <c r="A11" s="140" t="s">
        <v>415</v>
      </c>
      <c r="B11" s="141"/>
      <c r="C11" s="144" t="s">
        <v>416</v>
      </c>
      <c r="D11" s="173"/>
      <c r="E11" s="173"/>
      <c r="F11" s="145"/>
    </row>
    <row r="12" spans="1:5" ht="15">
      <c r="A12" s="349" t="s">
        <v>499</v>
      </c>
      <c r="B12" s="141"/>
      <c r="C12" s="174">
        <v>14304136.059999999</v>
      </c>
      <c r="E12" s="175"/>
    </row>
    <row r="13" spans="1:5" ht="15">
      <c r="A13" s="140" t="s">
        <v>417</v>
      </c>
      <c r="B13" s="141"/>
      <c r="C13" s="174">
        <v>180316.97776026942</v>
      </c>
      <c r="E13" s="175"/>
    </row>
    <row r="14" spans="1:6" ht="15">
      <c r="A14" s="140"/>
      <c r="B14" s="141"/>
      <c r="C14" s="147"/>
      <c r="D14" s="176"/>
      <c r="E14" s="176"/>
      <c r="F14" s="145"/>
    </row>
    <row r="15" spans="1:6" ht="15">
      <c r="A15" s="140"/>
      <c r="B15" s="141"/>
      <c r="C15" s="147"/>
      <c r="D15" s="176"/>
      <c r="E15" s="176"/>
      <c r="F15" s="145"/>
    </row>
    <row r="16" spans="1:6" ht="15.75" thickBot="1">
      <c r="A16" s="149"/>
      <c r="B16" s="150"/>
      <c r="C16" s="151"/>
      <c r="D16" s="177"/>
      <c r="E16" s="177"/>
      <c r="F16" s="145"/>
    </row>
    <row r="18" s="152" customFormat="1" ht="15"/>
    <row r="19" spans="1:21" s="152" customFormat="1" ht="15">
      <c r="A19" s="153" t="s">
        <v>5</v>
      </c>
      <c r="B19" s="153" t="s">
        <v>6</v>
      </c>
      <c r="C19" s="154" t="s">
        <v>197</v>
      </c>
      <c r="D19" s="155">
        <v>40391</v>
      </c>
      <c r="E19" s="155">
        <v>40422</v>
      </c>
      <c r="F19" s="155">
        <v>40452</v>
      </c>
      <c r="G19" s="155">
        <v>40483</v>
      </c>
      <c r="H19" s="155">
        <v>40513</v>
      </c>
      <c r="I19" s="155">
        <v>40544</v>
      </c>
      <c r="J19" s="155">
        <v>40575</v>
      </c>
      <c r="K19" s="155">
        <v>40603</v>
      </c>
      <c r="L19" s="155">
        <v>40634</v>
      </c>
      <c r="M19" s="155">
        <v>40664</v>
      </c>
      <c r="N19" s="155">
        <v>40695</v>
      </c>
      <c r="O19" s="155">
        <v>40725</v>
      </c>
      <c r="P19" s="155">
        <v>40756</v>
      </c>
      <c r="Q19" s="155">
        <v>40787</v>
      </c>
      <c r="R19" s="155">
        <v>40817</v>
      </c>
      <c r="S19" s="155">
        <v>40848</v>
      </c>
      <c r="T19" s="155">
        <v>40878</v>
      </c>
      <c r="U19" s="156" t="s">
        <v>200</v>
      </c>
    </row>
    <row r="20" s="152" customFormat="1" ht="15"/>
    <row r="21" spans="1:6" s="152" customFormat="1" ht="15">
      <c r="A21" s="162" t="s">
        <v>202</v>
      </c>
      <c r="F21" s="157"/>
    </row>
    <row r="22" spans="1:6" s="152" customFormat="1" ht="15">
      <c r="A22" s="158" t="s">
        <v>418</v>
      </c>
      <c r="F22" s="157"/>
    </row>
    <row r="23" spans="1:21" s="152" customFormat="1" ht="15">
      <c r="A23" s="152" t="s">
        <v>12</v>
      </c>
      <c r="B23" s="152" t="s">
        <v>4</v>
      </c>
      <c r="C23" s="159"/>
      <c r="D23" s="157">
        <v>0</v>
      </c>
      <c r="E23" s="157">
        <f>D23</f>
        <v>0</v>
      </c>
      <c r="F23" s="157">
        <v>4317405.13</v>
      </c>
      <c r="G23" s="157">
        <f aca="true" t="shared" si="0" ref="G23:T26">F23</f>
        <v>4317405.13</v>
      </c>
      <c r="H23" s="157">
        <f t="shared" si="0"/>
        <v>4317405.13</v>
      </c>
      <c r="I23" s="157">
        <f t="shared" si="0"/>
        <v>4317405.13</v>
      </c>
      <c r="J23" s="157">
        <f t="shared" si="0"/>
        <v>4317405.13</v>
      </c>
      <c r="K23" s="157">
        <f t="shared" si="0"/>
        <v>4317405.13</v>
      </c>
      <c r="L23" s="157">
        <f t="shared" si="0"/>
        <v>4317405.13</v>
      </c>
      <c r="M23" s="157">
        <f t="shared" si="0"/>
        <v>4317405.13</v>
      </c>
      <c r="N23" s="157">
        <f t="shared" si="0"/>
        <v>4317405.13</v>
      </c>
      <c r="O23" s="157">
        <f t="shared" si="0"/>
        <v>4317405.13</v>
      </c>
      <c r="P23" s="157">
        <f t="shared" si="0"/>
        <v>4317405.13</v>
      </c>
      <c r="Q23" s="157">
        <f t="shared" si="0"/>
        <v>4317405.13</v>
      </c>
      <c r="R23" s="157">
        <f t="shared" si="0"/>
        <v>4317405.13</v>
      </c>
      <c r="S23" s="157">
        <f t="shared" si="0"/>
        <v>4317405.13</v>
      </c>
      <c r="T23" s="157">
        <f t="shared" si="0"/>
        <v>4317405.13</v>
      </c>
      <c r="U23" s="163">
        <f>SUM(H23:T23)/13</f>
        <v>4317405.130000001</v>
      </c>
    </row>
    <row r="24" spans="1:21" s="152" customFormat="1" ht="15">
      <c r="A24" s="152" t="s">
        <v>3</v>
      </c>
      <c r="B24" s="152" t="s">
        <v>4</v>
      </c>
      <c r="C24" s="159"/>
      <c r="D24" s="157">
        <v>0</v>
      </c>
      <c r="E24" s="157">
        <f>D24</f>
        <v>0</v>
      </c>
      <c r="F24" s="157">
        <v>519984.45</v>
      </c>
      <c r="G24" s="157">
        <f t="shared" si="0"/>
        <v>519984.45</v>
      </c>
      <c r="H24" s="157">
        <f t="shared" si="0"/>
        <v>519984.45</v>
      </c>
      <c r="I24" s="157">
        <f t="shared" si="0"/>
        <v>519984.45</v>
      </c>
      <c r="J24" s="157">
        <f t="shared" si="0"/>
        <v>519984.45</v>
      </c>
      <c r="K24" s="157">
        <f t="shared" si="0"/>
        <v>519984.45</v>
      </c>
      <c r="L24" s="157">
        <f t="shared" si="0"/>
        <v>519984.45</v>
      </c>
      <c r="M24" s="157">
        <f t="shared" si="0"/>
        <v>519984.45</v>
      </c>
      <c r="N24" s="157">
        <f t="shared" si="0"/>
        <v>519984.45</v>
      </c>
      <c r="O24" s="157">
        <f t="shared" si="0"/>
        <v>519984.45</v>
      </c>
      <c r="P24" s="157">
        <f t="shared" si="0"/>
        <v>519984.45</v>
      </c>
      <c r="Q24" s="157">
        <f t="shared" si="0"/>
        <v>519984.45</v>
      </c>
      <c r="R24" s="157">
        <f t="shared" si="0"/>
        <v>519984.45</v>
      </c>
      <c r="S24" s="157">
        <f t="shared" si="0"/>
        <v>519984.45</v>
      </c>
      <c r="T24" s="157">
        <f t="shared" si="0"/>
        <v>519984.45</v>
      </c>
      <c r="U24" s="163">
        <f>SUM(H24:T24)/13</f>
        <v>519984.4500000001</v>
      </c>
    </row>
    <row r="25" spans="1:21" s="152" customFormat="1" ht="15">
      <c r="A25" s="152" t="s">
        <v>2</v>
      </c>
      <c r="B25" s="152" t="s">
        <v>4</v>
      </c>
      <c r="C25" s="159"/>
      <c r="D25" s="157">
        <v>0</v>
      </c>
      <c r="E25" s="157">
        <f>D25</f>
        <v>0</v>
      </c>
      <c r="F25" s="157">
        <v>248869423.25000006</v>
      </c>
      <c r="G25" s="157">
        <f>F25</f>
        <v>248869423.25000006</v>
      </c>
      <c r="H25" s="157">
        <f>G25</f>
        <v>248869423.25000006</v>
      </c>
      <c r="I25" s="157">
        <f t="shared" si="0"/>
        <v>248869423.25000006</v>
      </c>
      <c r="J25" s="157">
        <f t="shared" si="0"/>
        <v>248869423.25000006</v>
      </c>
      <c r="K25" s="157">
        <f t="shared" si="0"/>
        <v>248869423.25000006</v>
      </c>
      <c r="L25" s="157">
        <f t="shared" si="0"/>
        <v>248869423.25000006</v>
      </c>
      <c r="M25" s="157">
        <f t="shared" si="0"/>
        <v>248869423.25000006</v>
      </c>
      <c r="N25" s="157">
        <f t="shared" si="0"/>
        <v>248869423.25000006</v>
      </c>
      <c r="O25" s="157">
        <f t="shared" si="0"/>
        <v>248869423.25000006</v>
      </c>
      <c r="P25" s="157">
        <f t="shared" si="0"/>
        <v>248869423.25000006</v>
      </c>
      <c r="Q25" s="157">
        <f t="shared" si="0"/>
        <v>248869423.25000006</v>
      </c>
      <c r="R25" s="157">
        <f t="shared" si="0"/>
        <v>248869423.25000006</v>
      </c>
      <c r="S25" s="157">
        <f t="shared" si="0"/>
        <v>248869423.25000006</v>
      </c>
      <c r="T25" s="157">
        <f t="shared" si="0"/>
        <v>248869423.25000006</v>
      </c>
      <c r="U25" s="163">
        <f>SUM(H25:T25)/13</f>
        <v>248869423.25000003</v>
      </c>
    </row>
    <row r="26" spans="1:21" s="152" customFormat="1" ht="15">
      <c r="A26" s="152" t="s">
        <v>419</v>
      </c>
      <c r="B26" s="152" t="s">
        <v>4</v>
      </c>
      <c r="C26" s="159"/>
      <c r="D26" s="157">
        <v>10806009.41</v>
      </c>
      <c r="E26" s="157">
        <f>D26</f>
        <v>10806009.41</v>
      </c>
      <c r="F26" s="157">
        <f>E26</f>
        <v>10806009.41</v>
      </c>
      <c r="G26" s="157">
        <f>F26</f>
        <v>10806009.41</v>
      </c>
      <c r="H26" s="157">
        <f>G26</f>
        <v>10806009.41</v>
      </c>
      <c r="I26" s="157">
        <f t="shared" si="0"/>
        <v>10806009.41</v>
      </c>
      <c r="J26" s="157">
        <f t="shared" si="0"/>
        <v>10806009.41</v>
      </c>
      <c r="K26" s="157">
        <f t="shared" si="0"/>
        <v>10806009.41</v>
      </c>
      <c r="L26" s="157">
        <f t="shared" si="0"/>
        <v>10806009.41</v>
      </c>
      <c r="M26" s="157">
        <f t="shared" si="0"/>
        <v>10806009.41</v>
      </c>
      <c r="N26" s="157">
        <f t="shared" si="0"/>
        <v>10806009.41</v>
      </c>
      <c r="O26" s="157">
        <f t="shared" si="0"/>
        <v>10806009.41</v>
      </c>
      <c r="P26" s="157">
        <f t="shared" si="0"/>
        <v>10806009.41</v>
      </c>
      <c r="Q26" s="157">
        <f t="shared" si="0"/>
        <v>10806009.41</v>
      </c>
      <c r="R26" s="157">
        <f t="shared" si="0"/>
        <v>10806009.41</v>
      </c>
      <c r="S26" s="157">
        <f t="shared" si="0"/>
        <v>10806009.41</v>
      </c>
      <c r="T26" s="157">
        <f t="shared" si="0"/>
        <v>10806009.41</v>
      </c>
      <c r="U26" s="163">
        <f>SUM(H26:T26)/13</f>
        <v>10806009.409999998</v>
      </c>
    </row>
    <row r="27" spans="1:21" s="152" customFormat="1" ht="15">
      <c r="A27" s="152" t="s">
        <v>420</v>
      </c>
      <c r="D27" s="161">
        <f>SUBTOTAL(9,D23:D26)</f>
        <v>10806009.41</v>
      </c>
      <c r="E27" s="161">
        <f>SUBTOTAL(9,E23:E26)</f>
        <v>10806009.41</v>
      </c>
      <c r="F27" s="161">
        <f>SUBTOTAL(9,F23:F26)</f>
        <v>264512822.24000007</v>
      </c>
      <c r="G27" s="161">
        <f aca="true" t="shared" si="1" ref="G27:T27">SUBTOTAL(9,G23:G26)</f>
        <v>264512822.24000007</v>
      </c>
      <c r="H27" s="161">
        <f t="shared" si="1"/>
        <v>264512822.24000007</v>
      </c>
      <c r="I27" s="161">
        <f t="shared" si="1"/>
        <v>264512822.24000007</v>
      </c>
      <c r="J27" s="161">
        <f t="shared" si="1"/>
        <v>264512822.24000007</v>
      </c>
      <c r="K27" s="161">
        <f t="shared" si="1"/>
        <v>264512822.24000007</v>
      </c>
      <c r="L27" s="161">
        <f t="shared" si="1"/>
        <v>264512822.24000007</v>
      </c>
      <c r="M27" s="161">
        <f t="shared" si="1"/>
        <v>264512822.24000007</v>
      </c>
      <c r="N27" s="161">
        <f t="shared" si="1"/>
        <v>264512822.24000007</v>
      </c>
      <c r="O27" s="161">
        <f t="shared" si="1"/>
        <v>264512822.24000007</v>
      </c>
      <c r="P27" s="161">
        <f t="shared" si="1"/>
        <v>264512822.24000007</v>
      </c>
      <c r="Q27" s="161">
        <f t="shared" si="1"/>
        <v>264512822.24000007</v>
      </c>
      <c r="R27" s="161">
        <f t="shared" si="1"/>
        <v>264512822.24000007</v>
      </c>
      <c r="S27" s="161">
        <f t="shared" si="1"/>
        <v>264512822.24000007</v>
      </c>
      <c r="T27" s="161">
        <f t="shared" si="1"/>
        <v>264512822.24000007</v>
      </c>
      <c r="U27" s="161">
        <f>SUBTOTAL(9,U23:U26)</f>
        <v>264512822.24000004</v>
      </c>
    </row>
    <row r="28" s="152" customFormat="1" ht="15">
      <c r="U28" s="70" t="s">
        <v>329</v>
      </c>
    </row>
    <row r="29" s="152" customFormat="1" ht="15">
      <c r="J29" s="152" t="s">
        <v>0</v>
      </c>
    </row>
    <row r="30" spans="1:21" s="152" customFormat="1" ht="15">
      <c r="A30" s="162" t="s">
        <v>198</v>
      </c>
      <c r="U30" s="156" t="s">
        <v>364</v>
      </c>
    </row>
    <row r="31" spans="1:21" s="152" customFormat="1" ht="15">
      <c r="A31" s="152" t="s">
        <v>3</v>
      </c>
      <c r="B31" s="152" t="s">
        <v>4</v>
      </c>
      <c r="C31" s="216">
        <v>0.0406</v>
      </c>
      <c r="D31" s="157">
        <f>(D24)/2*$C31/12</f>
        <v>0</v>
      </c>
      <c r="E31" s="157">
        <f aca="true" t="shared" si="2" ref="E31:T33">(E24+D24)/2*$C31/12</f>
        <v>0</v>
      </c>
      <c r="F31" s="157">
        <f t="shared" si="2"/>
        <v>879.64036125</v>
      </c>
      <c r="G31" s="157">
        <f t="shared" si="2"/>
        <v>1759.2807225</v>
      </c>
      <c r="H31" s="157">
        <f t="shared" si="2"/>
        <v>1759.2807225</v>
      </c>
      <c r="I31" s="157">
        <f t="shared" si="2"/>
        <v>1759.2807225</v>
      </c>
      <c r="J31" s="157">
        <f t="shared" si="2"/>
        <v>1759.2807225</v>
      </c>
      <c r="K31" s="157">
        <f t="shared" si="2"/>
        <v>1759.2807225</v>
      </c>
      <c r="L31" s="157">
        <f t="shared" si="2"/>
        <v>1759.2807225</v>
      </c>
      <c r="M31" s="157">
        <f t="shared" si="2"/>
        <v>1759.2807225</v>
      </c>
      <c r="N31" s="157">
        <f t="shared" si="2"/>
        <v>1759.2807225</v>
      </c>
      <c r="O31" s="157">
        <f t="shared" si="2"/>
        <v>1759.2807225</v>
      </c>
      <c r="P31" s="157">
        <f t="shared" si="2"/>
        <v>1759.2807225</v>
      </c>
      <c r="Q31" s="157">
        <f t="shared" si="2"/>
        <v>1759.2807225</v>
      </c>
      <c r="R31" s="157">
        <f t="shared" si="2"/>
        <v>1759.2807225</v>
      </c>
      <c r="S31" s="157">
        <f t="shared" si="2"/>
        <v>1759.2807225</v>
      </c>
      <c r="T31" s="157">
        <f t="shared" si="2"/>
        <v>1759.2807225</v>
      </c>
      <c r="U31" s="163">
        <f>SUM(I31:T31)</f>
        <v>21111.36867</v>
      </c>
    </row>
    <row r="32" spans="1:21" s="152" customFormat="1" ht="15">
      <c r="A32" s="152" t="s">
        <v>2</v>
      </c>
      <c r="B32" s="152" t="s">
        <v>4</v>
      </c>
      <c r="C32" s="216">
        <v>0.0406</v>
      </c>
      <c r="D32" s="157">
        <f>(D25)/2*$C32/12</f>
        <v>0</v>
      </c>
      <c r="E32" s="157">
        <f t="shared" si="2"/>
        <v>0</v>
      </c>
      <c r="F32" s="157">
        <f t="shared" si="2"/>
        <v>421004.1076645834</v>
      </c>
      <c r="G32" s="157">
        <f t="shared" si="2"/>
        <v>842008.2153291669</v>
      </c>
      <c r="H32" s="157">
        <f t="shared" si="2"/>
        <v>842008.2153291669</v>
      </c>
      <c r="I32" s="157">
        <f t="shared" si="2"/>
        <v>842008.2153291669</v>
      </c>
      <c r="J32" s="157">
        <f t="shared" si="2"/>
        <v>842008.2153291669</v>
      </c>
      <c r="K32" s="157">
        <f t="shared" si="2"/>
        <v>842008.2153291669</v>
      </c>
      <c r="L32" s="157">
        <f t="shared" si="2"/>
        <v>842008.2153291669</v>
      </c>
      <c r="M32" s="157">
        <f t="shared" si="2"/>
        <v>842008.2153291669</v>
      </c>
      <c r="N32" s="157">
        <f t="shared" si="2"/>
        <v>842008.2153291669</v>
      </c>
      <c r="O32" s="157">
        <f t="shared" si="2"/>
        <v>842008.2153291669</v>
      </c>
      <c r="P32" s="157">
        <f t="shared" si="2"/>
        <v>842008.2153291669</v>
      </c>
      <c r="Q32" s="157">
        <f t="shared" si="2"/>
        <v>842008.2153291669</v>
      </c>
      <c r="R32" s="157">
        <f t="shared" si="2"/>
        <v>842008.2153291669</v>
      </c>
      <c r="S32" s="157">
        <f t="shared" si="2"/>
        <v>842008.2153291669</v>
      </c>
      <c r="T32" s="157">
        <f t="shared" si="2"/>
        <v>842008.2153291669</v>
      </c>
      <c r="U32" s="163">
        <f>SUM(I32:T32)</f>
        <v>10104098.58395</v>
      </c>
    </row>
    <row r="33" spans="1:21" s="152" customFormat="1" ht="15">
      <c r="A33" s="152" t="s">
        <v>419</v>
      </c>
      <c r="B33" s="152" t="s">
        <v>4</v>
      </c>
      <c r="C33" s="216">
        <v>0.0203</v>
      </c>
      <c r="D33" s="157">
        <f>(D26)/2*$C33/12</f>
        <v>9140.082959291665</v>
      </c>
      <c r="E33" s="157">
        <f>(E26+D26)/2*$C33/12</f>
        <v>18280.16591858333</v>
      </c>
      <c r="F33" s="157">
        <f>(F26+E26)/2*$C33/12</f>
        <v>18280.16591858333</v>
      </c>
      <c r="G33" s="157">
        <f t="shared" si="2"/>
        <v>18280.16591858333</v>
      </c>
      <c r="H33" s="157">
        <f t="shared" si="2"/>
        <v>18280.16591858333</v>
      </c>
      <c r="I33" s="157">
        <f t="shared" si="2"/>
        <v>18280.16591858333</v>
      </c>
      <c r="J33" s="157">
        <f t="shared" si="2"/>
        <v>18280.16591858333</v>
      </c>
      <c r="K33" s="157">
        <f t="shared" si="2"/>
        <v>18280.16591858333</v>
      </c>
      <c r="L33" s="157">
        <f t="shared" si="2"/>
        <v>18280.16591858333</v>
      </c>
      <c r="M33" s="157">
        <f t="shared" si="2"/>
        <v>18280.16591858333</v>
      </c>
      <c r="N33" s="157">
        <f t="shared" si="2"/>
        <v>18280.16591858333</v>
      </c>
      <c r="O33" s="157">
        <f t="shared" si="2"/>
        <v>18280.16591858333</v>
      </c>
      <c r="P33" s="157">
        <f t="shared" si="2"/>
        <v>18280.16591858333</v>
      </c>
      <c r="Q33" s="157">
        <f t="shared" si="2"/>
        <v>18280.16591858333</v>
      </c>
      <c r="R33" s="157">
        <f t="shared" si="2"/>
        <v>18280.16591858333</v>
      </c>
      <c r="S33" s="157">
        <f t="shared" si="2"/>
        <v>18280.16591858333</v>
      </c>
      <c r="T33" s="157">
        <f t="shared" si="2"/>
        <v>18280.16591858333</v>
      </c>
      <c r="U33" s="163">
        <f>SUM(I33:T33)</f>
        <v>219361.991023</v>
      </c>
    </row>
    <row r="34" spans="1:21" s="152" customFormat="1" ht="15">
      <c r="A34" s="152" t="s">
        <v>199</v>
      </c>
      <c r="D34" s="161">
        <f>SUBTOTAL(9,D31:D33)</f>
        <v>9140.082959291665</v>
      </c>
      <c r="E34" s="161">
        <f>SUBTOTAL(9,E31:E33)</f>
        <v>18280.16591858333</v>
      </c>
      <c r="F34" s="161">
        <f>SUBTOTAL(9,F31:F33)</f>
        <v>440163.9139444168</v>
      </c>
      <c r="G34" s="161">
        <f aca="true" t="shared" si="3" ref="G34:T34">SUBTOTAL(9,G31:G33)</f>
        <v>862047.6619702502</v>
      </c>
      <c r="H34" s="161">
        <f t="shared" si="3"/>
        <v>862047.6619702502</v>
      </c>
      <c r="I34" s="161">
        <f t="shared" si="3"/>
        <v>862047.6619702502</v>
      </c>
      <c r="J34" s="161">
        <f t="shared" si="3"/>
        <v>862047.6619702502</v>
      </c>
      <c r="K34" s="161">
        <f t="shared" si="3"/>
        <v>862047.6619702502</v>
      </c>
      <c r="L34" s="161">
        <f t="shared" si="3"/>
        <v>862047.6619702502</v>
      </c>
      <c r="M34" s="161">
        <f t="shared" si="3"/>
        <v>862047.6619702502</v>
      </c>
      <c r="N34" s="161">
        <f t="shared" si="3"/>
        <v>862047.6619702502</v>
      </c>
      <c r="O34" s="161">
        <f t="shared" si="3"/>
        <v>862047.6619702502</v>
      </c>
      <c r="P34" s="161">
        <f t="shared" si="3"/>
        <v>862047.6619702502</v>
      </c>
      <c r="Q34" s="161">
        <f t="shared" si="3"/>
        <v>862047.6619702502</v>
      </c>
      <c r="R34" s="161">
        <f t="shared" si="3"/>
        <v>862047.6619702502</v>
      </c>
      <c r="S34" s="161">
        <f t="shared" si="3"/>
        <v>862047.6619702502</v>
      </c>
      <c r="T34" s="161">
        <f t="shared" si="3"/>
        <v>862047.6619702502</v>
      </c>
      <c r="U34" s="161">
        <f>SUBTOTAL(9,U31:U33)</f>
        <v>10344571.943643</v>
      </c>
    </row>
    <row r="35" s="152" customFormat="1" ht="15">
      <c r="U35" s="70" t="s">
        <v>329</v>
      </c>
    </row>
    <row r="36" s="152" customFormat="1" ht="15">
      <c r="K36" s="163" t="s">
        <v>0</v>
      </c>
    </row>
    <row r="37" spans="1:21" s="152" customFormat="1" ht="15">
      <c r="A37" s="158" t="s">
        <v>201</v>
      </c>
      <c r="U37" s="156" t="s">
        <v>200</v>
      </c>
    </row>
    <row r="38" spans="1:21" s="152" customFormat="1" ht="15">
      <c r="A38" s="152" t="s">
        <v>3</v>
      </c>
      <c r="B38" s="152" t="s">
        <v>4</v>
      </c>
      <c r="C38" s="159"/>
      <c r="D38" s="178">
        <f>-D31</f>
        <v>0</v>
      </c>
      <c r="E38" s="157">
        <f aca="true" t="shared" si="4" ref="E38:T40">D38-E31</f>
        <v>0</v>
      </c>
      <c r="F38" s="157">
        <f t="shared" si="4"/>
        <v>-879.64036125</v>
      </c>
      <c r="G38" s="157">
        <f t="shared" si="4"/>
        <v>-2638.92108375</v>
      </c>
      <c r="H38" s="157">
        <f t="shared" si="4"/>
        <v>-4398.20180625</v>
      </c>
      <c r="I38" s="157">
        <f t="shared" si="4"/>
        <v>-6157.48252875</v>
      </c>
      <c r="J38" s="157">
        <f t="shared" si="4"/>
        <v>-7916.7632512499995</v>
      </c>
      <c r="K38" s="157">
        <f t="shared" si="4"/>
        <v>-9676.04397375</v>
      </c>
      <c r="L38" s="157">
        <f t="shared" si="4"/>
        <v>-11435.32469625</v>
      </c>
      <c r="M38" s="157">
        <f t="shared" si="4"/>
        <v>-13194.60541875</v>
      </c>
      <c r="N38" s="157">
        <f t="shared" si="4"/>
        <v>-14953.88614125</v>
      </c>
      <c r="O38" s="157">
        <f t="shared" si="4"/>
        <v>-16713.16686375</v>
      </c>
      <c r="P38" s="157">
        <f t="shared" si="4"/>
        <v>-18472.44758625</v>
      </c>
      <c r="Q38" s="157">
        <f t="shared" si="4"/>
        <v>-20231.72830875</v>
      </c>
      <c r="R38" s="157">
        <f t="shared" si="4"/>
        <v>-21991.00903125</v>
      </c>
      <c r="S38" s="157">
        <f t="shared" si="4"/>
        <v>-23750.28975375</v>
      </c>
      <c r="T38" s="157">
        <f t="shared" si="4"/>
        <v>-25509.57047625</v>
      </c>
      <c r="U38" s="163">
        <f>SUM(H38:T38)/13</f>
        <v>-14953.88614125</v>
      </c>
    </row>
    <row r="39" spans="1:21" s="152" customFormat="1" ht="15">
      <c r="A39" s="152" t="s">
        <v>2</v>
      </c>
      <c r="B39" s="152" t="s">
        <v>4</v>
      </c>
      <c r="C39" s="159"/>
      <c r="D39" s="178">
        <f>-D32</f>
        <v>0</v>
      </c>
      <c r="E39" s="157">
        <f t="shared" si="4"/>
        <v>0</v>
      </c>
      <c r="F39" s="157">
        <f t="shared" si="4"/>
        <v>-421004.1076645834</v>
      </c>
      <c r="G39" s="157">
        <f t="shared" si="4"/>
        <v>-1263012.3229937502</v>
      </c>
      <c r="H39" s="157">
        <f t="shared" si="4"/>
        <v>-2105020.538322917</v>
      </c>
      <c r="I39" s="157">
        <f t="shared" si="4"/>
        <v>-2947028.753652084</v>
      </c>
      <c r="J39" s="157">
        <f t="shared" si="4"/>
        <v>-3789036.968981251</v>
      </c>
      <c r="K39" s="157">
        <f t="shared" si="4"/>
        <v>-4631045.184310418</v>
      </c>
      <c r="L39" s="157">
        <f t="shared" si="4"/>
        <v>-5473053.399639584</v>
      </c>
      <c r="M39" s="157">
        <f t="shared" si="4"/>
        <v>-6315061.614968751</v>
      </c>
      <c r="N39" s="157">
        <f t="shared" si="4"/>
        <v>-7157069.830297917</v>
      </c>
      <c r="O39" s="157">
        <f t="shared" si="4"/>
        <v>-7999078.045627084</v>
      </c>
      <c r="P39" s="157">
        <f t="shared" si="4"/>
        <v>-8841086.26095625</v>
      </c>
      <c r="Q39" s="157">
        <f t="shared" si="4"/>
        <v>-9683094.476285417</v>
      </c>
      <c r="R39" s="157">
        <f t="shared" si="4"/>
        <v>-10525102.691614583</v>
      </c>
      <c r="S39" s="157">
        <f t="shared" si="4"/>
        <v>-11367110.90694375</v>
      </c>
      <c r="T39" s="157">
        <f t="shared" si="4"/>
        <v>-12209119.122272916</v>
      </c>
      <c r="U39" s="163">
        <f>SUM(H39:T39)/13</f>
        <v>-7157069.830297917</v>
      </c>
    </row>
    <row r="40" spans="1:21" s="152" customFormat="1" ht="15">
      <c r="A40" s="152" t="s">
        <v>419</v>
      </c>
      <c r="B40" s="152" t="s">
        <v>4</v>
      </c>
      <c r="C40" s="159"/>
      <c r="D40" s="163">
        <f>-D33</f>
        <v>-9140.082959291665</v>
      </c>
      <c r="E40" s="157">
        <f t="shared" si="4"/>
        <v>-27420.248877874998</v>
      </c>
      <c r="F40" s="157">
        <f t="shared" si="4"/>
        <v>-45700.414796458324</v>
      </c>
      <c r="G40" s="157">
        <f t="shared" si="4"/>
        <v>-63980.58071504165</v>
      </c>
      <c r="H40" s="157">
        <f t="shared" si="4"/>
        <v>-82260.74663362498</v>
      </c>
      <c r="I40" s="157">
        <f t="shared" si="4"/>
        <v>-100540.9125522083</v>
      </c>
      <c r="J40" s="157">
        <f t="shared" si="4"/>
        <v>-118821.07847079163</v>
      </c>
      <c r="K40" s="157">
        <f t="shared" si="4"/>
        <v>-137101.24438937497</v>
      </c>
      <c r="L40" s="157">
        <f t="shared" si="4"/>
        <v>-155381.41030795831</v>
      </c>
      <c r="M40" s="157">
        <f t="shared" si="4"/>
        <v>-173661.57622654166</v>
      </c>
      <c r="N40" s="157">
        <f t="shared" si="4"/>
        <v>-191941.742145125</v>
      </c>
      <c r="O40" s="157">
        <f t="shared" si="4"/>
        <v>-210221.90806370834</v>
      </c>
      <c r="P40" s="157">
        <f t="shared" si="4"/>
        <v>-228502.07398229168</v>
      </c>
      <c r="Q40" s="157">
        <f t="shared" si="4"/>
        <v>-246782.23990087502</v>
      </c>
      <c r="R40" s="157">
        <f t="shared" si="4"/>
        <v>-265062.40581945836</v>
      </c>
      <c r="S40" s="157">
        <f t="shared" si="4"/>
        <v>-283342.5717380417</v>
      </c>
      <c r="T40" s="157">
        <f t="shared" si="4"/>
        <v>-301622.73765662505</v>
      </c>
      <c r="U40" s="163">
        <f>SUM(H40:T40)/13</f>
        <v>-191941.74214512497</v>
      </c>
    </row>
    <row r="41" spans="1:21" s="152" customFormat="1" ht="15">
      <c r="A41" s="152" t="s">
        <v>203</v>
      </c>
      <c r="D41" s="161">
        <f>SUBTOTAL(9,D38:D40)</f>
        <v>-9140.082959291665</v>
      </c>
      <c r="E41" s="161">
        <f>SUBTOTAL(9,E38:E40)</f>
        <v>-27420.248877874998</v>
      </c>
      <c r="F41" s="161">
        <f>SUBTOTAL(9,F38:F40)</f>
        <v>-467584.1628222918</v>
      </c>
      <c r="G41" s="161">
        <f aca="true" t="shared" si="5" ref="G41:T41">SUBTOTAL(9,G38:G40)</f>
        <v>-1329631.8247925418</v>
      </c>
      <c r="H41" s="161">
        <f t="shared" si="5"/>
        <v>-2191679.4867627923</v>
      </c>
      <c r="I41" s="161">
        <f t="shared" si="5"/>
        <v>-3053727.148733042</v>
      </c>
      <c r="J41" s="161">
        <f t="shared" si="5"/>
        <v>-3915774.810703293</v>
      </c>
      <c r="K41" s="161">
        <f t="shared" si="5"/>
        <v>-4777822.472673543</v>
      </c>
      <c r="L41" s="161">
        <f t="shared" si="5"/>
        <v>-5639870.134643793</v>
      </c>
      <c r="M41" s="161">
        <f t="shared" si="5"/>
        <v>-6501917.7966140425</v>
      </c>
      <c r="N41" s="161">
        <f t="shared" si="5"/>
        <v>-7363965.458584292</v>
      </c>
      <c r="O41" s="161">
        <f t="shared" si="5"/>
        <v>-8226013.120554542</v>
      </c>
      <c r="P41" s="161">
        <f t="shared" si="5"/>
        <v>-9088060.78252479</v>
      </c>
      <c r="Q41" s="161">
        <f t="shared" si="5"/>
        <v>-9950108.444495043</v>
      </c>
      <c r="R41" s="161">
        <f t="shared" si="5"/>
        <v>-10812156.106465291</v>
      </c>
      <c r="S41" s="161">
        <f t="shared" si="5"/>
        <v>-11674203.768435542</v>
      </c>
      <c r="T41" s="161">
        <f t="shared" si="5"/>
        <v>-12536251.430405792</v>
      </c>
      <c r="U41" s="161">
        <f>SUBTOTAL(9,U38:U40)</f>
        <v>-7363965.458584292</v>
      </c>
    </row>
    <row r="42" s="152" customFormat="1" ht="15">
      <c r="U42" s="70" t="s">
        <v>329</v>
      </c>
    </row>
    <row r="43" s="152" customFormat="1" ht="15"/>
  </sheetData>
  <sheetProtection/>
  <printOptions/>
  <pageMargins left="0.75" right="0.75" top="0.5" bottom="0.75" header="0.5" footer="0.5"/>
  <pageSetup horizontalDpi="600" verticalDpi="600" orientation="landscape" paperSize="17" r:id="rId1"/>
  <headerFooter alignWithMargins="0">
    <oddFooter>&amp;CPage 3.&amp;P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99"/>
  </sheetPr>
  <dimension ref="A1:B24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31.8515625" style="0" customWidth="1"/>
    <col min="2" max="2" width="12.8515625" style="0" bestFit="1" customWidth="1"/>
  </cols>
  <sheetData>
    <row r="1" ht="12.75">
      <c r="A1" s="1" t="s">
        <v>13</v>
      </c>
    </row>
    <row r="2" ht="12.75">
      <c r="A2" s="1" t="s">
        <v>220</v>
      </c>
    </row>
    <row r="3" ht="12.75">
      <c r="A3" s="180" t="s">
        <v>460</v>
      </c>
    </row>
    <row r="9" ht="12.75">
      <c r="A9" s="82" t="s">
        <v>315</v>
      </c>
    </row>
    <row r="10" spans="1:2" ht="12.75">
      <c r="A10" s="60" t="s">
        <v>438</v>
      </c>
      <c r="B10" s="44">
        <v>68000</v>
      </c>
    </row>
    <row r="11" spans="1:2" ht="12.75">
      <c r="A11" s="60" t="s">
        <v>439</v>
      </c>
      <c r="B11" s="66">
        <v>2000</v>
      </c>
    </row>
    <row r="12" spans="1:2" ht="12.75">
      <c r="A12" s="60" t="s">
        <v>440</v>
      </c>
      <c r="B12" s="66">
        <v>85000</v>
      </c>
    </row>
    <row r="13" spans="1:2" ht="12.75">
      <c r="A13" s="60" t="s">
        <v>441</v>
      </c>
      <c r="B13" s="66">
        <v>2067111</v>
      </c>
    </row>
    <row r="14" spans="1:2" ht="12.75">
      <c r="A14" s="60" t="s">
        <v>442</v>
      </c>
      <c r="B14" s="67">
        <v>213000</v>
      </c>
    </row>
    <row r="15" ht="12.75">
      <c r="B15" s="69">
        <f>SUM(B10:B14)</f>
        <v>2435111</v>
      </c>
    </row>
    <row r="16" ht="12.75">
      <c r="B16" s="68" t="s">
        <v>329</v>
      </c>
    </row>
    <row r="18" spans="1:2" ht="12.75">
      <c r="A18" s="227" t="s">
        <v>443</v>
      </c>
      <c r="B18" s="65">
        <v>30000</v>
      </c>
    </row>
    <row r="19" spans="1:2" ht="12.75">
      <c r="A19" s="227"/>
      <c r="B19" s="68" t="s">
        <v>329</v>
      </c>
    </row>
    <row r="20" ht="12.75">
      <c r="A20" s="227"/>
    </row>
    <row r="21" ht="12.75">
      <c r="A21" s="227" t="s">
        <v>445</v>
      </c>
    </row>
    <row r="22" ht="12.75">
      <c r="A22" s="227" t="s">
        <v>444</v>
      </c>
    </row>
    <row r="24" ht="20.25">
      <c r="A24" s="228"/>
    </row>
  </sheetData>
  <sheetProtection/>
  <printOptions/>
  <pageMargins left="0.7" right="0.7" top="0.75" bottom="0.75" header="0.3" footer="0.3"/>
  <pageSetup horizontalDpi="600" verticalDpi="600" orientation="portrait" r:id="rId1"/>
  <headerFooter alignWithMargins="0">
    <oddHeader>&amp;RPage 3.3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p12636</dc:creator>
  <cp:keywords/>
  <dc:description/>
  <cp:lastModifiedBy>State Employee</cp:lastModifiedBy>
  <cp:lastPrinted>2010-07-26T22:37:34Z</cp:lastPrinted>
  <dcterms:created xsi:type="dcterms:W3CDTF">2009-12-02T19:55:39Z</dcterms:created>
  <dcterms:modified xsi:type="dcterms:W3CDTF">2010-08-05T21:37:30Z</dcterms:modified>
  <cp:category/>
  <cp:version/>
  <cp:contentType/>
  <cp:contentStatus/>
</cp:coreProperties>
</file>