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60" windowHeight="6045"/>
  </bookViews>
  <sheets>
    <sheet name="Exhibit C - Expenditures" sheetId="11" r:id="rId1"/>
    <sheet name="Exhibit E - Revenues &amp; Balance" sheetId="1" r:id="rId2"/>
    <sheet name="Exhibit F -Rate Spread" sheetId="12" r:id="rId3"/>
    <sheet name="Sheet2" sheetId="2" r:id="rId4"/>
    <sheet name="Sheet3" sheetId="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E" localSheetId="2">#REF!</definedName>
    <definedName name="\E">#REF!</definedName>
    <definedName name="__MEN3" localSheetId="2">[1]Jan!#REF!</definedName>
    <definedName name="__MEN3">[1]Jan!#REF!</definedName>
    <definedName name="__TOP1" localSheetId="2">[1]Jan!#REF!</definedName>
    <definedName name="__TOP1">[1]Jan!#REF!</definedName>
    <definedName name="_BLOCK" localSheetId="2">#REF!</definedName>
    <definedName name="_BLOCK">#REF!</definedName>
    <definedName name="_BLOCKT" localSheetId="2">#REF!</definedName>
    <definedName name="_BLOCKT">#REF!</definedName>
    <definedName name="_COMP" localSheetId="2">#REF!</definedName>
    <definedName name="_COMP">#REF!</definedName>
    <definedName name="_COMPR" localSheetId="2">#REF!</definedName>
    <definedName name="_COMPR">#REF!</definedName>
    <definedName name="_COMPT" localSheetId="2">#REF!</definedName>
    <definedName name="_COMPT">#REF!</definedName>
    <definedName name="_Fill" localSheetId="2" hidden="1">#REF!</definedName>
    <definedName name="_Fill" hidden="1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rder1" localSheetId="2" hidden="1">255</definedName>
    <definedName name="_Order1" hidden="1">255</definedName>
    <definedName name="_Order2" localSheetId="2" hidden="1">255</definedName>
    <definedName name="_Order2" hidden="1">255</definedName>
    <definedName name="_Regression_Out" localSheetId="2" hidden="1">#REF!</definedName>
    <definedName name="_Regression_Out" hidden="1">#REF!</definedName>
    <definedName name="_Regression_X" localSheetId="2" hidden="1">#REF!</definedName>
    <definedName name="_Regression_X" hidden="1">#REF!</definedName>
    <definedName name="_Regression_Y" localSheetId="2" hidden="1">#REF!</definedName>
    <definedName name="_Regression_Y" hidden="1">#REF!</definedName>
    <definedName name="_Sort" localSheetId="2" hidden="1">#REF!</definedName>
    <definedName name="_Sort" hidden="1">#REF!</definedName>
    <definedName name="_SPL" localSheetId="2">#REF!</definedName>
    <definedName name="_SPL">#REF!</definedName>
    <definedName name="a" localSheetId="2" hidden="1">#REF!</definedName>
    <definedName name="a" hidden="1">#REF!</definedName>
    <definedName name="ABSTRACT" localSheetId="2">#REF!</definedName>
    <definedName name="ABSTRACT">#REF!</definedName>
    <definedName name="AcctTable">[2]Variables!$AK$42:$AK$396</definedName>
    <definedName name="Adjs2avg">[3]Inputs!$L$255:'[3]Inputs'!$T$505</definedName>
    <definedName name="AvgFactors">[2]Factors!$B$3:$P$99</definedName>
    <definedName name="Capacity" localSheetId="2">#REF!</definedName>
    <definedName name="Capacity">#REF!</definedName>
    <definedName name="_xlnm.Database" localSheetId="2">[4]Invoice!#REF!</definedName>
    <definedName name="_xlnm.Database">[4]Invoice!#REF!</definedName>
    <definedName name="Demand">[5]Inputs!$D$8</definedName>
    <definedName name="Engy">[5]Inputs!$D$9</definedName>
    <definedName name="FactorType">[2]Variables!$AK$2:$AL$12</definedName>
    <definedName name="FIX" localSheetId="2">#REF!</definedName>
    <definedName name="FIX">#REF!</definedName>
    <definedName name="FranchiseTax">[3]Variables!$D$26</definedName>
    <definedName name="IRRIGATION" localSheetId="2">#REF!</definedName>
    <definedName name="IRRIGATION">#REF!</definedName>
    <definedName name="Jurisdiction">[2]Variables!$AK$15</definedName>
    <definedName name="JurisNumber">[2]Variables!$AL$15</definedName>
    <definedName name="limcount" hidden="1">1</definedName>
    <definedName name="Method">[5]Inputs!$C$6</definedName>
    <definedName name="MTR_YR3">[6]Variables!$E$14</definedName>
    <definedName name="NetToGross">[3]Variables!$D$23</definedName>
    <definedName name="option">'[7]Dist Misc'!$F$120</definedName>
    <definedName name="P" localSheetId="2">#REF!</definedName>
    <definedName name="P">#REF!</definedName>
    <definedName name="PeakMethod">[5]Inputs!$T$5</definedName>
    <definedName name="PLUG" localSheetId="2">#REF!</definedName>
    <definedName name="PLUG">#REF!</definedName>
    <definedName name="_xlnm.Print_Area" localSheetId="0">'Exhibit C - Expenditures'!$A$1:$U$39</definedName>
    <definedName name="_xlnm.Print_Area" localSheetId="2">'Exhibit F -Rate Spread'!$A$1:$S$54</definedName>
    <definedName name="_xlnm.Print_Area">#REF!</definedName>
    <definedName name="ResourceSupplier">[3]Variables!$D$28</definedName>
    <definedName name="TargetROR" localSheetId="2">[8]Inputs!$L$6</definedName>
    <definedName name="TargetROR">[9]Inputs!$L$6</definedName>
    <definedName name="UncollectibleAccounts">[3]Variables!$D$25</definedName>
    <definedName name="UtGrossReceipts">[3]Variables!$D$29</definedName>
    <definedName name="ValidAccount">[2]Variables!$AK$43:$AK$369</definedName>
    <definedName name="WaRevenueTax">[3]Variables!$D$27</definedName>
    <definedName name="WinterPeak">'[10]Load Data'!$D$9:$H$12,'[10]Load Data'!$D$20:$H$22</definedName>
    <definedName name="WN" localSheetId="2">#REF!</definedName>
    <definedName name="WN">#REF!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EFactors">[2]Factors!$S$3:$AG$99</definedName>
  </definedNames>
  <calcPr calcId="125725"/>
</workbook>
</file>

<file path=xl/calcChain.xml><?xml version="1.0" encoding="utf-8"?>
<calcChain xmlns="http://schemas.openxmlformats.org/spreadsheetml/2006/main">
  <c r="O54" i="12"/>
  <c r="Q54" s="1"/>
  <c r="E12"/>
  <c r="G12" s="1"/>
  <c r="M15"/>
  <c r="M16"/>
  <c r="M17"/>
  <c r="M18"/>
  <c r="M20"/>
  <c r="M21"/>
  <c r="M22"/>
  <c r="M23"/>
  <c r="M24"/>
  <c r="M25"/>
  <c r="M26"/>
  <c r="M27"/>
  <c r="M28"/>
  <c r="M29"/>
  <c r="M30"/>
  <c r="M31"/>
  <c r="M32"/>
  <c r="M33"/>
  <c r="G35"/>
  <c r="M36"/>
  <c r="M37"/>
  <c r="M38"/>
  <c r="M39"/>
  <c r="M40"/>
  <c r="M41"/>
  <c r="M43"/>
  <c r="M44"/>
  <c r="M45"/>
  <c r="M46"/>
  <c r="M47"/>
  <c r="M48"/>
  <c r="M49"/>
  <c r="M50"/>
  <c r="M51"/>
  <c r="M52"/>
  <c r="M53"/>
  <c r="M54"/>
  <c r="O32" l="1"/>
  <c r="S32" s="1"/>
  <c r="O26"/>
  <c r="Q26" s="1"/>
  <c r="O24"/>
  <c r="S26"/>
  <c r="Q24"/>
  <c r="O28"/>
  <c r="O29"/>
  <c r="Q29" s="1"/>
  <c r="O44"/>
  <c r="O45"/>
  <c r="O46"/>
  <c r="O47"/>
  <c r="O15"/>
  <c r="O16"/>
  <c r="Q16" s="1"/>
  <c r="O20"/>
  <c r="O21"/>
  <c r="O22"/>
  <c r="Q22" s="1"/>
  <c r="O43"/>
  <c r="I12"/>
  <c r="O38"/>
  <c r="Q38" s="1"/>
  <c r="O33"/>
  <c r="Q33" s="1"/>
  <c r="O31"/>
  <c r="O25"/>
  <c r="K12"/>
  <c r="M12" s="1"/>
  <c r="D10" i="11"/>
  <c r="H10"/>
  <c r="L10"/>
  <c r="M10" s="1"/>
  <c r="R10" s="1"/>
  <c r="U10" s="1"/>
  <c r="T10"/>
  <c r="D11"/>
  <c r="H11"/>
  <c r="L11"/>
  <c r="N11"/>
  <c r="N12" s="1"/>
  <c r="N13" s="1"/>
  <c r="T11"/>
  <c r="D12"/>
  <c r="H12"/>
  <c r="L12"/>
  <c r="O12" s="1"/>
  <c r="T12"/>
  <c r="D13"/>
  <c r="H13"/>
  <c r="L13"/>
  <c r="P13" s="1"/>
  <c r="P14" s="1"/>
  <c r="P15" s="1"/>
  <c r="T13"/>
  <c r="D14"/>
  <c r="H14"/>
  <c r="L14"/>
  <c r="Q14" s="1"/>
  <c r="T14"/>
  <c r="B20"/>
  <c r="F20"/>
  <c r="J20"/>
  <c r="Q32" i="12" l="1"/>
  <c r="O12"/>
  <c r="Q12" s="1"/>
  <c r="S12" s="1"/>
  <c r="S25"/>
  <c r="O27"/>
  <c r="Q27" s="1"/>
  <c r="Q25"/>
  <c r="Q20"/>
  <c r="O40"/>
  <c r="S20"/>
  <c r="S22" s="1"/>
  <c r="O23"/>
  <c r="Q23" s="1"/>
  <c r="Q15"/>
  <c r="O18"/>
  <c r="Q46"/>
  <c r="S46"/>
  <c r="Q44"/>
  <c r="S44"/>
  <c r="Q28"/>
  <c r="O30"/>
  <c r="M13"/>
  <c r="S24"/>
  <c r="S34" s="1"/>
  <c r="S31"/>
  <c r="Q31"/>
  <c r="Q43"/>
  <c r="S43"/>
  <c r="O48"/>
  <c r="Q21"/>
  <c r="S21"/>
  <c r="Q47"/>
  <c r="S47"/>
  <c r="Q45"/>
  <c r="S45"/>
  <c r="H20" i="11"/>
  <c r="D20"/>
  <c r="L20"/>
  <c r="T20"/>
  <c r="P16"/>
  <c r="P17" s="1"/>
  <c r="N14"/>
  <c r="N15" s="1"/>
  <c r="Q15"/>
  <c r="Q16" s="1"/>
  <c r="Q17" s="1"/>
  <c r="Q18" s="1"/>
  <c r="R18" s="1"/>
  <c r="U18" s="1"/>
  <c r="L7" i="1" s="1"/>
  <c r="O13" i="11"/>
  <c r="O14" s="1"/>
  <c r="O15" s="1"/>
  <c r="O16" s="1"/>
  <c r="M11"/>
  <c r="D7" i="1"/>
  <c r="C10"/>
  <c r="C9"/>
  <c r="Q48" i="12" l="1"/>
  <c r="O52"/>
  <c r="Q30"/>
  <c r="S28"/>
  <c r="S29" s="1"/>
  <c r="S15"/>
  <c r="S16" s="1"/>
  <c r="Q18"/>
  <c r="Q40"/>
  <c r="O41"/>
  <c r="Q41" s="1"/>
  <c r="S35"/>
  <c r="S38"/>
  <c r="Q13"/>
  <c r="S13"/>
  <c r="R16" i="11"/>
  <c r="U16" s="1"/>
  <c r="J7" i="1" s="1"/>
  <c r="O20" i="11"/>
  <c r="Q20"/>
  <c r="N20"/>
  <c r="P20"/>
  <c r="R11"/>
  <c r="M12"/>
  <c r="R15"/>
  <c r="U15" s="1"/>
  <c r="I7" i="1" s="1"/>
  <c r="R17" i="11"/>
  <c r="U17" s="1"/>
  <c r="K7" i="1" s="1"/>
  <c r="Q52" i="12" l="1"/>
  <c r="O53"/>
  <c r="Q53" s="1"/>
  <c r="R12" i="11"/>
  <c r="U12" s="1"/>
  <c r="F7" i="1" s="1"/>
  <c r="M13" i="11"/>
  <c r="U11"/>
  <c r="E7" i="1" s="1"/>
  <c r="R13" i="11" l="1"/>
  <c r="M14"/>
  <c r="R14" s="1"/>
  <c r="U14" s="1"/>
  <c r="H7" i="1" s="1"/>
  <c r="U13" i="11" l="1"/>
  <c r="R20"/>
  <c r="M20"/>
  <c r="C11" i="1"/>
  <c r="U20" i="11" l="1"/>
  <c r="G7" i="1"/>
  <c r="C12"/>
  <c r="D6" s="1"/>
  <c r="M7" l="1"/>
  <c r="L8" l="1"/>
  <c r="L9" s="1"/>
  <c r="K8"/>
  <c r="K9" s="1"/>
  <c r="J8"/>
  <c r="J9" s="1"/>
  <c r="I8"/>
  <c r="I9" s="1"/>
  <c r="D8"/>
  <c r="E8"/>
  <c r="E9" s="1"/>
  <c r="F8"/>
  <c r="F9" s="1"/>
  <c r="H8"/>
  <c r="H9" s="1"/>
  <c r="G8"/>
  <c r="G9" s="1"/>
  <c r="M8" l="1"/>
  <c r="D9"/>
  <c r="M9" l="1"/>
  <c r="D11"/>
  <c r="I10" l="1"/>
  <c r="J10"/>
  <c r="K10"/>
  <c r="L10"/>
  <c r="D12"/>
  <c r="E6" s="1"/>
  <c r="E11" s="1"/>
  <c r="E12" s="1"/>
  <c r="F6" s="1"/>
  <c r="F11" s="1"/>
  <c r="F12" s="1"/>
  <c r="G6" s="1"/>
  <c r="G11" s="1"/>
  <c r="G12" s="1"/>
  <c r="H6" s="1"/>
  <c r="M10" l="1"/>
  <c r="H11"/>
  <c r="H12" s="1"/>
  <c r="I6" s="1"/>
  <c r="I11" l="1"/>
  <c r="I12" s="1"/>
  <c r="J6" s="1"/>
  <c r="J11" l="1"/>
  <c r="J12" l="1"/>
  <c r="K6" s="1"/>
  <c r="K11" l="1"/>
  <c r="K12" l="1"/>
  <c r="L6" s="1"/>
  <c r="L11" s="1"/>
  <c r="M11" s="1"/>
  <c r="C15" l="1"/>
  <c r="C14"/>
  <c r="M12"/>
  <c r="L12"/>
</calcChain>
</file>

<file path=xl/sharedStrings.xml><?xml version="1.0" encoding="utf-8"?>
<sst xmlns="http://schemas.openxmlformats.org/spreadsheetml/2006/main" count="150" uniqueCount="105">
  <si>
    <t>Program Year</t>
  </si>
  <si>
    <t>Total</t>
  </si>
  <si>
    <t>End of Year Balance</t>
  </si>
  <si>
    <t>Beginning Balance</t>
  </si>
  <si>
    <t xml:space="preserve">  Incentive Payments</t>
  </si>
  <si>
    <t xml:space="preserve">  Administrative Costs</t>
  </si>
  <si>
    <t xml:space="preserve">  Revenue Collections</t>
  </si>
  <si>
    <t xml:space="preserve">  Carrying Charge @ 6.0%</t>
  </si>
  <si>
    <t>NPV of Carrying Charges @6.0%</t>
  </si>
  <si>
    <t>Total Carrying Charge</t>
  </si>
  <si>
    <t>Iteration Carrying Charge</t>
  </si>
  <si>
    <t>Rocky Mountain Power</t>
  </si>
  <si>
    <t>Total Sales to Ultimate Customers 
(excluding Contracts 1, 2, AGA)</t>
  </si>
  <si>
    <t>Total Sales to Ultimate Customers</t>
  </si>
  <si>
    <t>Total Public Street Lighting</t>
  </si>
  <si>
    <t>--</t>
  </si>
  <si>
    <t>AGA/Revenue Credit</t>
  </si>
  <si>
    <t>Street Lighting-Contract (77)</t>
  </si>
  <si>
    <t>Security Area Lighting-Contracts (PTL)</t>
  </si>
  <si>
    <t>Subtotal Public Street Lighting</t>
  </si>
  <si>
    <t>Traffic Signal Systems</t>
  </si>
  <si>
    <t>Metered Outdoor Lighting</t>
  </si>
  <si>
    <t>Street Lighting - Customer Owned</t>
  </si>
  <si>
    <t>Street Lighting - Company Owned</t>
  </si>
  <si>
    <t>Security Area Lighting</t>
  </si>
  <si>
    <t>Public Street Lighting</t>
  </si>
  <si>
    <t>Total Commercial &amp; Industrial 
(excluding Contracts 1, 2, AGA)</t>
  </si>
  <si>
    <t>Total Commercial &amp; Industrial &amp; OSPA</t>
  </si>
  <si>
    <t>Contract 3</t>
  </si>
  <si>
    <r>
      <t>Contract 2</t>
    </r>
    <r>
      <rPr>
        <vertAlign val="superscript"/>
        <sz val="12"/>
        <color theme="1"/>
        <rFont val="Times New Roman"/>
        <family val="1"/>
      </rPr>
      <t xml:space="preserve"> 2</t>
    </r>
  </si>
  <si>
    <r>
      <t xml:space="preserve">Contract 1 </t>
    </r>
    <r>
      <rPr>
        <vertAlign val="superscript"/>
        <sz val="12"/>
        <color theme="1"/>
        <rFont val="Times New Roman"/>
        <family val="1"/>
      </rPr>
      <t>1</t>
    </r>
  </si>
  <si>
    <t>Back-up, Maintenance, &amp; Supplementary</t>
  </si>
  <si>
    <t>General Service-Distribution-Small</t>
  </si>
  <si>
    <t>Electric Furnace</t>
  </si>
  <si>
    <t>Subtotal Irrigation</t>
  </si>
  <si>
    <t>10TOD</t>
  </si>
  <si>
    <t>Irrigation-Time of Day</t>
  </si>
  <si>
    <t>Irrigation</t>
  </si>
  <si>
    <t>Subtotal Schedule 9</t>
  </si>
  <si>
    <t>9A</t>
  </si>
  <si>
    <t>General Service-High Voltage-Energy TOD</t>
  </si>
  <si>
    <t>General Service-High Voltage</t>
  </si>
  <si>
    <t>General Service-Distribution &gt; 1,000 kW</t>
  </si>
  <si>
    <t>Subtotal Schedule 6</t>
  </si>
  <si>
    <t>6B</t>
  </si>
  <si>
    <t>General Service-Distribution-Demand TOD</t>
  </si>
  <si>
    <t>6A</t>
  </si>
  <si>
    <t>General Service-Distribution-Energy TOD</t>
  </si>
  <si>
    <t>General Service-Distribution</t>
  </si>
  <si>
    <t>Commercial &amp; Industrial &amp; OSPA</t>
  </si>
  <si>
    <t>Total Residential</t>
  </si>
  <si>
    <t>Residential-Optional TOD</t>
  </si>
  <si>
    <t>1,3</t>
  </si>
  <si>
    <t>Residential</t>
  </si>
  <si>
    <t>Cents / kWh</t>
  </si>
  <si>
    <t>%</t>
  </si>
  <si>
    <t>($000)</t>
  </si>
  <si>
    <t>Forecast</t>
  </si>
  <si>
    <t>No.</t>
  </si>
  <si>
    <t>Description</t>
  </si>
  <si>
    <t>Surcharge</t>
  </si>
  <si>
    <t>MWh</t>
  </si>
  <si>
    <t>Revenues</t>
  </si>
  <si>
    <t>Sch</t>
  </si>
  <si>
    <t>Line</t>
  </si>
  <si>
    <t>Solar Incentive</t>
  </si>
  <si>
    <t>Step 1</t>
  </si>
  <si>
    <t>Step 1 Increase</t>
  </si>
  <si>
    <t>Present</t>
  </si>
  <si>
    <t>Forecast Test Period 12 Months Ending May 2013</t>
  </si>
  <si>
    <t>Base Period 12 Month Ending June 2011</t>
  </si>
  <si>
    <t>On Revenues from Electric Sales to Ultimate Consumers in Utah</t>
  </si>
  <si>
    <t>Rocky Mountain Power Solar Incentive Program</t>
  </si>
  <si>
    <t>Cost</t>
  </si>
  <si>
    <t>kW</t>
  </si>
  <si>
    <t>Year</t>
  </si>
  <si>
    <t>Annual</t>
  </si>
  <si>
    <t>Program Total</t>
  </si>
  <si>
    <t>Yr Payout</t>
  </si>
  <si>
    <t>Large Non-Residential ( from 25.1 kW up to 1 MW)</t>
  </si>
  <si>
    <t>Small Non-Residential (up to 25 kW)</t>
  </si>
  <si>
    <t>Stage 1</t>
  </si>
  <si>
    <t>Staged Payments</t>
  </si>
  <si>
    <t>Projected Annual Expenditures, Surcharge Revenues, and Carrying Charge</t>
  </si>
  <si>
    <t>Incentive</t>
  </si>
  <si>
    <t>Single Incentive Payment</t>
  </si>
  <si>
    <t xml:space="preserve">Program </t>
  </si>
  <si>
    <t>Capacity</t>
  </si>
  <si>
    <t>Maximum</t>
  </si>
  <si>
    <t>Watt</t>
  </si>
  <si>
    <t>Per</t>
  </si>
  <si>
    <t>2013 Projects</t>
  </si>
  <si>
    <t>2014 Projects</t>
  </si>
  <si>
    <t>2015 Projects</t>
  </si>
  <si>
    <t>2016 Projects</t>
  </si>
  <si>
    <t>2017 Projects</t>
  </si>
  <si>
    <t>Incentive Annual Installment Payments</t>
  </si>
  <si>
    <t>Discount Rate</t>
  </si>
  <si>
    <t>NPV</t>
  </si>
  <si>
    <t xml:space="preserve">    Sup Sch 9</t>
  </si>
  <si>
    <t xml:space="preserve">    Sup Sch 8</t>
  </si>
  <si>
    <t>Estimated Effect of Proposed Solar Incentive Surcharge</t>
  </si>
  <si>
    <t>Program</t>
  </si>
  <si>
    <t>Total Program Costs</t>
  </si>
  <si>
    <t>Residential Program (up to 4 kW)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</si>
</sst>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General_)"/>
    <numFmt numFmtId="166" formatCode="&quot;$&quot;#,##0"/>
    <numFmt numFmtId="167" formatCode="_(* #,##0.0000_);_(* \(#,##0.0000\);_(* &quot;-&quot;??_);_(@_)"/>
    <numFmt numFmtId="168" formatCode="_(* #,##0_);_(* \(#,##0\);_(* &quot;-&quot;??_);_(@_)"/>
    <numFmt numFmtId="169" formatCode="_(&quot;$&quot;* #,##0_);_(&quot;$&quot;* \(#,##0\);_(&quot;$&quot;* &quot;-&quot;??_);_(@_)"/>
    <numFmt numFmtId="170" formatCode="&quot;$&quot;#,##0.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.5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sz val="12"/>
      <color indexed="12"/>
      <name val="Times New Roman"/>
      <family val="1"/>
    </font>
    <font>
      <sz val="12"/>
      <name val="Arial"/>
      <family val="2"/>
    </font>
    <font>
      <sz val="12"/>
      <name val="Arial MT"/>
    </font>
    <font>
      <sz val="10"/>
      <name val="Swiss"/>
      <family val="2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0"/>
      <name val="LinePrinte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FF"/>
      <name val="Times New Roman"/>
      <family val="1"/>
    </font>
    <font>
      <i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1">
    <xf numFmtId="0" fontId="0" fillId="0" borderId="0"/>
    <xf numFmtId="9" fontId="1" fillId="0" borderId="0" applyFont="0" applyFill="0" applyBorder="0" applyAlignment="0" applyProtection="0"/>
    <xf numFmtId="165" fontId="2" fillId="0" borderId="0"/>
    <xf numFmtId="44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left"/>
    </xf>
    <xf numFmtId="168" fontId="14" fillId="0" borderId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41" fontId="17" fillId="0" borderId="0" applyFont="0" applyFill="0" applyBorder="0" applyAlignment="0" applyProtection="0"/>
    <xf numFmtId="170" fontId="18" fillId="0" borderId="0"/>
    <xf numFmtId="0" fontId="19" fillId="0" borderId="0"/>
    <xf numFmtId="0" fontId="1" fillId="0" borderId="0"/>
    <xf numFmtId="0" fontId="2" fillId="0" borderId="0"/>
    <xf numFmtId="0" fontId="4" fillId="0" borderId="0"/>
    <xf numFmtId="0" fontId="1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1" fillId="4" borderId="0" applyNumberFormat="0" applyProtection="0">
      <alignment horizontal="left" vertical="center" indent="1"/>
    </xf>
    <xf numFmtId="4" fontId="22" fillId="0" borderId="0" applyNumberFormat="0" applyProtection="0">
      <alignment horizontal="left" vertical="center"/>
    </xf>
    <xf numFmtId="165" fontId="23" fillId="0" borderId="0">
      <alignment horizontal="left"/>
    </xf>
    <xf numFmtId="44" fontId="1" fillId="0" borderId="0" applyFont="0" applyFill="0" applyBorder="0" applyAlignment="0" applyProtection="0"/>
  </cellStyleXfs>
  <cellXfs count="155">
    <xf numFmtId="0" fontId="0" fillId="0" borderId="0" xfId="0"/>
    <xf numFmtId="5" fontId="0" fillId="0" borderId="0" xfId="0" applyNumberFormat="1"/>
    <xf numFmtId="164" fontId="0" fillId="0" borderId="0" xfId="1" applyNumberFormat="1" applyFont="1"/>
    <xf numFmtId="5" fontId="0" fillId="2" borderId="0" xfId="0" applyNumberFormat="1" applyFill="1"/>
    <xf numFmtId="5" fontId="0" fillId="3" borderId="0" xfId="0" applyNumberFormat="1" applyFill="1"/>
    <xf numFmtId="165" fontId="3" fillId="0" borderId="0" xfId="2" applyNumberFormat="1" applyFont="1"/>
    <xf numFmtId="165" fontId="3" fillId="0" borderId="0" xfId="2" applyNumberFormat="1" applyFont="1" applyFill="1"/>
    <xf numFmtId="166" fontId="3" fillId="0" borderId="0" xfId="3" applyNumberFormat="1" applyFont="1" applyFill="1"/>
    <xf numFmtId="165" fontId="5" fillId="0" borderId="0" xfId="2" applyNumberFormat="1" applyFont="1"/>
    <xf numFmtId="165" fontId="6" fillId="0" borderId="0" xfId="2" applyNumberFormat="1" applyFont="1"/>
    <xf numFmtId="165" fontId="3" fillId="0" borderId="0" xfId="2" applyNumberFormat="1" applyFont="1" applyAlignment="1" applyProtection="1">
      <protection locked="0"/>
    </xf>
    <xf numFmtId="165" fontId="3" fillId="0" borderId="0" xfId="2" applyNumberFormat="1" applyFont="1" applyFill="1" applyAlignment="1" applyProtection="1">
      <protection locked="0"/>
    </xf>
    <xf numFmtId="166" fontId="3" fillId="0" borderId="0" xfId="3" applyNumberFormat="1" applyFont="1" applyFill="1" applyAlignment="1" applyProtection="1">
      <protection locked="0"/>
    </xf>
    <xf numFmtId="165" fontId="5" fillId="0" borderId="0" xfId="2" applyNumberFormat="1" applyFont="1" applyAlignment="1" applyProtection="1">
      <protection locked="0"/>
    </xf>
    <xf numFmtId="165" fontId="5" fillId="0" borderId="0" xfId="2" applyNumberFormat="1" applyFont="1" applyFill="1"/>
    <xf numFmtId="166" fontId="5" fillId="0" borderId="0" xfId="3" applyNumberFormat="1" applyFont="1" applyFill="1"/>
    <xf numFmtId="165" fontId="7" fillId="0" borderId="0" xfId="2" applyNumberFormat="1" applyFont="1" applyFill="1"/>
    <xf numFmtId="166" fontId="7" fillId="0" borderId="0" xfId="3" applyNumberFormat="1" applyFont="1" applyFill="1"/>
    <xf numFmtId="165" fontId="7" fillId="0" borderId="0" xfId="2" applyNumberFormat="1" applyFont="1" applyBorder="1"/>
    <xf numFmtId="165" fontId="8" fillId="0" borderId="0" xfId="2" applyNumberFormat="1" applyFont="1"/>
    <xf numFmtId="165" fontId="7" fillId="0" borderId="0" xfId="2" applyNumberFormat="1" applyFont="1"/>
    <xf numFmtId="167" fontId="2" fillId="0" borderId="1" xfId="5" applyNumberFormat="1" applyFont="1" applyFill="1" applyBorder="1"/>
    <xf numFmtId="5" fontId="3" fillId="0" borderId="2" xfId="3" applyNumberFormat="1" applyFont="1" applyFill="1" applyBorder="1"/>
    <xf numFmtId="168" fontId="2" fillId="0" borderId="1" xfId="5" applyNumberFormat="1" applyFont="1" applyFill="1" applyBorder="1"/>
    <xf numFmtId="166" fontId="3" fillId="0" borderId="1" xfId="3" applyNumberFormat="1" applyFont="1" applyFill="1" applyBorder="1"/>
    <xf numFmtId="165" fontId="3" fillId="0" borderId="0" xfId="2" applyNumberFormat="1" applyFont="1" applyBorder="1"/>
    <xf numFmtId="165" fontId="10" fillId="0" borderId="0" xfId="2" applyNumberFormat="1" applyFont="1" applyAlignment="1">
      <alignment horizontal="left" wrapText="1"/>
    </xf>
    <xf numFmtId="5" fontId="3" fillId="0" borderId="3" xfId="3" applyNumberFormat="1" applyFont="1" applyFill="1" applyBorder="1"/>
    <xf numFmtId="165" fontId="10" fillId="0" borderId="0" xfId="2" applyNumberFormat="1" applyFont="1"/>
    <xf numFmtId="167" fontId="2" fillId="0" borderId="4" xfId="5" applyNumberFormat="1" applyFont="1" applyFill="1" applyBorder="1"/>
    <xf numFmtId="5" fontId="3" fillId="0" borderId="5" xfId="3" applyNumberFormat="1" applyFont="1" applyFill="1" applyBorder="1"/>
    <xf numFmtId="168" fontId="2" fillId="0" borderId="4" xfId="5" applyNumberFormat="1" applyFont="1" applyFill="1" applyBorder="1"/>
    <xf numFmtId="166" fontId="3" fillId="0" borderId="4" xfId="3" applyNumberFormat="1" applyFont="1" applyFill="1" applyBorder="1"/>
    <xf numFmtId="5" fontId="3" fillId="0" borderId="0" xfId="3" applyNumberFormat="1" applyFont="1" applyFill="1"/>
    <xf numFmtId="167" fontId="2" fillId="0" borderId="4" xfId="5" applyNumberFormat="1" applyFont="1" applyFill="1" applyBorder="1" applyAlignment="1">
      <alignment horizontal="right"/>
    </xf>
    <xf numFmtId="168" fontId="2" fillId="0" borderId="0" xfId="5" applyNumberFormat="1" applyFont="1" applyFill="1" applyBorder="1" applyAlignment="1">
      <alignment horizontal="right"/>
    </xf>
    <xf numFmtId="168" fontId="2" fillId="0" borderId="4" xfId="5" applyNumberFormat="1" applyFont="1" applyFill="1" applyBorder="1" applyAlignment="1">
      <alignment horizontal="right"/>
    </xf>
    <xf numFmtId="169" fontId="3" fillId="0" borderId="0" xfId="2" applyNumberFormat="1" applyFont="1" applyFill="1"/>
    <xf numFmtId="165" fontId="3" fillId="0" borderId="0" xfId="2" applyNumberFormat="1" applyFont="1" applyBorder="1" applyAlignment="1">
      <alignment horizontal="right"/>
    </xf>
    <xf numFmtId="167" fontId="2" fillId="0" borderId="0" xfId="5" applyNumberFormat="1" applyFont="1" applyFill="1"/>
    <xf numFmtId="168" fontId="2" fillId="0" borderId="0" xfId="5" applyNumberFormat="1" applyFont="1" applyFill="1"/>
    <xf numFmtId="165" fontId="3" fillId="0" borderId="0" xfId="2" applyNumberFormat="1" applyFont="1" applyAlignment="1">
      <alignment horizontal="right"/>
    </xf>
    <xf numFmtId="169" fontId="3" fillId="0" borderId="0" xfId="3" applyNumberFormat="1" applyFont="1" applyFill="1"/>
    <xf numFmtId="5" fontId="3" fillId="0" borderId="4" xfId="3" applyNumberFormat="1" applyFont="1" applyFill="1" applyBorder="1"/>
    <xf numFmtId="167" fontId="2" fillId="0" borderId="0" xfId="5" applyNumberFormat="1" applyFont="1" applyFill="1" applyBorder="1"/>
    <xf numFmtId="168" fontId="2" fillId="0" borderId="0" xfId="5" applyNumberFormat="1" applyFont="1" applyFill="1" applyBorder="1"/>
    <xf numFmtId="165" fontId="3" fillId="0" borderId="0" xfId="2" applyNumberFormat="1" applyFont="1" applyFill="1" applyBorder="1"/>
    <xf numFmtId="167" fontId="2" fillId="0" borderId="0" xfId="2" applyNumberFormat="1" applyFill="1"/>
    <xf numFmtId="3" fontId="2" fillId="0" borderId="0" xfId="2" applyNumberFormat="1" applyFill="1"/>
    <xf numFmtId="165" fontId="10" fillId="0" borderId="0" xfId="2" applyNumberFormat="1" applyFont="1" applyAlignment="1">
      <alignment wrapText="1"/>
    </xf>
    <xf numFmtId="167" fontId="2" fillId="0" borderId="4" xfId="2" applyNumberFormat="1" applyFill="1" applyBorder="1" applyAlignment="1">
      <alignment horizontal="right"/>
    </xf>
    <xf numFmtId="165" fontId="2" fillId="0" borderId="4" xfId="2" applyNumberFormat="1" applyFill="1" applyBorder="1" applyAlignment="1">
      <alignment horizontal="right"/>
    </xf>
    <xf numFmtId="165" fontId="3" fillId="0" borderId="0" xfId="2" quotePrefix="1" applyNumberFormat="1" applyFont="1" applyAlignment="1">
      <alignment horizontal="right"/>
    </xf>
    <xf numFmtId="165" fontId="2" fillId="0" borderId="0" xfId="2" applyNumberFormat="1" applyFill="1"/>
    <xf numFmtId="165" fontId="10" fillId="0" borderId="0" xfId="2" applyNumberFormat="1" applyFont="1" applyFill="1"/>
    <xf numFmtId="165" fontId="12" fillId="0" borderId="0" xfId="2" applyNumberFormat="1" applyFont="1" applyFill="1"/>
    <xf numFmtId="166" fontId="10" fillId="0" borderId="0" xfId="3" applyNumberFormat="1" applyFont="1" applyFill="1"/>
    <xf numFmtId="37" fontId="12" fillId="0" borderId="0" xfId="2" quotePrefix="1" applyNumberFormat="1" applyFont="1" applyAlignment="1">
      <alignment horizontal="center"/>
    </xf>
    <xf numFmtId="165" fontId="12" fillId="0" borderId="4" xfId="2" applyNumberFormat="1" applyFont="1" applyFill="1" applyBorder="1" applyAlignment="1">
      <alignment horizontal="center"/>
    </xf>
    <xf numFmtId="165" fontId="10" fillId="0" borderId="4" xfId="2" quotePrefix="1" applyNumberFormat="1" applyFont="1" applyFill="1" applyBorder="1" applyAlignment="1">
      <alignment horizontal="center"/>
    </xf>
    <xf numFmtId="165" fontId="10" fillId="0" borderId="4" xfId="2" applyNumberFormat="1" applyFont="1" applyBorder="1" applyAlignment="1">
      <alignment horizontal="center"/>
    </xf>
    <xf numFmtId="14" fontId="10" fillId="0" borderId="0" xfId="2" applyNumberFormat="1" applyFont="1" applyFill="1" applyAlignment="1"/>
    <xf numFmtId="165" fontId="12" fillId="0" borderId="0" xfId="2" applyNumberFormat="1" applyFont="1" applyFill="1" applyAlignment="1">
      <alignment horizontal="center"/>
    </xf>
    <xf numFmtId="165" fontId="10" fillId="0" borderId="0" xfId="2" applyNumberFormat="1" applyFont="1" applyFill="1" applyAlignment="1">
      <alignment horizontal="center"/>
    </xf>
    <xf numFmtId="166" fontId="10" fillId="0" borderId="0" xfId="3" applyNumberFormat="1" applyFont="1" applyFill="1" applyAlignment="1">
      <alignment horizontal="center"/>
    </xf>
    <xf numFmtId="166" fontId="10" fillId="0" borderId="0" xfId="3" applyNumberFormat="1" applyFont="1" applyFill="1" applyAlignment="1">
      <alignment horizontal="centerContinuous"/>
    </xf>
    <xf numFmtId="165" fontId="10" fillId="0" borderId="0" xfId="2" applyNumberFormat="1" applyFont="1" applyFill="1" applyAlignment="1">
      <alignment horizontal="centerContinuous"/>
    </xf>
    <xf numFmtId="165" fontId="10" fillId="0" borderId="0" xfId="2" applyNumberFormat="1" applyFont="1" applyAlignment="1">
      <alignment horizontal="centerContinuous"/>
    </xf>
    <xf numFmtId="165" fontId="3" fillId="0" borderId="0" xfId="2" applyNumberFormat="1" applyFont="1" applyFill="1" applyAlignment="1">
      <alignment horizontal="centerContinuous"/>
    </xf>
    <xf numFmtId="0" fontId="3" fillId="0" borderId="0" xfId="4" applyFont="1" applyAlignment="1">
      <alignment horizontal="centerContinuous"/>
    </xf>
    <xf numFmtId="166" fontId="3" fillId="0" borderId="0" xfId="3" applyNumberFormat="1" applyFont="1" applyAlignment="1">
      <alignment horizontal="centerContinuous"/>
    </xf>
    <xf numFmtId="0" fontId="3" fillId="0" borderId="0" xfId="4" applyFont="1" applyAlignment="1"/>
    <xf numFmtId="0" fontId="0" fillId="0" borderId="0" xfId="0" applyAlignment="1">
      <alignment horizontal="center"/>
    </xf>
    <xf numFmtId="0" fontId="24" fillId="0" borderId="0" xfId="0" applyFont="1"/>
    <xf numFmtId="5" fontId="0" fillId="5" borderId="0" xfId="0" applyNumberFormat="1" applyFill="1"/>
    <xf numFmtId="164" fontId="3" fillId="0" borderId="0" xfId="1" applyNumberFormat="1" applyFont="1" applyAlignment="1">
      <alignment horizontal="centerContinuous"/>
    </xf>
    <xf numFmtId="164" fontId="10" fillId="0" borderId="0" xfId="1" applyNumberFormat="1" applyFont="1" applyFill="1" applyAlignment="1">
      <alignment horizontal="centerContinuous"/>
    </xf>
    <xf numFmtId="164" fontId="10" fillId="0" borderId="4" xfId="1" applyNumberFormat="1" applyFont="1" applyFill="1" applyBorder="1" applyAlignment="1">
      <alignment horizontal="center"/>
    </xf>
    <xf numFmtId="164" fontId="10" fillId="0" borderId="0" xfId="1" applyNumberFormat="1" applyFont="1" applyFill="1"/>
    <xf numFmtId="164" fontId="3" fillId="0" borderId="0" xfId="1" applyNumberFormat="1" applyFont="1" applyFill="1"/>
    <xf numFmtId="164" fontId="3" fillId="0" borderId="4" xfId="1" applyNumberFormat="1" applyFont="1" applyFill="1" applyBorder="1"/>
    <xf numFmtId="164" fontId="3" fillId="0" borderId="1" xfId="1" applyNumberFormat="1" applyFont="1" applyFill="1" applyBorder="1"/>
    <xf numFmtId="164" fontId="7" fillId="0" borderId="0" xfId="1" applyNumberFormat="1" applyFont="1" applyFill="1"/>
    <xf numFmtId="164" fontId="5" fillId="0" borderId="0" xfId="1" applyNumberFormat="1" applyFont="1" applyFill="1"/>
    <xf numFmtId="164" fontId="3" fillId="0" borderId="0" xfId="1" applyNumberFormat="1" applyFont="1" applyFill="1" applyAlignment="1" applyProtection="1">
      <protection locked="0"/>
    </xf>
    <xf numFmtId="164" fontId="5" fillId="0" borderId="0" xfId="1" applyNumberFormat="1" applyFont="1"/>
    <xf numFmtId="166" fontId="10" fillId="0" borderId="0" xfId="3" applyNumberFormat="1" applyFont="1" applyFill="1" applyBorder="1" applyAlignment="1">
      <alignment horizontal="center"/>
    </xf>
    <xf numFmtId="165" fontId="10" fillId="0" borderId="0" xfId="2" applyNumberFormat="1" applyFont="1" applyAlignment="1">
      <alignment horizontal="center"/>
    </xf>
    <xf numFmtId="165" fontId="10" fillId="0" borderId="0" xfId="2" applyNumberFormat="1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169" fontId="27" fillId="0" borderId="0" xfId="0" applyNumberFormat="1" applyFont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6" fillId="0" borderId="6" xfId="0" applyFont="1" applyBorder="1"/>
    <xf numFmtId="0" fontId="26" fillId="0" borderId="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169" fontId="26" fillId="0" borderId="6" xfId="130" applyNumberFormat="1" applyFont="1" applyBorder="1"/>
    <xf numFmtId="3" fontId="26" fillId="0" borderId="0" xfId="0" applyNumberFormat="1" applyFont="1" applyBorder="1" applyAlignment="1">
      <alignment horizontal="center"/>
    </xf>
    <xf numFmtId="44" fontId="26" fillId="0" borderId="0" xfId="0" applyNumberFormat="1" applyFont="1" applyBorder="1" applyAlignment="1">
      <alignment horizontal="center"/>
    </xf>
    <xf numFmtId="3" fontId="26" fillId="0" borderId="0" xfId="0" applyNumberFormat="1" applyFont="1" applyAlignment="1">
      <alignment horizontal="center"/>
    </xf>
    <xf numFmtId="169" fontId="26" fillId="0" borderId="0" xfId="0" applyNumberFormat="1" applyFont="1"/>
    <xf numFmtId="3" fontId="27" fillId="0" borderId="0" xfId="0" applyNumberFormat="1" applyFont="1" applyAlignment="1">
      <alignment horizontal="center"/>
    </xf>
    <xf numFmtId="42" fontId="26" fillId="0" borderId="0" xfId="0" applyNumberFormat="1" applyFont="1"/>
    <xf numFmtId="169" fontId="26" fillId="0" borderId="0" xfId="0" applyNumberFormat="1" applyFont="1" applyFill="1"/>
    <xf numFmtId="0" fontId="27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26" fillId="0" borderId="0" xfId="0" applyFont="1" applyFill="1"/>
    <xf numFmtId="44" fontId="26" fillId="0" borderId="0" xfId="0" applyNumberFormat="1" applyFont="1" applyAlignment="1">
      <alignment horizontal="center"/>
    </xf>
    <xf numFmtId="42" fontId="26" fillId="0" borderId="6" xfId="0" applyNumberFormat="1" applyFont="1" applyBorder="1"/>
    <xf numFmtId="169" fontId="26" fillId="0" borderId="6" xfId="0" applyNumberFormat="1" applyFont="1" applyBorder="1"/>
    <xf numFmtId="44" fontId="26" fillId="0" borderId="0" xfId="130" applyFont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0" xfId="0" applyFont="1" applyBorder="1"/>
    <xf numFmtId="0" fontId="26" fillId="0" borderId="0" xfId="0" applyFont="1" applyBorder="1" applyAlignment="1">
      <alignment horizontal="right"/>
    </xf>
    <xf numFmtId="10" fontId="26" fillId="0" borderId="0" xfId="0" applyNumberFormat="1" applyFont="1" applyBorder="1"/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0" xfId="0" applyFont="1" applyBorder="1" applyAlignment="1"/>
    <xf numFmtId="44" fontId="26" fillId="0" borderId="0" xfId="130" applyFont="1" applyBorder="1" applyAlignment="1">
      <alignment horizontal="center"/>
    </xf>
    <xf numFmtId="169" fontId="26" fillId="0" borderId="0" xfId="130" applyNumberFormat="1" applyFont="1" applyBorder="1"/>
    <xf numFmtId="169" fontId="26" fillId="0" borderId="0" xfId="0" applyNumberFormat="1" applyFont="1" applyBorder="1"/>
    <xf numFmtId="169" fontId="26" fillId="0" borderId="0" xfId="0" applyNumberFormat="1" applyFont="1" applyFill="1" applyBorder="1"/>
    <xf numFmtId="5" fontId="3" fillId="0" borderId="1" xfId="3" applyNumberFormat="1" applyFont="1" applyFill="1" applyBorder="1"/>
    <xf numFmtId="5" fontId="28" fillId="0" borderId="2" xfId="3" applyNumberFormat="1" applyFont="1" applyFill="1" applyBorder="1"/>
    <xf numFmtId="167" fontId="29" fillId="0" borderId="0" xfId="5" applyNumberFormat="1" applyFont="1" applyFill="1"/>
    <xf numFmtId="164" fontId="6" fillId="0" borderId="0" xfId="1" applyNumberFormat="1" applyFont="1" applyFill="1"/>
    <xf numFmtId="5" fontId="6" fillId="0" borderId="0" xfId="3" applyNumberFormat="1" applyFont="1" applyFill="1"/>
    <xf numFmtId="168" fontId="29" fillId="0" borderId="0" xfId="5" applyNumberFormat="1" applyFont="1" applyFill="1"/>
    <xf numFmtId="166" fontId="6" fillId="0" borderId="0" xfId="3" applyNumberFormat="1" applyFont="1" applyFill="1"/>
    <xf numFmtId="165" fontId="6" fillId="0" borderId="0" xfId="2" applyNumberFormat="1" applyFont="1" applyFill="1"/>
    <xf numFmtId="165" fontId="12" fillId="0" borderId="0" xfId="2" applyFont="1" applyFill="1" applyAlignment="1">
      <alignment horizontal="center"/>
    </xf>
    <xf numFmtId="37" fontId="12" fillId="0" borderId="0" xfId="2" quotePrefix="1" applyNumberFormat="1" applyFont="1" applyFill="1" applyAlignment="1">
      <alignment horizontal="center"/>
    </xf>
    <xf numFmtId="14" fontId="10" fillId="0" borderId="0" xfId="2" applyNumberFormat="1" applyFont="1" applyFill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9" borderId="0" xfId="0" applyFont="1" applyFill="1" applyBorder="1" applyAlignment="1"/>
    <xf numFmtId="0" fontId="26" fillId="9" borderId="6" xfId="0" applyFont="1" applyFill="1" applyBorder="1"/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6" borderId="4" xfId="0" applyFont="1" applyFill="1" applyBorder="1" applyAlignment="1">
      <alignment horizontal="center"/>
    </xf>
    <xf numFmtId="0" fontId="26" fillId="7" borderId="4" xfId="0" applyFont="1" applyFill="1" applyBorder="1" applyAlignment="1">
      <alignment horizontal="center"/>
    </xf>
    <xf numFmtId="0" fontId="26" fillId="7" borderId="12" xfId="0" applyFont="1" applyFill="1" applyBorder="1" applyAlignment="1">
      <alignment horizontal="center"/>
    </xf>
    <xf numFmtId="0" fontId="26" fillId="8" borderId="4" xfId="0" applyFont="1" applyFill="1" applyBorder="1" applyAlignment="1">
      <alignment horizontal="center"/>
    </xf>
    <xf numFmtId="0" fontId="26" fillId="8" borderId="12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10" fillId="0" borderId="0" xfId="3" applyNumberFormat="1" applyFont="1" applyFill="1" applyBorder="1" applyAlignment="1">
      <alignment horizontal="center"/>
    </xf>
    <xf numFmtId="166" fontId="10" fillId="0" borderId="4" xfId="3" applyNumberFormat="1" applyFont="1" applyFill="1" applyBorder="1" applyAlignment="1">
      <alignment horizontal="center"/>
    </xf>
    <xf numFmtId="165" fontId="10" fillId="0" borderId="0" xfId="2" applyNumberFormat="1" applyFont="1" applyFill="1" applyBorder="1" applyAlignment="1">
      <alignment horizontal="center"/>
    </xf>
  </cellXfs>
  <cellStyles count="131">
    <cellStyle name="Comma 11" xfId="7"/>
    <cellStyle name="Comma 19" xfId="8"/>
    <cellStyle name="Comma 2" xfId="5"/>
    <cellStyle name="Comma 2 10" xfId="9"/>
    <cellStyle name="Comma 2 11" xfId="10"/>
    <cellStyle name="Comma 2 12" xfId="11"/>
    <cellStyle name="Comma 2 13" xfId="12"/>
    <cellStyle name="Comma 2 14" xfId="13"/>
    <cellStyle name="Comma 2 15" xfId="14"/>
    <cellStyle name="Comma 2 16" xfId="15"/>
    <cellStyle name="Comma 2 17" xfId="16"/>
    <cellStyle name="Comma 2 18" xfId="17"/>
    <cellStyle name="Comma 2 19" xfId="18"/>
    <cellStyle name="Comma 2 2" xfId="19"/>
    <cellStyle name="Comma 2 20" xfId="20"/>
    <cellStyle name="Comma 2 21" xfId="21"/>
    <cellStyle name="Comma 2 3" xfId="22"/>
    <cellStyle name="Comma 2 4" xfId="23"/>
    <cellStyle name="Comma 2 5" xfId="24"/>
    <cellStyle name="Comma 2 6" xfId="25"/>
    <cellStyle name="Comma 2 7" xfId="26"/>
    <cellStyle name="Comma 2 8" xfId="27"/>
    <cellStyle name="Comma 2 9" xfId="28"/>
    <cellStyle name="Comma 21" xfId="29"/>
    <cellStyle name="Comma 22" xfId="30"/>
    <cellStyle name="Comma 4" xfId="31"/>
    <cellStyle name="Comma 5" xfId="32"/>
    <cellStyle name="Currency" xfId="130" builtinId="4"/>
    <cellStyle name="Currency 2" xfId="3"/>
    <cellStyle name="Currency 2 10" xfId="33"/>
    <cellStyle name="Currency 2 11" xfId="34"/>
    <cellStyle name="Currency 2 12" xfId="35"/>
    <cellStyle name="Currency 2 13" xfId="36"/>
    <cellStyle name="Currency 2 14" xfId="37"/>
    <cellStyle name="Currency 2 15" xfId="38"/>
    <cellStyle name="Currency 2 16" xfId="39"/>
    <cellStyle name="Currency 2 17" xfId="40"/>
    <cellStyle name="Currency 2 18" xfId="41"/>
    <cellStyle name="Currency 2 19" xfId="42"/>
    <cellStyle name="Currency 2 2" xfId="43"/>
    <cellStyle name="Currency 2 20" xfId="44"/>
    <cellStyle name="Currency 2 21" xfId="45"/>
    <cellStyle name="Currency 2 3" xfId="46"/>
    <cellStyle name="Currency 2 4" xfId="47"/>
    <cellStyle name="Currency 2 5" xfId="48"/>
    <cellStyle name="Currency 2 6" xfId="49"/>
    <cellStyle name="Currency 2 7" xfId="50"/>
    <cellStyle name="Currency 2 8" xfId="51"/>
    <cellStyle name="Currency 2 9" xfId="52"/>
    <cellStyle name="General" xfId="53"/>
    <cellStyle name="nONE" xfId="54"/>
    <cellStyle name="Normal" xfId="0" builtinId="0"/>
    <cellStyle name="Normal 10" xfId="55"/>
    <cellStyle name="Normal 11" xfId="56"/>
    <cellStyle name="Normal 12" xfId="57"/>
    <cellStyle name="Normal 13" xfId="58"/>
    <cellStyle name="Normal 14" xfId="59"/>
    <cellStyle name="Normal 16" xfId="60"/>
    <cellStyle name="Normal 17" xfId="61"/>
    <cellStyle name="Normal 18" xfId="62"/>
    <cellStyle name="Normal 19" xfId="63"/>
    <cellStyle name="Normal 2" xfId="4"/>
    <cellStyle name="Normal 2 10" xfId="64"/>
    <cellStyle name="Normal 2 11" xfId="65"/>
    <cellStyle name="Normal 2 12" xfId="66"/>
    <cellStyle name="Normal 2 13" xfId="67"/>
    <cellStyle name="Normal 2 14" xfId="68"/>
    <cellStyle name="Normal 2 15" xfId="69"/>
    <cellStyle name="Normal 2 16" xfId="70"/>
    <cellStyle name="Normal 2 17" xfId="71"/>
    <cellStyle name="Normal 2 18" xfId="72"/>
    <cellStyle name="Normal 2 19" xfId="73"/>
    <cellStyle name="Normal 2 2" xfId="74"/>
    <cellStyle name="Normal 2 20" xfId="75"/>
    <cellStyle name="Normal 2 21" xfId="76"/>
    <cellStyle name="Normal 2 22" xfId="77"/>
    <cellStyle name="Normal 2 3" xfId="78"/>
    <cellStyle name="Normal 2 4" xfId="79"/>
    <cellStyle name="Normal 2 5" xfId="80"/>
    <cellStyle name="Normal 2 6" xfId="81"/>
    <cellStyle name="Normal 2 7" xfId="82"/>
    <cellStyle name="Normal 2 8" xfId="83"/>
    <cellStyle name="Normal 2 9" xfId="84"/>
    <cellStyle name="Normal 2_Book1" xfId="85"/>
    <cellStyle name="Normal 20" xfId="86"/>
    <cellStyle name="Normal 21" xfId="87"/>
    <cellStyle name="Normal 22" xfId="88"/>
    <cellStyle name="Normal 23" xfId="89"/>
    <cellStyle name="Normal 24" xfId="90"/>
    <cellStyle name="Normal 3" xfId="91"/>
    <cellStyle name="Normal 3 2" xfId="92"/>
    <cellStyle name="Normal 4" xfId="93"/>
    <cellStyle name="Normal 5" xfId="94"/>
    <cellStyle name="Normal 6" xfId="95"/>
    <cellStyle name="Normal 7" xfId="96"/>
    <cellStyle name="Normal 8" xfId="97"/>
    <cellStyle name="Normal 9" xfId="98"/>
    <cellStyle name="Normal_Blocking 03-01" xfId="2"/>
    <cellStyle name="Percent" xfId="1" builtinId="5"/>
    <cellStyle name="Percent 13" xfId="99"/>
    <cellStyle name="Percent 19" xfId="100"/>
    <cellStyle name="Percent 2" xfId="6"/>
    <cellStyle name="Percent 2 10" xfId="101"/>
    <cellStyle name="Percent 2 11" xfId="102"/>
    <cellStyle name="Percent 2 12" xfId="103"/>
    <cellStyle name="Percent 2 13" xfId="104"/>
    <cellStyle name="Percent 2 14" xfId="105"/>
    <cellStyle name="Percent 2 15" xfId="106"/>
    <cellStyle name="Percent 2 16" xfId="107"/>
    <cellStyle name="Percent 2 17" xfId="108"/>
    <cellStyle name="Percent 2 18" xfId="109"/>
    <cellStyle name="Percent 2 19" xfId="110"/>
    <cellStyle name="Percent 2 2" xfId="111"/>
    <cellStyle name="Percent 2 20" xfId="112"/>
    <cellStyle name="Percent 2 21" xfId="113"/>
    <cellStyle name="Percent 2 3" xfId="114"/>
    <cellStyle name="Percent 2 4" xfId="115"/>
    <cellStyle name="Percent 2 5" xfId="116"/>
    <cellStyle name="Percent 2 6" xfId="117"/>
    <cellStyle name="Percent 2 7" xfId="118"/>
    <cellStyle name="Percent 2 8" xfId="119"/>
    <cellStyle name="Percent 2 9" xfId="120"/>
    <cellStyle name="Percent 22" xfId="121"/>
    <cellStyle name="Percent 3" xfId="122"/>
    <cellStyle name="Percent 4" xfId="123"/>
    <cellStyle name="Percent 5" xfId="124"/>
    <cellStyle name="Percent 6" xfId="125"/>
    <cellStyle name="Percent 7" xfId="126"/>
    <cellStyle name="SAPBEXchaText" xfId="127"/>
    <cellStyle name="SAPBEXtitle" xfId="128"/>
    <cellStyle name="TRANSMISSION RELIABILITY PORTION OF PROJECT" xfId="1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Utah%202012\Settlement\COS%20UT%20May%202013_NS%20-%20Rebuttal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ASES\Utah%202012\Settlement\COS%20UT%20May%202013_NS%20-%20Rebutt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6">
          <cell r="L6">
            <v>7.9056474297646423E-2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6">
          <cell r="L6">
            <v>7.9056474297646423E-2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showRuler="0" view="pageLayout" zoomScaleNormal="100" workbookViewId="0">
      <selection activeCell="L27" sqref="L27"/>
    </sheetView>
  </sheetViews>
  <sheetFormatPr defaultColWidth="8.7109375" defaultRowHeight="15"/>
  <cols>
    <col min="1" max="1" width="11" style="89" customWidth="1"/>
    <col min="2" max="2" width="11.28515625" style="89" customWidth="1"/>
    <col min="3" max="3" width="11" style="89" customWidth="1"/>
    <col min="4" max="4" width="11.7109375" style="89" customWidth="1"/>
    <col min="5" max="5" width="3.7109375" style="89" customWidth="1"/>
    <col min="6" max="6" width="10.85546875" style="89" customWidth="1"/>
    <col min="7" max="7" width="9.28515625" style="89" customWidth="1"/>
    <col min="8" max="8" width="13" style="89" customWidth="1"/>
    <col min="9" max="9" width="4" style="89" customWidth="1"/>
    <col min="10" max="10" width="10.85546875" style="89" customWidth="1"/>
    <col min="11" max="11" width="9.28515625" style="89" customWidth="1"/>
    <col min="12" max="12" width="13" style="89" customWidth="1"/>
    <col min="13" max="13" width="12.7109375" style="89" customWidth="1"/>
    <col min="14" max="15" width="12.42578125" style="89" customWidth="1"/>
    <col min="16" max="16" width="13.28515625" style="89" bestFit="1" customWidth="1"/>
    <col min="17" max="17" width="13.7109375" style="89" bestFit="1" customWidth="1"/>
    <col min="18" max="18" width="13.42578125" style="89" customWidth="1"/>
    <col min="19" max="19" width="1.28515625" style="89" customWidth="1"/>
    <col min="20" max="20" width="9.28515625" style="89" bestFit="1" customWidth="1"/>
    <col min="21" max="21" width="14" style="89" customWidth="1"/>
    <col min="22" max="16384" width="8.7109375" style="89"/>
  </cols>
  <sheetData>
    <row r="1" spans="1:21" ht="21">
      <c r="A1" s="139" t="s">
        <v>72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>
      <c r="A2" s="90"/>
      <c r="B2" s="90"/>
      <c r="C2" s="91"/>
    </row>
    <row r="3" spans="1:21">
      <c r="B3" s="137" t="s">
        <v>104</v>
      </c>
      <c r="C3" s="137"/>
      <c r="D3" s="138"/>
      <c r="F3" s="148" t="s">
        <v>80</v>
      </c>
      <c r="G3" s="148"/>
      <c r="H3" s="149"/>
      <c r="J3" s="146" t="s">
        <v>79</v>
      </c>
      <c r="K3" s="146"/>
      <c r="L3" s="146"/>
      <c r="M3" s="146"/>
      <c r="N3" s="146"/>
      <c r="O3" s="146"/>
      <c r="P3" s="146"/>
      <c r="Q3" s="146"/>
      <c r="R3" s="147"/>
    </row>
    <row r="4" spans="1:21">
      <c r="B4" s="140" t="s">
        <v>85</v>
      </c>
      <c r="C4" s="140"/>
      <c r="D4" s="141"/>
      <c r="F4" s="140" t="s">
        <v>85</v>
      </c>
      <c r="G4" s="140"/>
      <c r="H4" s="141"/>
      <c r="J4" s="93"/>
      <c r="K4" s="96">
        <v>5</v>
      </c>
      <c r="L4" s="120" t="s">
        <v>78</v>
      </c>
      <c r="M4" s="93"/>
      <c r="N4" s="93"/>
      <c r="O4" s="93"/>
      <c r="P4" s="93"/>
      <c r="Q4" s="93"/>
      <c r="R4" s="94"/>
    </row>
    <row r="5" spans="1:21">
      <c r="B5" s="96"/>
      <c r="C5" s="96"/>
      <c r="D5" s="94"/>
      <c r="F5" s="140"/>
      <c r="G5" s="140"/>
      <c r="H5" s="141"/>
      <c r="J5" s="140"/>
      <c r="K5" s="140"/>
      <c r="L5" s="140"/>
      <c r="M5" s="93"/>
      <c r="N5" s="93"/>
      <c r="O5" s="93"/>
      <c r="P5" s="93"/>
      <c r="Q5" s="93"/>
      <c r="R5" s="94"/>
    </row>
    <row r="6" spans="1:21">
      <c r="A6" s="93"/>
      <c r="B6" s="112" t="s">
        <v>76</v>
      </c>
      <c r="C6" s="92" t="s">
        <v>84</v>
      </c>
      <c r="D6" s="95" t="s">
        <v>88</v>
      </c>
      <c r="F6" s="112" t="s">
        <v>76</v>
      </c>
      <c r="G6" s="92" t="s">
        <v>84</v>
      </c>
      <c r="H6" s="119" t="s">
        <v>88</v>
      </c>
      <c r="J6" s="121" t="s">
        <v>76</v>
      </c>
      <c r="K6" s="96" t="s">
        <v>84</v>
      </c>
      <c r="L6" s="136" t="s">
        <v>88</v>
      </c>
      <c r="M6" s="93"/>
      <c r="N6" s="93"/>
      <c r="O6" s="93"/>
      <c r="P6" s="93"/>
      <c r="Q6" s="93"/>
      <c r="R6" s="94"/>
    </row>
    <row r="7" spans="1:21">
      <c r="B7" s="92" t="s">
        <v>86</v>
      </c>
      <c r="C7" s="92" t="s">
        <v>90</v>
      </c>
      <c r="D7" s="119" t="s">
        <v>102</v>
      </c>
      <c r="F7" s="92" t="s">
        <v>86</v>
      </c>
      <c r="G7" s="92" t="s">
        <v>90</v>
      </c>
      <c r="H7" s="119" t="s">
        <v>102</v>
      </c>
      <c r="J7" s="96" t="s">
        <v>86</v>
      </c>
      <c r="K7" s="96" t="s">
        <v>90</v>
      </c>
      <c r="L7" s="119" t="s">
        <v>102</v>
      </c>
      <c r="M7" s="142" t="s">
        <v>96</v>
      </c>
      <c r="N7" s="143"/>
      <c r="O7" s="143"/>
      <c r="P7" s="143"/>
      <c r="Q7" s="143"/>
      <c r="R7" s="144"/>
      <c r="T7" s="145" t="s">
        <v>77</v>
      </c>
      <c r="U7" s="145"/>
    </row>
    <row r="8" spans="1:21">
      <c r="B8" s="92" t="s">
        <v>87</v>
      </c>
      <c r="C8" s="92" t="s">
        <v>89</v>
      </c>
      <c r="D8" s="95" t="s">
        <v>84</v>
      </c>
      <c r="F8" s="92" t="s">
        <v>87</v>
      </c>
      <c r="G8" s="92" t="s">
        <v>89</v>
      </c>
      <c r="H8" s="119" t="s">
        <v>84</v>
      </c>
      <c r="J8" s="96" t="s">
        <v>87</v>
      </c>
      <c r="K8" s="96" t="s">
        <v>89</v>
      </c>
      <c r="L8" s="119" t="s">
        <v>84</v>
      </c>
      <c r="M8" s="114"/>
      <c r="N8" s="93"/>
      <c r="O8" s="115" t="s">
        <v>97</v>
      </c>
      <c r="P8" s="116">
        <v>0.06</v>
      </c>
      <c r="Q8" s="93"/>
      <c r="R8" s="94"/>
      <c r="T8" s="89" t="s">
        <v>76</v>
      </c>
      <c r="U8" s="92" t="s">
        <v>76</v>
      </c>
    </row>
    <row r="9" spans="1:21">
      <c r="A9" s="96" t="s">
        <v>75</v>
      </c>
      <c r="B9" s="92" t="s">
        <v>74</v>
      </c>
      <c r="D9" s="94"/>
      <c r="F9" s="92" t="s">
        <v>74</v>
      </c>
      <c r="H9" s="95"/>
      <c r="J9" s="96" t="s">
        <v>74</v>
      </c>
      <c r="K9" s="93"/>
      <c r="L9" s="96" t="s">
        <v>98</v>
      </c>
      <c r="M9" s="117" t="s">
        <v>91</v>
      </c>
      <c r="N9" s="113" t="s">
        <v>92</v>
      </c>
      <c r="O9" s="113" t="s">
        <v>93</v>
      </c>
      <c r="P9" s="113" t="s">
        <v>94</v>
      </c>
      <c r="Q9" s="113" t="s">
        <v>95</v>
      </c>
      <c r="R9" s="118" t="s">
        <v>1</v>
      </c>
      <c r="T9" s="92" t="s">
        <v>74</v>
      </c>
      <c r="U9" s="92" t="s">
        <v>73</v>
      </c>
    </row>
    <row r="10" spans="1:21">
      <c r="A10" s="96">
        <v>2013</v>
      </c>
      <c r="B10" s="92">
        <v>500</v>
      </c>
      <c r="C10" s="109">
        <v>1.25</v>
      </c>
      <c r="D10" s="110">
        <f>C10*B10*1000</f>
        <v>625000</v>
      </c>
      <c r="E10" s="104"/>
      <c r="F10" s="99">
        <v>3000</v>
      </c>
      <c r="G10" s="100">
        <v>1</v>
      </c>
      <c r="H10" s="98">
        <f>G10*F10*1000</f>
        <v>3000000</v>
      </c>
      <c r="J10" s="99">
        <v>3000</v>
      </c>
      <c r="K10" s="100">
        <v>0.8</v>
      </c>
      <c r="L10" s="122">
        <f>K10*J10*1000</f>
        <v>2400000</v>
      </c>
      <c r="M10" s="122">
        <f>-PMT($P$8,$K$4,$L10)</f>
        <v>569751.36103485443</v>
      </c>
      <c r="N10" s="93"/>
      <c r="O10" s="93"/>
      <c r="P10" s="93"/>
      <c r="Q10" s="93"/>
      <c r="R10" s="98">
        <f t="shared" ref="R10:R18" si="0">SUM(M10:Q10)</f>
        <v>569751.36103485443</v>
      </c>
      <c r="T10" s="101">
        <f>B10+F10+J10</f>
        <v>6500</v>
      </c>
      <c r="U10" s="102">
        <f>R10+H10+D10</f>
        <v>4194751.3610348543</v>
      </c>
    </row>
    <row r="11" spans="1:21">
      <c r="A11" s="96">
        <v>2014</v>
      </c>
      <c r="B11" s="92">
        <v>500</v>
      </c>
      <c r="C11" s="109">
        <v>1.2</v>
      </c>
      <c r="D11" s="110">
        <f>C11*B11*1000</f>
        <v>600000</v>
      </c>
      <c r="E11" s="104"/>
      <c r="F11" s="99">
        <v>3500</v>
      </c>
      <c r="G11" s="100">
        <v>0.95</v>
      </c>
      <c r="H11" s="98">
        <f>G11*F11*1000</f>
        <v>3325000</v>
      </c>
      <c r="J11" s="99">
        <v>6000</v>
      </c>
      <c r="K11" s="100">
        <v>0.75</v>
      </c>
      <c r="L11" s="122">
        <f>K11*J11*1000</f>
        <v>4500000</v>
      </c>
      <c r="M11" s="123">
        <f>M10</f>
        <v>569751.36103485443</v>
      </c>
      <c r="N11" s="122">
        <f>-PMT($P$8,$K$4,$L11)</f>
        <v>1068283.801940352</v>
      </c>
      <c r="O11" s="93"/>
      <c r="P11" s="93"/>
      <c r="Q11" s="93"/>
      <c r="R11" s="98">
        <f t="shared" si="0"/>
        <v>1638035.1629752065</v>
      </c>
      <c r="T11" s="101">
        <f>B11+F11+J11</f>
        <v>10000</v>
      </c>
      <c r="U11" s="102">
        <f>R11+H11+D11</f>
        <v>5563035.162975207</v>
      </c>
    </row>
    <row r="12" spans="1:21">
      <c r="A12" s="96">
        <v>2015</v>
      </c>
      <c r="B12" s="92">
        <v>500</v>
      </c>
      <c r="C12" s="109">
        <v>1.1499999999999999</v>
      </c>
      <c r="D12" s="110">
        <f>C12*B12*1000</f>
        <v>575000</v>
      </c>
      <c r="E12" s="104"/>
      <c r="F12" s="99">
        <v>4000</v>
      </c>
      <c r="G12" s="100">
        <v>0.9</v>
      </c>
      <c r="H12" s="98">
        <f>G12*F12*1000</f>
        <v>3600000</v>
      </c>
      <c r="J12" s="99">
        <v>8500</v>
      </c>
      <c r="K12" s="100">
        <v>0.7</v>
      </c>
      <c r="L12" s="122">
        <f>K12*J12*1000</f>
        <v>5950000</v>
      </c>
      <c r="M12" s="123">
        <f>M11</f>
        <v>569751.36103485443</v>
      </c>
      <c r="N12" s="123">
        <f>N11</f>
        <v>1068283.801940352</v>
      </c>
      <c r="O12" s="123">
        <f>-PMT($P$8,$K$4,L12)</f>
        <v>1412508.5825655768</v>
      </c>
      <c r="P12" s="93"/>
      <c r="Q12" s="93"/>
      <c r="R12" s="98">
        <f t="shared" si="0"/>
        <v>3050543.7455407833</v>
      </c>
      <c r="T12" s="101">
        <f>B12+F12+J12</f>
        <v>13000</v>
      </c>
      <c r="U12" s="102">
        <f>R12+H12+D12</f>
        <v>7225543.7455407828</v>
      </c>
    </row>
    <row r="13" spans="1:21">
      <c r="A13" s="96">
        <v>2016</v>
      </c>
      <c r="B13" s="92">
        <v>500</v>
      </c>
      <c r="C13" s="109">
        <v>1.1000000000000001</v>
      </c>
      <c r="D13" s="110">
        <f>C13*B13*1000</f>
        <v>550000</v>
      </c>
      <c r="E13" s="104"/>
      <c r="F13" s="99">
        <v>4500</v>
      </c>
      <c r="G13" s="100">
        <v>0.85</v>
      </c>
      <c r="H13" s="98">
        <f>G13*F13*1000</f>
        <v>3825000</v>
      </c>
      <c r="J13" s="99">
        <v>10000</v>
      </c>
      <c r="K13" s="100">
        <v>0.65</v>
      </c>
      <c r="L13" s="122">
        <f>K13*J13*1000</f>
        <v>6500000</v>
      </c>
      <c r="M13" s="123">
        <f>M12</f>
        <v>569751.36103485443</v>
      </c>
      <c r="N13" s="123">
        <f>N12</f>
        <v>1068283.801940352</v>
      </c>
      <c r="O13" s="123">
        <f>O12</f>
        <v>1412508.5825655768</v>
      </c>
      <c r="P13" s="123">
        <f>-PMT($P$8,$K$4,L13)</f>
        <v>1543076.6028027309</v>
      </c>
      <c r="Q13" s="93"/>
      <c r="R13" s="98">
        <f t="shared" si="0"/>
        <v>4593620.3483435139</v>
      </c>
      <c r="T13" s="101">
        <f>B13+F13+J13</f>
        <v>15000</v>
      </c>
      <c r="U13" s="102">
        <f>R13+H13+D13</f>
        <v>8968620.3483435139</v>
      </c>
    </row>
    <row r="14" spans="1:21">
      <c r="A14" s="96">
        <v>2017</v>
      </c>
      <c r="B14" s="92">
        <v>500</v>
      </c>
      <c r="C14" s="109">
        <v>1.05</v>
      </c>
      <c r="D14" s="110">
        <f>C14*B14*1000</f>
        <v>525000</v>
      </c>
      <c r="E14" s="104"/>
      <c r="F14" s="99">
        <v>5000</v>
      </c>
      <c r="G14" s="100">
        <v>0.8</v>
      </c>
      <c r="H14" s="98">
        <f>G14*F14*1000</f>
        <v>4000000</v>
      </c>
      <c r="J14" s="99">
        <v>10000</v>
      </c>
      <c r="K14" s="100">
        <v>0.6</v>
      </c>
      <c r="L14" s="122">
        <f>K14*J14*1000</f>
        <v>6000000</v>
      </c>
      <c r="M14" s="123">
        <f>M13</f>
        <v>569751.36103485443</v>
      </c>
      <c r="N14" s="123">
        <f>N13</f>
        <v>1068283.801940352</v>
      </c>
      <c r="O14" s="123">
        <f>O13</f>
        <v>1412508.5825655768</v>
      </c>
      <c r="P14" s="123">
        <f>P13</f>
        <v>1543076.6028027309</v>
      </c>
      <c r="Q14" s="123">
        <f>-PMT($P$8,$K$4,L14)</f>
        <v>1424378.402587136</v>
      </c>
      <c r="R14" s="98">
        <f t="shared" si="0"/>
        <v>6017998.7509306502</v>
      </c>
      <c r="T14" s="101">
        <f>B14+F14+J14</f>
        <v>15500</v>
      </c>
      <c r="U14" s="102">
        <f>R14+H14+D14</f>
        <v>10542998.75093065</v>
      </c>
    </row>
    <row r="15" spans="1:21">
      <c r="A15" s="96">
        <v>2018</v>
      </c>
      <c r="D15" s="94"/>
      <c r="H15" s="94"/>
      <c r="J15" s="93"/>
      <c r="K15" s="93"/>
      <c r="L15" s="93"/>
      <c r="M15" s="93"/>
      <c r="N15" s="123">
        <f>N14</f>
        <v>1068283.801940352</v>
      </c>
      <c r="O15" s="123">
        <f>O14</f>
        <v>1412508.5825655768</v>
      </c>
      <c r="P15" s="123">
        <f>P14</f>
        <v>1543076.6028027309</v>
      </c>
      <c r="Q15" s="123">
        <f>Q14</f>
        <v>1424378.402587136</v>
      </c>
      <c r="R15" s="98">
        <f t="shared" si="0"/>
        <v>5448247.3898957958</v>
      </c>
      <c r="U15" s="102">
        <f>R15</f>
        <v>5448247.3898957958</v>
      </c>
    </row>
    <row r="16" spans="1:21">
      <c r="A16" s="96">
        <v>2019</v>
      </c>
      <c r="D16" s="94"/>
      <c r="H16" s="94"/>
      <c r="J16" s="93"/>
      <c r="K16" s="93"/>
      <c r="L16" s="93"/>
      <c r="M16" s="93"/>
      <c r="N16" s="93"/>
      <c r="O16" s="123">
        <f>O15</f>
        <v>1412508.5825655768</v>
      </c>
      <c r="P16" s="123">
        <f>P15</f>
        <v>1543076.6028027309</v>
      </c>
      <c r="Q16" s="123">
        <f>Q15</f>
        <v>1424378.402587136</v>
      </c>
      <c r="R16" s="98">
        <f t="shared" si="0"/>
        <v>4379963.5879554441</v>
      </c>
      <c r="U16" s="102">
        <f>R16</f>
        <v>4379963.5879554441</v>
      </c>
    </row>
    <row r="17" spans="1:22">
      <c r="A17" s="96">
        <v>2020</v>
      </c>
      <c r="D17" s="94"/>
      <c r="H17" s="94"/>
      <c r="J17" s="93"/>
      <c r="K17" s="93"/>
      <c r="L17" s="93"/>
      <c r="M17" s="93"/>
      <c r="N17" s="93"/>
      <c r="O17" s="93"/>
      <c r="P17" s="123">
        <f>P16</f>
        <v>1543076.6028027309</v>
      </c>
      <c r="Q17" s="123">
        <f>Q16</f>
        <v>1424378.402587136</v>
      </c>
      <c r="R17" s="98">
        <f t="shared" si="0"/>
        <v>2967455.0053898669</v>
      </c>
      <c r="U17" s="102">
        <f>R17</f>
        <v>2967455.0053898669</v>
      </c>
    </row>
    <row r="18" spans="1:22">
      <c r="A18" s="96">
        <v>2021</v>
      </c>
      <c r="D18" s="94"/>
      <c r="H18" s="94"/>
      <c r="J18" s="93"/>
      <c r="K18" s="93"/>
      <c r="L18" s="93"/>
      <c r="M18" s="93"/>
      <c r="N18" s="93"/>
      <c r="O18" s="93"/>
      <c r="P18" s="93"/>
      <c r="Q18" s="123">
        <f>Q17</f>
        <v>1424378.402587136</v>
      </c>
      <c r="R18" s="98">
        <f t="shared" si="0"/>
        <v>1424378.402587136</v>
      </c>
      <c r="U18" s="102">
        <f>R18</f>
        <v>1424378.402587136</v>
      </c>
    </row>
    <row r="19" spans="1:22">
      <c r="A19" s="96"/>
      <c r="D19" s="94"/>
      <c r="H19" s="94"/>
      <c r="J19" s="93"/>
      <c r="K19" s="93"/>
      <c r="L19" s="93"/>
      <c r="M19" s="93"/>
      <c r="N19" s="93"/>
      <c r="O19" s="93"/>
      <c r="P19" s="93"/>
      <c r="Q19" s="93"/>
      <c r="R19" s="94"/>
    </row>
    <row r="20" spans="1:22">
      <c r="A20" s="97" t="s">
        <v>1</v>
      </c>
      <c r="B20" s="101">
        <f>SUM(B10:B14)</f>
        <v>2500</v>
      </c>
      <c r="C20" s="101"/>
      <c r="D20" s="110">
        <f>SUM(D10:D14)</f>
        <v>2875000</v>
      </c>
      <c r="E20" s="104"/>
      <c r="F20" s="101">
        <f>SUM(F10:F14)</f>
        <v>20000</v>
      </c>
      <c r="G20" s="101"/>
      <c r="H20" s="111">
        <f>SUM(H10:H14)</f>
        <v>17750000</v>
      </c>
      <c r="J20" s="99">
        <f>SUM(J10:J14)</f>
        <v>37500</v>
      </c>
      <c r="K20" s="99"/>
      <c r="L20" s="123">
        <f>SUM(L10:L14)</f>
        <v>25350000</v>
      </c>
      <c r="M20" s="124">
        <f t="shared" ref="M20:R20" si="1">SUM(M10:M18)</f>
        <v>2848756.805174272</v>
      </c>
      <c r="N20" s="124">
        <f t="shared" si="1"/>
        <v>5341419.0097017596</v>
      </c>
      <c r="O20" s="124">
        <f t="shared" si="1"/>
        <v>7062542.9128278838</v>
      </c>
      <c r="P20" s="124">
        <f t="shared" si="1"/>
        <v>7715383.0140136546</v>
      </c>
      <c r="Q20" s="124">
        <f t="shared" si="1"/>
        <v>7121892.0129356803</v>
      </c>
      <c r="R20" s="111">
        <f t="shared" si="1"/>
        <v>30089993.754653249</v>
      </c>
      <c r="T20" s="103">
        <f>SUM(T10:T14)</f>
        <v>60000</v>
      </c>
      <c r="U20" s="91">
        <f>SUM(U10:U18)</f>
        <v>50714993.75465326</v>
      </c>
    </row>
    <row r="21" spans="1:22">
      <c r="A21" s="97"/>
      <c r="H21" s="102"/>
      <c r="J21" s="101"/>
      <c r="K21" s="101"/>
      <c r="L21" s="102"/>
      <c r="M21" s="105"/>
      <c r="N21" s="105"/>
      <c r="O21" s="105"/>
      <c r="P21" s="105"/>
      <c r="Q21" s="105"/>
      <c r="R21" s="102"/>
      <c r="U21" s="102"/>
    </row>
    <row r="22" spans="1:22">
      <c r="A22" s="106"/>
      <c r="U22" s="102"/>
    </row>
    <row r="23" spans="1:22">
      <c r="A23" s="106"/>
    </row>
    <row r="24" spans="1:22">
      <c r="A24" s="106"/>
    </row>
    <row r="25" spans="1:22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</row>
    <row r="26" spans="1:22">
      <c r="A26" s="106"/>
    </row>
    <row r="27" spans="1:22">
      <c r="A27" s="106"/>
    </row>
    <row r="28" spans="1:22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</row>
    <row r="29" spans="1:22">
      <c r="A29" s="106"/>
    </row>
    <row r="30" spans="1:22">
      <c r="A30" s="106"/>
    </row>
    <row r="31" spans="1:22">
      <c r="A31" s="106"/>
    </row>
    <row r="32" spans="1:22">
      <c r="A32" s="106"/>
    </row>
    <row r="33" spans="1:22">
      <c r="A33" s="106"/>
    </row>
    <row r="34" spans="1:22">
      <c r="A34" s="90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</row>
    <row r="35" spans="1:22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</row>
    <row r="36" spans="1:22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:22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</row>
    <row r="39" spans="1:22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</row>
    <row r="40" spans="1:22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</row>
    <row r="41" spans="1:22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</row>
  </sheetData>
  <mergeCells count="9">
    <mergeCell ref="A1:U1"/>
    <mergeCell ref="B4:D4"/>
    <mergeCell ref="M7:R7"/>
    <mergeCell ref="T7:U7"/>
    <mergeCell ref="J3:R3"/>
    <mergeCell ref="F3:H3"/>
    <mergeCell ref="F4:H4"/>
    <mergeCell ref="F5:H5"/>
    <mergeCell ref="J5:L5"/>
  </mergeCells>
  <pageMargins left="0.7" right="0.7" top="0.75" bottom="0.75" header="0.3" footer="0.3"/>
  <pageSetup scale="55" orientation="landscape" r:id="rId1"/>
  <headerFooter>
    <oddHeader>&amp;C
EXHIBIT 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"/>
  <sheetViews>
    <sheetView view="pageLayout" topLeftCell="B1" zoomScaleNormal="100" workbookViewId="0">
      <selection activeCell="B21" sqref="B21"/>
    </sheetView>
  </sheetViews>
  <sheetFormatPr defaultRowHeight="15"/>
  <cols>
    <col min="2" max="2" width="34.5703125" customWidth="1"/>
    <col min="3" max="13" width="12.7109375" customWidth="1"/>
  </cols>
  <sheetData>
    <row r="1" spans="2:13">
      <c r="B1" s="150" t="s">
        <v>72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2:13">
      <c r="B2" s="150" t="s">
        <v>83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4" spans="2:13">
      <c r="B4" s="73" t="s">
        <v>82</v>
      </c>
      <c r="C4" s="151" t="s">
        <v>0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2:13">
      <c r="C5" s="72">
        <v>2012</v>
      </c>
      <c r="D5" s="72">
        <v>2013</v>
      </c>
      <c r="E5" s="72">
        <v>2014</v>
      </c>
      <c r="F5" s="72">
        <v>2015</v>
      </c>
      <c r="G5" s="72">
        <v>2016</v>
      </c>
      <c r="H5" s="72">
        <v>2017</v>
      </c>
      <c r="I5" s="72">
        <v>2018</v>
      </c>
      <c r="J5" s="72">
        <v>2019</v>
      </c>
      <c r="K5" s="72">
        <v>2020</v>
      </c>
      <c r="L5" s="72">
        <v>2021</v>
      </c>
      <c r="M5" s="72" t="s">
        <v>1</v>
      </c>
    </row>
    <row r="6" spans="2:13">
      <c r="B6" t="s">
        <v>3</v>
      </c>
      <c r="C6" s="1"/>
      <c r="D6" s="1">
        <f>C12</f>
        <v>-1173958.3333333335</v>
      </c>
      <c r="E6" s="1">
        <f t="shared" ref="E6" si="0">D12</f>
        <v>-2888391.7437700713</v>
      </c>
      <c r="F6" s="1">
        <f t="shared" ref="F6" si="1">E12</f>
        <v>-3158899.2691502799</v>
      </c>
      <c r="G6" s="1">
        <f t="shared" ref="G6" si="2">F12</f>
        <v>-3420235.6274755849</v>
      </c>
      <c r="H6" s="1">
        <f t="shared" ref="H6" si="3">G12</f>
        <v>-1726771.519581296</v>
      </c>
      <c r="I6" s="1">
        <f t="shared" ref="I6" si="4">H12</f>
        <v>1848074.2952679717</v>
      </c>
      <c r="J6" s="1">
        <f t="shared" ref="J6" si="5">I12</f>
        <v>3455159.3323617023</v>
      </c>
      <c r="K6" s="1">
        <f t="shared" ref="K6" si="6">J12</f>
        <v>3951015.9729131111</v>
      </c>
      <c r="L6" s="1">
        <f t="shared" ref="L6" si="7">K12</f>
        <v>2879837.7190822102</v>
      </c>
      <c r="M6" s="1"/>
    </row>
    <row r="7" spans="2:13">
      <c r="B7" t="s">
        <v>4</v>
      </c>
      <c r="C7" s="1"/>
      <c r="D7" s="1">
        <f>'Exhibit C - Expenditures'!$U$10</f>
        <v>4194751.3610348543</v>
      </c>
      <c r="E7" s="1">
        <f>'Exhibit C - Expenditures'!$U$11</f>
        <v>5563035.162975207</v>
      </c>
      <c r="F7" s="1">
        <f>'Exhibit C - Expenditures'!$U$12</f>
        <v>7225543.7455407828</v>
      </c>
      <c r="G7" s="1">
        <f>'Exhibit C - Expenditures'!$U$13</f>
        <v>8968620.3483435139</v>
      </c>
      <c r="H7" s="1">
        <f>'Exhibit C - Expenditures'!$U$14</f>
        <v>10542998.75093065</v>
      </c>
      <c r="I7" s="1">
        <f>'Exhibit C - Expenditures'!$U$15</f>
        <v>5448247.3898957958</v>
      </c>
      <c r="J7" s="1">
        <f>'Exhibit C - Expenditures'!$U$16</f>
        <v>4379963.5879554441</v>
      </c>
      <c r="K7" s="1">
        <f>'Exhibit C - Expenditures'!$U$17</f>
        <v>2967455.0053898669</v>
      </c>
      <c r="L7" s="1">
        <f>'Exhibit C - Expenditures'!$U$18</f>
        <v>1424378.402587136</v>
      </c>
      <c r="M7" s="1">
        <f>SUM(C7:L7)</f>
        <v>50714993.75465326</v>
      </c>
    </row>
    <row r="8" spans="2:13">
      <c r="B8" t="s">
        <v>5</v>
      </c>
      <c r="C8" s="1">
        <v>125000</v>
      </c>
      <c r="D8" s="1">
        <f t="shared" ref="D8:L8" si="8">D7*((($M7*0.1)-$C8)/$M7)</f>
        <v>409136.10456054565</v>
      </c>
      <c r="E8" s="1">
        <f t="shared" si="8"/>
        <v>542592.00134129345</v>
      </c>
      <c r="F8" s="1">
        <f t="shared" si="8"/>
        <v>704745.18438515067</v>
      </c>
      <c r="G8" s="1">
        <f t="shared" si="8"/>
        <v>874756.58907670353</v>
      </c>
      <c r="H8" s="1">
        <f t="shared" si="8"/>
        <v>1028313.9733646356</v>
      </c>
      <c r="I8" s="1">
        <f t="shared" si="8"/>
        <v>531396.14769305626</v>
      </c>
      <c r="J8" s="1">
        <f t="shared" si="8"/>
        <v>427200.82461598644</v>
      </c>
      <c r="K8" s="1">
        <f t="shared" si="8"/>
        <v>289431.45299186069</v>
      </c>
      <c r="L8" s="1">
        <f t="shared" si="8"/>
        <v>138927.09743609311</v>
      </c>
      <c r="M8" s="1">
        <f>SUM(C8:L8)</f>
        <v>5071499.3754653251</v>
      </c>
    </row>
    <row r="9" spans="2:13">
      <c r="B9" t="s">
        <v>103</v>
      </c>
      <c r="C9" s="1">
        <f>C7+C8</f>
        <v>125000</v>
      </c>
      <c r="D9" s="1">
        <f t="shared" ref="D9:L9" si="9">D7+D8</f>
        <v>4603887.4655954</v>
      </c>
      <c r="E9" s="1">
        <f t="shared" si="9"/>
        <v>6105627.1643165005</v>
      </c>
      <c r="F9" s="1">
        <f t="shared" si="9"/>
        <v>7930288.9299259335</v>
      </c>
      <c r="G9" s="1">
        <f t="shared" si="9"/>
        <v>9843376.9374202173</v>
      </c>
      <c r="H9" s="1">
        <f t="shared" si="9"/>
        <v>11571312.724295286</v>
      </c>
      <c r="I9" s="1">
        <f t="shared" si="9"/>
        <v>5979643.5375888525</v>
      </c>
      <c r="J9" s="1">
        <f t="shared" si="9"/>
        <v>4807164.4125714302</v>
      </c>
      <c r="K9" s="1">
        <f t="shared" si="9"/>
        <v>3256886.4583817273</v>
      </c>
      <c r="L9" s="1">
        <f t="shared" si="9"/>
        <v>1563305.500023229</v>
      </c>
      <c r="M9" s="1">
        <f t="shared" ref="M9:M11" si="10">SUM(C9:L9)</f>
        <v>55786493.130118579</v>
      </c>
    </row>
    <row r="10" spans="2:13">
      <c r="B10" t="s">
        <v>6</v>
      </c>
      <c r="C10" s="3">
        <f>D10/12*2.5</f>
        <v>-1291666.6666666667</v>
      </c>
      <c r="D10" s="3">
        <v>-6200000</v>
      </c>
      <c r="E10" s="3">
        <v>-6200000</v>
      </c>
      <c r="F10" s="4">
        <v>-8000000</v>
      </c>
      <c r="G10" s="4">
        <v>-8000000</v>
      </c>
      <c r="H10" s="4">
        <v>-8000000</v>
      </c>
      <c r="I10" s="74">
        <f>-(($M9+SUM($C10:$H10))+$C16)/4</f>
        <v>-4527021.6158629768</v>
      </c>
      <c r="J10" s="74">
        <f t="shared" ref="J10:L10" si="11">-(($M9+SUM($C10:$H10))+$C16)/4</f>
        <v>-4527021.6158629768</v>
      </c>
      <c r="K10" s="74">
        <f t="shared" si="11"/>
        <v>-4527021.6158629768</v>
      </c>
      <c r="L10" s="74">
        <f t="shared" si="11"/>
        <v>-4527021.6158629768</v>
      </c>
      <c r="M10" s="1">
        <f t="shared" si="10"/>
        <v>-55799753.130118594</v>
      </c>
    </row>
    <row r="11" spans="2:13">
      <c r="B11" t="s">
        <v>7</v>
      </c>
      <c r="C11" s="1">
        <f>(C9+C10)*0.06*(2.5/12)*0.5</f>
        <v>-7291.666666666667</v>
      </c>
      <c r="D11" s="1">
        <f>D6*0.06+((D9+D10)*0.06*0.5)</f>
        <v>-118320.876032138</v>
      </c>
      <c r="E11" s="1">
        <f t="shared" ref="E11:L11" si="12">E6*0.06+((E9+E10)*0.06*0.5)</f>
        <v>-176134.68969670925</v>
      </c>
      <c r="F11" s="1">
        <f t="shared" si="12"/>
        <v>-191625.28825123879</v>
      </c>
      <c r="G11" s="1">
        <f t="shared" si="12"/>
        <v>-149912.82952592857</v>
      </c>
      <c r="H11" s="1">
        <f t="shared" si="12"/>
        <v>3533.09055398083</v>
      </c>
      <c r="I11" s="1">
        <f t="shared" si="12"/>
        <v>154463.11536785457</v>
      </c>
      <c r="J11" s="1">
        <f t="shared" si="12"/>
        <v>215713.84384295574</v>
      </c>
      <c r="K11" s="1">
        <f t="shared" si="12"/>
        <v>198956.90365034918</v>
      </c>
      <c r="L11" s="1">
        <f t="shared" si="12"/>
        <v>83878.779669740179</v>
      </c>
      <c r="M11" s="1">
        <f t="shared" si="10"/>
        <v>13260.382912199246</v>
      </c>
    </row>
    <row r="12" spans="2:13">
      <c r="B12" t="s">
        <v>2</v>
      </c>
      <c r="C12" s="1">
        <f>C6+C9+C10+C11</f>
        <v>-1173958.3333333335</v>
      </c>
      <c r="D12" s="1">
        <f>D6+D9+D10+D11</f>
        <v>-2888391.7437700713</v>
      </c>
      <c r="E12" s="1">
        <f t="shared" ref="E12:M12" si="13">E6+E9+E10+E11</f>
        <v>-3158899.2691502799</v>
      </c>
      <c r="F12" s="1">
        <f t="shared" si="13"/>
        <v>-3420235.6274755849</v>
      </c>
      <c r="G12" s="1">
        <f t="shared" si="13"/>
        <v>-1726771.519581296</v>
      </c>
      <c r="H12" s="1">
        <f t="shared" si="13"/>
        <v>1848074.2952679717</v>
      </c>
      <c r="I12" s="1">
        <f t="shared" si="13"/>
        <v>3455159.3323617023</v>
      </c>
      <c r="J12" s="1">
        <f t="shared" si="13"/>
        <v>3951015.9729131111</v>
      </c>
      <c r="K12" s="1">
        <f t="shared" si="13"/>
        <v>2879837.7190822102</v>
      </c>
      <c r="L12" s="1">
        <f t="shared" si="13"/>
        <v>0.3829122026800178</v>
      </c>
      <c r="M12" s="1">
        <f t="shared" si="13"/>
        <v>0.38291218434460461</v>
      </c>
    </row>
    <row r="13" spans="2:13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>
      <c r="B14" t="s">
        <v>9</v>
      </c>
      <c r="C14" s="1">
        <f>M11</f>
        <v>13260.382912199246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>
      <c r="B15" t="s">
        <v>8</v>
      </c>
      <c r="C15" s="1">
        <f>NPV(0.06,C11,D11,E11,F11,G11,H11,I11,J11,K11,L11)</f>
        <v>-118720.15933482339</v>
      </c>
      <c r="D15" s="2"/>
      <c r="E15" s="2"/>
      <c r="F15" s="2"/>
      <c r="G15" s="2"/>
      <c r="H15" s="2"/>
      <c r="I15" s="2"/>
      <c r="J15" s="2"/>
      <c r="K15" s="2"/>
      <c r="L15" s="2"/>
      <c r="M15" s="1"/>
    </row>
    <row r="16" spans="2:13" hidden="1">
      <c r="B16" t="s">
        <v>10</v>
      </c>
      <c r="C16" s="1">
        <v>13260</v>
      </c>
    </row>
  </sheetData>
  <mergeCells count="3">
    <mergeCell ref="B1:M1"/>
    <mergeCell ref="B2:M2"/>
    <mergeCell ref="C4:M4"/>
  </mergeCells>
  <pageMargins left="0.7" right="0.7" top="0.75" bottom="0.75" header="0.3" footer="0.3"/>
  <pageSetup scale="66" orientation="landscape" r:id="rId1"/>
  <headerFooter>
    <oddHeader>&amp;C
EXHIBIT 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view="pageBreakPreview" topLeftCell="D5" zoomScale="60" zoomScaleNormal="100" workbookViewId="0">
      <selection activeCell="U37" sqref="U37"/>
    </sheetView>
  </sheetViews>
  <sheetFormatPr defaultRowHeight="15.75"/>
  <cols>
    <col min="1" max="1" width="5.28515625" style="5" customWidth="1"/>
    <col min="2" max="2" width="1.85546875" style="5" customWidth="1"/>
    <col min="3" max="3" width="46.42578125" style="5" customWidth="1"/>
    <col min="4" max="4" width="2" style="6" customWidth="1"/>
    <col min="5" max="5" width="8.85546875" style="5" customWidth="1"/>
    <col min="6" max="6" width="2" style="6" customWidth="1"/>
    <col min="7" max="7" width="15.140625" style="6" customWidth="1"/>
    <col min="8" max="8" width="3" style="6" customWidth="1"/>
    <col min="9" max="9" width="14" style="7" bestFit="1" customWidth="1"/>
    <col min="10" max="10" width="2" style="6" customWidth="1"/>
    <col min="11" max="11" width="20.42578125" style="6" bestFit="1" customWidth="1"/>
    <col min="12" max="12" width="3.28515625" style="6" customWidth="1"/>
    <col min="13" max="13" width="15.140625" style="7" customWidth="1"/>
    <col min="14" max="14" width="2.7109375" style="6" customWidth="1"/>
    <col min="15" max="15" width="13" style="7" customWidth="1"/>
    <col min="16" max="16" width="3" style="7" customWidth="1"/>
    <col min="17" max="17" width="11.28515625" style="79" customWidth="1"/>
    <col min="18" max="18" width="3.140625" style="79" customWidth="1"/>
    <col min="19" max="19" width="15.140625" style="6" customWidth="1"/>
    <col min="20" max="21" width="10.42578125" style="5" bestFit="1" customWidth="1"/>
    <col min="22" max="16384" width="9.140625" style="5"/>
  </cols>
  <sheetData>
    <row r="1" spans="1:19">
      <c r="A1" s="67" t="s">
        <v>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s="71" customFormat="1">
      <c r="A2" s="67" t="s">
        <v>101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s="71" customFormat="1">
      <c r="A3" s="67" t="s">
        <v>71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s="71" customFormat="1">
      <c r="A4" s="67" t="s">
        <v>70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s="71" customFormat="1">
      <c r="A5" s="67" t="s">
        <v>69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>
      <c r="A6" s="67"/>
      <c r="B6" s="69"/>
      <c r="C6" s="69"/>
      <c r="D6" s="69"/>
      <c r="E6" s="69"/>
      <c r="F6" s="69"/>
      <c r="G6" s="69"/>
      <c r="H6" s="69"/>
      <c r="I6" s="70"/>
      <c r="J6" s="69"/>
      <c r="K6" s="69"/>
      <c r="L6" s="69"/>
      <c r="M6" s="70"/>
      <c r="N6" s="69"/>
      <c r="O6" s="70"/>
      <c r="P6" s="70"/>
      <c r="Q6" s="75"/>
      <c r="R6" s="75"/>
      <c r="S6" s="69"/>
    </row>
    <row r="7" spans="1:19">
      <c r="A7" s="67"/>
      <c r="B7" s="67"/>
      <c r="C7" s="67"/>
      <c r="D7" s="66"/>
      <c r="E7" s="67"/>
      <c r="F7" s="66"/>
      <c r="G7" s="68"/>
      <c r="H7" s="68"/>
      <c r="I7" s="65"/>
      <c r="J7" s="66"/>
      <c r="K7" s="68"/>
      <c r="L7" s="68"/>
      <c r="M7" s="65"/>
      <c r="N7" s="68"/>
      <c r="O7" s="65"/>
      <c r="P7" s="65"/>
      <c r="Q7" s="76"/>
      <c r="R7" s="76"/>
      <c r="S7" s="68"/>
    </row>
    <row r="8" spans="1:19" ht="15.75" customHeight="1">
      <c r="A8" s="67"/>
      <c r="B8" s="67"/>
      <c r="C8" s="67"/>
      <c r="D8" s="66"/>
      <c r="E8" s="67"/>
      <c r="F8" s="66"/>
      <c r="I8" s="65"/>
      <c r="J8" s="66"/>
      <c r="M8" s="65"/>
      <c r="O8" s="154" t="s">
        <v>81</v>
      </c>
      <c r="P8" s="154"/>
      <c r="Q8" s="154"/>
      <c r="R8" s="154"/>
      <c r="S8" s="154"/>
    </row>
    <row r="9" spans="1:19">
      <c r="D9" s="63"/>
      <c r="E9" s="87"/>
      <c r="F9" s="63"/>
      <c r="G9" s="62"/>
      <c r="H9" s="62"/>
      <c r="I9" s="64" t="s">
        <v>68</v>
      </c>
      <c r="J9" s="63"/>
      <c r="K9" s="88" t="s">
        <v>67</v>
      </c>
      <c r="L9" s="88"/>
      <c r="M9" s="88" t="s">
        <v>66</v>
      </c>
      <c r="N9" s="88"/>
      <c r="O9" s="152" t="s">
        <v>65</v>
      </c>
      <c r="P9" s="152"/>
      <c r="Q9" s="152"/>
      <c r="R9" s="152"/>
      <c r="S9" s="152"/>
    </row>
    <row r="10" spans="1:19" s="28" customFormat="1">
      <c r="A10" s="28" t="s">
        <v>64</v>
      </c>
      <c r="D10" s="63"/>
      <c r="E10" s="87" t="s">
        <v>63</v>
      </c>
      <c r="F10" s="63"/>
      <c r="G10" s="62" t="s">
        <v>61</v>
      </c>
      <c r="H10" s="62"/>
      <c r="I10" s="86" t="s">
        <v>62</v>
      </c>
      <c r="J10" s="88"/>
      <c r="K10" s="135">
        <v>41194</v>
      </c>
      <c r="L10" s="61"/>
      <c r="M10" s="86" t="s">
        <v>62</v>
      </c>
      <c r="N10" s="61"/>
      <c r="O10" s="153" t="s">
        <v>60</v>
      </c>
      <c r="P10" s="153"/>
      <c r="Q10" s="153"/>
      <c r="R10" s="153"/>
      <c r="S10" s="153"/>
    </row>
    <row r="11" spans="1:19" s="28" customFormat="1">
      <c r="A11" s="28" t="s">
        <v>58</v>
      </c>
      <c r="C11" s="60" t="s">
        <v>59</v>
      </c>
      <c r="E11" s="60" t="s">
        <v>58</v>
      </c>
      <c r="G11" s="58" t="s">
        <v>57</v>
      </c>
      <c r="H11" s="61"/>
      <c r="I11" s="59" t="s">
        <v>56</v>
      </c>
      <c r="K11" s="59" t="s">
        <v>56</v>
      </c>
      <c r="L11" s="61"/>
      <c r="M11" s="59" t="s">
        <v>56</v>
      </c>
      <c r="N11" s="61"/>
      <c r="O11" s="59" t="s">
        <v>56</v>
      </c>
      <c r="P11" s="61"/>
      <c r="Q11" s="77" t="s">
        <v>55</v>
      </c>
      <c r="R11" s="61"/>
      <c r="S11" s="58" t="s">
        <v>54</v>
      </c>
    </row>
    <row r="12" spans="1:19" s="28" customFormat="1">
      <c r="C12" s="57">
        <v>-1</v>
      </c>
      <c r="D12" s="134"/>
      <c r="E12" s="57">
        <f>MIN($A12:D12)-1</f>
        <v>-2</v>
      </c>
      <c r="F12" s="134"/>
      <c r="G12" s="57">
        <f>MIN($A12:F12)-1</f>
        <v>-3</v>
      </c>
      <c r="H12" s="61"/>
      <c r="I12" s="57">
        <f>MIN($A12:H12)-1</f>
        <v>-4</v>
      </c>
      <c r="J12" s="134"/>
      <c r="K12" s="57">
        <f>MIN($A12:J12)-1</f>
        <v>-5</v>
      </c>
      <c r="L12" s="61"/>
      <c r="M12" s="57">
        <f>MIN($A12:L12)-1</f>
        <v>-6</v>
      </c>
      <c r="N12" s="61"/>
      <c r="O12" s="57">
        <f>MIN($A12:N12)-1</f>
        <v>-7</v>
      </c>
      <c r="P12" s="61"/>
      <c r="Q12" s="57">
        <f>MIN($A12:P12)-1</f>
        <v>-8</v>
      </c>
      <c r="R12" s="61"/>
      <c r="S12" s="57">
        <f>MIN($A12:R12)-1</f>
        <v>-9</v>
      </c>
    </row>
    <row r="13" spans="1:19" s="28" customFormat="1">
      <c r="D13" s="54"/>
      <c r="F13" s="54"/>
      <c r="G13" s="55"/>
      <c r="H13" s="55"/>
      <c r="I13" s="56"/>
      <c r="J13" s="54"/>
      <c r="K13" s="54"/>
      <c r="L13" s="54"/>
      <c r="M13" s="133" t="str">
        <f>"(" &amp; -I12&amp; ")+(" &amp; -K12 &amp; ")"</f>
        <v>(4)+(5)</v>
      </c>
      <c r="N13" s="54"/>
      <c r="O13" s="56"/>
      <c r="P13" s="56"/>
      <c r="Q13" s="133" t="str">
        <f>"(" &amp; -O12&amp; ")/(" &amp; -M12 &amp; ")"</f>
        <v>(7)/(6)</v>
      </c>
      <c r="R13" s="78"/>
      <c r="S13" s="133" t="str">
        <f>"(" &amp; -O12&amp; ")/(" &amp; -G12 &amp; ")"</f>
        <v>(7)/(3)</v>
      </c>
    </row>
    <row r="14" spans="1:19" ht="18.75" customHeight="1">
      <c r="C14" s="28" t="s">
        <v>53</v>
      </c>
      <c r="G14" s="53"/>
      <c r="H14" s="53"/>
      <c r="N14" s="53"/>
      <c r="S14" s="53"/>
    </row>
    <row r="15" spans="1:19">
      <c r="A15" s="5">
        <v>1</v>
      </c>
      <c r="C15" s="5" t="s">
        <v>53</v>
      </c>
      <c r="E15" s="41" t="s">
        <v>52</v>
      </c>
      <c r="G15" s="40">
        <v>6618984.2947154995</v>
      </c>
      <c r="H15" s="40"/>
      <c r="I15" s="7">
        <v>649669.90700000001</v>
      </c>
      <c r="K15" s="33">
        <v>39445.23199999996</v>
      </c>
      <c r="L15" s="33"/>
      <c r="M15" s="7">
        <f>I15+K15</f>
        <v>689115.13899999997</v>
      </c>
      <c r="N15" s="40"/>
      <c r="O15" s="33">
        <f>M15*$Q$54</f>
        <v>2354.6132607744671</v>
      </c>
      <c r="P15" s="33"/>
      <c r="Q15" s="79">
        <f>O15/M15</f>
        <v>3.4168647988075435E-3</v>
      </c>
      <c r="S15" s="39">
        <f>ROUND(O18/G18*100,4)</f>
        <v>3.56E-2</v>
      </c>
    </row>
    <row r="16" spans="1:19">
      <c r="A16" s="5">
        <v>2</v>
      </c>
      <c r="C16" s="5" t="s">
        <v>51</v>
      </c>
      <c r="E16" s="41">
        <v>2</v>
      </c>
      <c r="G16" s="40">
        <v>3259.9751844998164</v>
      </c>
      <c r="H16" s="40"/>
      <c r="I16" s="7">
        <v>310.99200000000002</v>
      </c>
      <c r="K16" s="33">
        <v>18.882000000000005</v>
      </c>
      <c r="L16" s="33"/>
      <c r="M16" s="7">
        <f>I16+K16</f>
        <v>329.87400000000002</v>
      </c>
      <c r="N16" s="40"/>
      <c r="O16" s="33">
        <f>M16*$Q$54</f>
        <v>1.1271348586418395</v>
      </c>
      <c r="P16" s="33"/>
      <c r="Q16" s="79">
        <f>O16/M16</f>
        <v>3.416864798807543E-3</v>
      </c>
      <c r="S16" s="39">
        <f>S15</f>
        <v>3.56E-2</v>
      </c>
    </row>
    <row r="17" spans="1:19">
      <c r="A17" s="5">
        <v>3</v>
      </c>
      <c r="C17" s="5" t="s">
        <v>16</v>
      </c>
      <c r="E17" s="38" t="s">
        <v>15</v>
      </c>
      <c r="G17" s="51"/>
      <c r="H17" s="51"/>
      <c r="I17" s="32">
        <v>36.561</v>
      </c>
      <c r="K17" s="43">
        <v>0</v>
      </c>
      <c r="L17" s="43"/>
      <c r="M17" s="32">
        <f>I17+K17</f>
        <v>36.561</v>
      </c>
      <c r="N17" s="51"/>
      <c r="O17" s="43"/>
      <c r="P17" s="43"/>
      <c r="Q17" s="80"/>
      <c r="R17" s="80"/>
      <c r="S17" s="50"/>
    </row>
    <row r="18" spans="1:19">
      <c r="A18" s="5">
        <v>4</v>
      </c>
      <c r="C18" s="28" t="s">
        <v>50</v>
      </c>
      <c r="G18" s="40">
        <v>6622244.2698999997</v>
      </c>
      <c r="H18" s="40"/>
      <c r="I18" s="7">
        <v>650017.46</v>
      </c>
      <c r="K18" s="33">
        <v>39464.113999999943</v>
      </c>
      <c r="L18" s="33"/>
      <c r="M18" s="7">
        <f>I18+K18</f>
        <v>689481.57399999991</v>
      </c>
      <c r="N18" s="40"/>
      <c r="O18" s="33">
        <f>SUM(O15:O17)</f>
        <v>2355.7403956331091</v>
      </c>
      <c r="P18" s="33"/>
      <c r="Q18" s="79">
        <f>O18/M18</f>
        <v>3.4166836134088036E-3</v>
      </c>
      <c r="S18" s="39"/>
    </row>
    <row r="19" spans="1:19" ht="24.75" customHeight="1">
      <c r="C19" s="28" t="s">
        <v>49</v>
      </c>
      <c r="G19" s="40"/>
      <c r="H19" s="40"/>
      <c r="K19" s="33"/>
      <c r="L19" s="33"/>
      <c r="N19" s="40"/>
      <c r="O19" s="33"/>
      <c r="P19" s="33"/>
      <c r="S19" s="39"/>
    </row>
    <row r="20" spans="1:19">
      <c r="A20" s="5">
        <v>5</v>
      </c>
      <c r="C20" s="5" t="s">
        <v>48</v>
      </c>
      <c r="E20" s="52">
        <v>6</v>
      </c>
      <c r="G20" s="40">
        <v>5746434.2788172225</v>
      </c>
      <c r="H20" s="40"/>
      <c r="I20" s="7">
        <v>443566.413</v>
      </c>
      <c r="K20" s="33">
        <v>22495.82799999998</v>
      </c>
      <c r="L20" s="33"/>
      <c r="M20" s="7">
        <f t="shared" ref="M20:M33" si="0">I20+K20</f>
        <v>466062.24099999998</v>
      </c>
      <c r="N20" s="40"/>
      <c r="O20" s="33">
        <f>M20*$Q$54</f>
        <v>1592.4716653262576</v>
      </c>
      <c r="P20" s="33"/>
      <c r="Q20" s="79">
        <f t="shared" ref="Q20:Q33" si="1">O20/M20</f>
        <v>3.416864798807543E-3</v>
      </c>
      <c r="S20" s="39">
        <f>ROUND((O20+O22)/(G20+G22)*100,4)</f>
        <v>2.7699999999999999E-2</v>
      </c>
    </row>
    <row r="21" spans="1:19">
      <c r="A21" s="5">
        <v>6</v>
      </c>
      <c r="C21" s="5" t="s">
        <v>47</v>
      </c>
      <c r="E21" s="41" t="s">
        <v>46</v>
      </c>
      <c r="G21" s="40">
        <v>277735.08199999999</v>
      </c>
      <c r="H21" s="40"/>
      <c r="I21" s="7">
        <v>29859.053</v>
      </c>
      <c r="K21" s="33">
        <v>1514.3260000000009</v>
      </c>
      <c r="L21" s="33"/>
      <c r="M21" s="7">
        <f t="shared" si="0"/>
        <v>31373.379000000001</v>
      </c>
      <c r="N21" s="40"/>
      <c r="O21" s="33">
        <f>M21*$Q$54</f>
        <v>107.1985943247478</v>
      </c>
      <c r="P21" s="33"/>
      <c r="Q21" s="79">
        <f t="shared" si="1"/>
        <v>3.416864798807543E-3</v>
      </c>
      <c r="S21" s="39">
        <f>ROUND(O21/G21*100,4)</f>
        <v>3.8600000000000002E-2</v>
      </c>
    </row>
    <row r="22" spans="1:19">
      <c r="A22" s="5">
        <v>7</v>
      </c>
      <c r="C22" s="5" t="s">
        <v>45</v>
      </c>
      <c r="E22" s="41" t="s">
        <v>44</v>
      </c>
      <c r="G22" s="31">
        <v>21133.17</v>
      </c>
      <c r="H22" s="31"/>
      <c r="I22" s="32">
        <v>1657.327</v>
      </c>
      <c r="K22" s="43">
        <v>84.053000000000111</v>
      </c>
      <c r="L22" s="43"/>
      <c r="M22" s="32">
        <f t="shared" si="0"/>
        <v>1741.38</v>
      </c>
      <c r="N22" s="31"/>
      <c r="O22" s="43">
        <f>M22*$Q$54</f>
        <v>5.9500600233474801</v>
      </c>
      <c r="P22" s="43"/>
      <c r="Q22" s="80">
        <f t="shared" si="1"/>
        <v>3.4168647988075435E-3</v>
      </c>
      <c r="R22" s="80"/>
      <c r="S22" s="29">
        <f>S20</f>
        <v>2.7699999999999999E-2</v>
      </c>
    </row>
    <row r="23" spans="1:19">
      <c r="A23" s="5">
        <v>8</v>
      </c>
      <c r="C23" s="9" t="s">
        <v>43</v>
      </c>
      <c r="G23" s="40">
        <v>6045302.5308172228</v>
      </c>
      <c r="H23" s="40"/>
      <c r="I23" s="7">
        <v>475082.79300000001</v>
      </c>
      <c r="K23" s="33">
        <v>24094.206999999995</v>
      </c>
      <c r="L23" s="33"/>
      <c r="M23" s="7">
        <f t="shared" si="0"/>
        <v>499177</v>
      </c>
      <c r="N23" s="40"/>
      <c r="O23" s="33">
        <f>SUM(O20:O22)</f>
        <v>1705.6203196743529</v>
      </c>
      <c r="P23" s="33"/>
      <c r="Q23" s="79">
        <f t="shared" si="1"/>
        <v>3.416864798807543E-3</v>
      </c>
      <c r="S23" s="39"/>
    </row>
    <row r="24" spans="1:19" ht="23.1" customHeight="1">
      <c r="A24" s="5">
        <v>9</v>
      </c>
      <c r="C24" s="5" t="s">
        <v>42</v>
      </c>
      <c r="E24" s="5">
        <v>8</v>
      </c>
      <c r="G24" s="40">
        <v>2076915.6910000001</v>
      </c>
      <c r="H24" s="40"/>
      <c r="I24" s="7">
        <v>141558.614</v>
      </c>
      <c r="K24" s="33">
        <v>8594.8450000000012</v>
      </c>
      <c r="L24" s="33"/>
      <c r="M24" s="7">
        <f t="shared" si="0"/>
        <v>150153.459</v>
      </c>
      <c r="N24" s="40"/>
      <c r="O24" s="33">
        <f>M24*$Q$54</f>
        <v>513.05406847629172</v>
      </c>
      <c r="P24" s="33"/>
      <c r="Q24" s="79">
        <f t="shared" si="1"/>
        <v>3.4168647988075435E-3</v>
      </c>
      <c r="S24" s="39">
        <f>ROUND((O24+O33*G34/G33)/(G24+G34)*100,4)</f>
        <v>2.4799999999999999E-2</v>
      </c>
    </row>
    <row r="25" spans="1:19" ht="23.1" customHeight="1">
      <c r="A25" s="5">
        <v>10</v>
      </c>
      <c r="C25" s="5" t="s">
        <v>41</v>
      </c>
      <c r="E25" s="5">
        <v>9</v>
      </c>
      <c r="G25" s="40">
        <v>4538067.2419739999</v>
      </c>
      <c r="H25" s="40"/>
      <c r="I25" s="7">
        <v>226409.34400000001</v>
      </c>
      <c r="K25" s="33">
        <v>13746.625999999989</v>
      </c>
      <c r="L25" s="33"/>
      <c r="M25" s="7">
        <f t="shared" si="0"/>
        <v>240155.97</v>
      </c>
      <c r="N25" s="40"/>
      <c r="O25" s="33">
        <f>M25*$Q$54</f>
        <v>820.58048011648032</v>
      </c>
      <c r="P25" s="33"/>
      <c r="Q25" s="79">
        <f t="shared" si="1"/>
        <v>3.416864798807543E-3</v>
      </c>
      <c r="S25" s="39">
        <f>ROUND((O25+O33*G35/G33+O38)/(G25+G35+G38)*100,4)</f>
        <v>1.7500000000000002E-2</v>
      </c>
    </row>
    <row r="26" spans="1:19">
      <c r="A26" s="5">
        <v>11</v>
      </c>
      <c r="C26" s="5" t="s">
        <v>40</v>
      </c>
      <c r="E26" s="41" t="s">
        <v>39</v>
      </c>
      <c r="G26" s="31">
        <v>42717.705999999998</v>
      </c>
      <c r="H26" s="31"/>
      <c r="I26" s="32">
        <v>2911.8290000000002</v>
      </c>
      <c r="K26" s="43">
        <v>176.79399999999987</v>
      </c>
      <c r="L26" s="43"/>
      <c r="M26" s="32">
        <f t="shared" si="0"/>
        <v>3088.623</v>
      </c>
      <c r="N26" s="31"/>
      <c r="O26" s="43">
        <f>M26*$Q$54</f>
        <v>10.55340720548735</v>
      </c>
      <c r="P26" s="43"/>
      <c r="Q26" s="80">
        <f t="shared" si="1"/>
        <v>3.416864798807543E-3</v>
      </c>
      <c r="R26" s="80"/>
      <c r="S26" s="29">
        <f>ROUND(O26/G26*100,4)</f>
        <v>2.47E-2</v>
      </c>
    </row>
    <row r="27" spans="1:19">
      <c r="A27" s="5">
        <v>12</v>
      </c>
      <c r="C27" s="9" t="s">
        <v>38</v>
      </c>
      <c r="G27" s="40">
        <v>4580784.9479740001</v>
      </c>
      <c r="H27" s="40"/>
      <c r="I27" s="7">
        <v>229321.17300000001</v>
      </c>
      <c r="K27" s="33">
        <v>13923.419999999984</v>
      </c>
      <c r="L27" s="33"/>
      <c r="M27" s="7">
        <f t="shared" si="0"/>
        <v>243244.59299999999</v>
      </c>
      <c r="N27" s="40"/>
      <c r="O27" s="33">
        <f>SUM(O25:O26)</f>
        <v>831.13388732196768</v>
      </c>
      <c r="P27" s="33"/>
      <c r="Q27" s="79">
        <f t="shared" si="1"/>
        <v>3.416864798807543E-3</v>
      </c>
      <c r="S27" s="39"/>
    </row>
    <row r="28" spans="1:19" ht="23.1" customHeight="1">
      <c r="A28" s="5">
        <v>13</v>
      </c>
      <c r="C28" s="5" t="s">
        <v>37</v>
      </c>
      <c r="E28" s="41">
        <v>10</v>
      </c>
      <c r="G28" s="40">
        <v>170955.53200000001</v>
      </c>
      <c r="H28" s="40"/>
      <c r="I28" s="7">
        <v>11991.091</v>
      </c>
      <c r="K28" s="33">
        <v>728.04899999999907</v>
      </c>
      <c r="L28" s="33"/>
      <c r="M28" s="7">
        <f t="shared" si="0"/>
        <v>12719.14</v>
      </c>
      <c r="N28" s="40"/>
      <c r="O28" s="33">
        <f>M28*$Q$54</f>
        <v>43.459581737104969</v>
      </c>
      <c r="P28" s="33"/>
      <c r="Q28" s="79">
        <f t="shared" si="1"/>
        <v>3.416864798807543E-3</v>
      </c>
      <c r="S28" s="39">
        <f>ROUND(O30/G30*100,4)</f>
        <v>2.5499999999999998E-2</v>
      </c>
    </row>
    <row r="29" spans="1:19">
      <c r="A29" s="5">
        <v>14</v>
      </c>
      <c r="C29" s="5" t="s">
        <v>36</v>
      </c>
      <c r="E29" s="41" t="s">
        <v>35</v>
      </c>
      <c r="G29" s="31">
        <v>16324.472</v>
      </c>
      <c r="H29" s="31"/>
      <c r="I29" s="32">
        <v>1183.432</v>
      </c>
      <c r="K29" s="43">
        <v>71.853000000000065</v>
      </c>
      <c r="L29" s="43"/>
      <c r="M29" s="32">
        <f t="shared" si="0"/>
        <v>1255.2850000000001</v>
      </c>
      <c r="N29" s="31"/>
      <c r="O29" s="43">
        <f>M29*$Q$54</f>
        <v>4.2891391289711267</v>
      </c>
      <c r="P29" s="43"/>
      <c r="Q29" s="80">
        <f t="shared" si="1"/>
        <v>3.416864798807543E-3</v>
      </c>
      <c r="R29" s="80"/>
      <c r="S29" s="29">
        <f>S28</f>
        <v>2.5499999999999998E-2</v>
      </c>
    </row>
    <row r="30" spans="1:19">
      <c r="A30" s="5">
        <v>15</v>
      </c>
      <c r="C30" s="9" t="s">
        <v>34</v>
      </c>
      <c r="G30" s="40">
        <v>187280.00400000002</v>
      </c>
      <c r="H30" s="40"/>
      <c r="I30" s="7">
        <v>13174.523000000001</v>
      </c>
      <c r="K30" s="33">
        <v>799.90199999999822</v>
      </c>
      <c r="L30" s="33"/>
      <c r="M30" s="7">
        <f t="shared" si="0"/>
        <v>13974.424999999999</v>
      </c>
      <c r="N30" s="40"/>
      <c r="O30" s="33">
        <f>SUM(O28:O29)</f>
        <v>47.748720866076098</v>
      </c>
      <c r="P30" s="33"/>
      <c r="Q30" s="79">
        <f t="shared" si="1"/>
        <v>3.416864798807543E-3</v>
      </c>
      <c r="S30" s="39"/>
    </row>
    <row r="31" spans="1:19" ht="23.1" customHeight="1">
      <c r="A31" s="5">
        <v>16</v>
      </c>
      <c r="C31" s="5" t="s">
        <v>33</v>
      </c>
      <c r="E31" s="5">
        <v>21</v>
      </c>
      <c r="G31" s="40">
        <v>3287.9389999999999</v>
      </c>
      <c r="H31" s="40"/>
      <c r="I31" s="7">
        <v>342.79199999999997</v>
      </c>
      <c r="K31" s="33">
        <v>20.812999999999988</v>
      </c>
      <c r="L31" s="33"/>
      <c r="M31" s="7">
        <f t="shared" si="0"/>
        <v>363.60499999999996</v>
      </c>
      <c r="N31" s="40"/>
      <c r="O31" s="33">
        <f>M31*$Q$54</f>
        <v>1.2423891251704167</v>
      </c>
      <c r="P31" s="33"/>
      <c r="Q31" s="79">
        <f t="shared" si="1"/>
        <v>3.4168647988075435E-3</v>
      </c>
      <c r="S31" s="39">
        <f>ROUND(O31/G31*100,4)</f>
        <v>3.78E-2</v>
      </c>
    </row>
    <row r="32" spans="1:19">
      <c r="A32" s="5">
        <v>17</v>
      </c>
      <c r="C32" s="5" t="s">
        <v>32</v>
      </c>
      <c r="E32" s="52">
        <v>23</v>
      </c>
      <c r="G32" s="40">
        <v>1419326.149632778</v>
      </c>
      <c r="H32" s="40"/>
      <c r="I32" s="7">
        <v>129897.91099999999</v>
      </c>
      <c r="K32" s="33">
        <v>6587.8770000000077</v>
      </c>
      <c r="L32" s="33"/>
      <c r="M32" s="7">
        <f t="shared" si="0"/>
        <v>136485.788</v>
      </c>
      <c r="N32" s="40"/>
      <c r="O32" s="33">
        <f>M32*$Q$54</f>
        <v>466.35348455470898</v>
      </c>
      <c r="P32" s="33"/>
      <c r="Q32" s="79">
        <f t="shared" si="1"/>
        <v>3.416864798807543E-3</v>
      </c>
      <c r="S32" s="39">
        <f>ROUND(O32/G32*100,4)</f>
        <v>3.2899999999999999E-2</v>
      </c>
    </row>
    <row r="33" spans="1:19">
      <c r="A33" s="5">
        <v>18</v>
      </c>
      <c r="C33" s="5" t="s">
        <v>31</v>
      </c>
      <c r="E33" s="5">
        <v>31</v>
      </c>
      <c r="G33" s="40">
        <v>59778.839026000001</v>
      </c>
      <c r="H33" s="40"/>
      <c r="I33" s="7">
        <v>4870.0309999999999</v>
      </c>
      <c r="K33" s="33">
        <v>295.6880000000001</v>
      </c>
      <c r="L33" s="33"/>
      <c r="M33" s="7">
        <f t="shared" si="0"/>
        <v>5165.7190000000001</v>
      </c>
      <c r="N33" s="40"/>
      <c r="O33" s="33">
        <f>M33*$Q$54</f>
        <v>17.650563411631303</v>
      </c>
      <c r="P33" s="33"/>
      <c r="Q33" s="79">
        <f t="shared" si="1"/>
        <v>3.416864798807543E-3</v>
      </c>
      <c r="S33" s="39"/>
    </row>
    <row r="34" spans="1:19">
      <c r="C34" s="9" t="s">
        <v>100</v>
      </c>
      <c r="D34" s="132"/>
      <c r="E34" s="9"/>
      <c r="F34" s="132"/>
      <c r="G34" s="130">
        <v>44119.877026000002</v>
      </c>
      <c r="H34" s="130"/>
      <c r="I34" s="131"/>
      <c r="J34" s="132"/>
      <c r="K34" s="129"/>
      <c r="L34" s="129"/>
      <c r="M34" s="131"/>
      <c r="N34" s="130"/>
      <c r="O34" s="129"/>
      <c r="P34" s="129"/>
      <c r="Q34" s="128"/>
      <c r="R34" s="128"/>
      <c r="S34" s="127">
        <f>S24</f>
        <v>2.4799999999999999E-2</v>
      </c>
    </row>
    <row r="35" spans="1:19">
      <c r="C35" s="9" t="s">
        <v>99</v>
      </c>
      <c r="D35" s="132"/>
      <c r="E35" s="9"/>
      <c r="F35" s="132"/>
      <c r="G35" s="130">
        <f>G33-G34</f>
        <v>15658.962</v>
      </c>
      <c r="H35" s="130"/>
      <c r="I35" s="131"/>
      <c r="J35" s="132"/>
      <c r="K35" s="129"/>
      <c r="L35" s="129"/>
      <c r="M35" s="131"/>
      <c r="N35" s="130"/>
      <c r="O35" s="129"/>
      <c r="P35" s="129"/>
      <c r="Q35" s="128"/>
      <c r="R35" s="128"/>
      <c r="S35" s="127">
        <f>S25</f>
        <v>1.7500000000000002E-2</v>
      </c>
    </row>
    <row r="36" spans="1:19" ht="18" customHeight="1">
      <c r="A36" s="5">
        <v>19</v>
      </c>
      <c r="C36" s="5" t="s">
        <v>30</v>
      </c>
      <c r="E36" s="41" t="s">
        <v>15</v>
      </c>
      <c r="G36" s="40">
        <v>543970.59100000001</v>
      </c>
      <c r="H36" s="40"/>
      <c r="I36" s="7">
        <v>24224.835012471453</v>
      </c>
      <c r="K36" s="33">
        <v>909.60599999999977</v>
      </c>
      <c r="L36" s="33"/>
      <c r="M36" s="7">
        <f t="shared" ref="M36:M41" si="2">I36+K36</f>
        <v>25134.441012471452</v>
      </c>
      <c r="N36" s="40"/>
      <c r="O36" s="33"/>
      <c r="P36" s="33"/>
      <c r="S36" s="39"/>
    </row>
    <row r="37" spans="1:19" ht="19.5" customHeight="1">
      <c r="A37" s="5">
        <v>20</v>
      </c>
      <c r="C37" s="5" t="s">
        <v>29</v>
      </c>
      <c r="E37" s="41" t="s">
        <v>15</v>
      </c>
      <c r="G37" s="40">
        <v>717800.15174999996</v>
      </c>
      <c r="H37" s="40"/>
      <c r="I37" s="7">
        <v>26946.217696695003</v>
      </c>
      <c r="K37" s="33">
        <v>1688.3919999999998</v>
      </c>
      <c r="L37" s="33"/>
      <c r="M37" s="7">
        <f t="shared" si="2"/>
        <v>28634.609696695003</v>
      </c>
      <c r="N37" s="40"/>
      <c r="O37" s="33"/>
      <c r="P37" s="33"/>
      <c r="S37" s="39"/>
    </row>
    <row r="38" spans="1:19">
      <c r="A38" s="5">
        <v>21</v>
      </c>
      <c r="C38" s="5" t="s">
        <v>28</v>
      </c>
      <c r="E38" s="41" t="s">
        <v>15</v>
      </c>
      <c r="G38" s="40">
        <v>1371599.1</v>
      </c>
      <c r="H38" s="40"/>
      <c r="I38" s="7">
        <v>59055.879000000001</v>
      </c>
      <c r="K38" s="33">
        <v>3585.625</v>
      </c>
      <c r="L38" s="33"/>
      <c r="M38" s="7">
        <f t="shared" si="2"/>
        <v>62641.504000000001</v>
      </c>
      <c r="N38" s="40"/>
      <c r="O38" s="33">
        <f>M38*$Q$54</f>
        <v>214.0375499619619</v>
      </c>
      <c r="P38" s="33"/>
      <c r="Q38" s="79">
        <f>O38/M38</f>
        <v>3.416864798807543E-3</v>
      </c>
      <c r="S38" s="39">
        <f>S25</f>
        <v>1.7500000000000002E-2</v>
      </c>
    </row>
    <row r="39" spans="1:19">
      <c r="A39" s="5">
        <v>22</v>
      </c>
      <c r="C39" s="5" t="s">
        <v>16</v>
      </c>
      <c r="E39" s="38" t="s">
        <v>15</v>
      </c>
      <c r="G39" s="51" t="s">
        <v>15</v>
      </c>
      <c r="H39" s="51"/>
      <c r="I39" s="32">
        <v>4490.4250999999995</v>
      </c>
      <c r="K39" s="43">
        <v>0</v>
      </c>
      <c r="L39" s="43"/>
      <c r="M39" s="32">
        <f t="shared" si="2"/>
        <v>4490.4250999999995</v>
      </c>
      <c r="N39" s="51"/>
      <c r="O39" s="43"/>
      <c r="P39" s="43"/>
      <c r="Q39" s="80"/>
      <c r="R39" s="80"/>
      <c r="S39" s="50"/>
    </row>
    <row r="40" spans="1:19">
      <c r="A40" s="5">
        <v>23</v>
      </c>
      <c r="C40" s="28" t="s">
        <v>27</v>
      </c>
      <c r="G40" s="40">
        <v>17006045.944200002</v>
      </c>
      <c r="H40" s="40"/>
      <c r="I40" s="7">
        <v>1108965.1938091666</v>
      </c>
      <c r="K40" s="33">
        <v>60500.375000000233</v>
      </c>
      <c r="L40" s="33"/>
      <c r="M40" s="7">
        <f t="shared" si="2"/>
        <v>1169465.5688091668</v>
      </c>
      <c r="N40" s="40"/>
      <c r="O40" s="33">
        <f>SUM(O20:O22,O24:O26,O28:O29,O31:O39)</f>
        <v>3796.840983392161</v>
      </c>
      <c r="P40" s="33"/>
      <c r="Q40" s="79">
        <f>O40/M40</f>
        <v>3.2466462328244305E-3</v>
      </c>
      <c r="S40" s="39"/>
    </row>
    <row r="41" spans="1:19" ht="31.5">
      <c r="A41" s="5">
        <v>24</v>
      </c>
      <c r="C41" s="49" t="s">
        <v>26</v>
      </c>
      <c r="G41" s="40">
        <v>15744275.201450001</v>
      </c>
      <c r="H41" s="40"/>
      <c r="I41" s="7">
        <v>1053303.716</v>
      </c>
      <c r="K41" s="33">
        <v>57902.377000000328</v>
      </c>
      <c r="L41" s="33"/>
      <c r="M41" s="7">
        <f t="shared" si="2"/>
        <v>1111206.0930000003</v>
      </c>
      <c r="N41" s="40"/>
      <c r="O41" s="33">
        <f>O40-SUM(O36:O37,O39)</f>
        <v>3796.840983392161</v>
      </c>
      <c r="P41" s="33"/>
      <c r="Q41" s="79">
        <f>O41/M41</f>
        <v>3.4168647988075422E-3</v>
      </c>
      <c r="S41" s="39"/>
    </row>
    <row r="42" spans="1:19" ht="28.5" customHeight="1">
      <c r="C42" s="28" t="s">
        <v>25</v>
      </c>
      <c r="G42" s="40"/>
      <c r="H42" s="40"/>
      <c r="K42" s="33">
        <v>0</v>
      </c>
      <c r="L42" s="33"/>
      <c r="N42" s="40"/>
      <c r="O42" s="33"/>
      <c r="P42" s="33"/>
      <c r="S42" s="39"/>
    </row>
    <row r="43" spans="1:19">
      <c r="A43" s="5">
        <v>25</v>
      </c>
      <c r="C43" s="5" t="s">
        <v>24</v>
      </c>
      <c r="E43" s="5">
        <v>7</v>
      </c>
      <c r="G43" s="40">
        <v>12321.574480000001</v>
      </c>
      <c r="H43" s="40"/>
      <c r="I43" s="7">
        <v>2964.7280000000001</v>
      </c>
      <c r="K43" s="33">
        <v>0</v>
      </c>
      <c r="L43" s="33"/>
      <c r="M43" s="7">
        <f t="shared" ref="M43:M54" si="3">I43+K43</f>
        <v>2964.7280000000001</v>
      </c>
      <c r="N43" s="40"/>
      <c r="O43" s="33">
        <f>M43*$Q$54</f>
        <v>10.13007474123909</v>
      </c>
      <c r="P43" s="33"/>
      <c r="Q43" s="79">
        <f t="shared" ref="Q43:Q48" si="4">O43/M43</f>
        <v>3.416864798807543E-3</v>
      </c>
      <c r="S43" s="39">
        <f>ROUND(O43/G43*100,4)</f>
        <v>8.2199999999999995E-2</v>
      </c>
    </row>
    <row r="44" spans="1:19">
      <c r="A44" s="5">
        <v>26</v>
      </c>
      <c r="C44" s="5" t="s">
        <v>23</v>
      </c>
      <c r="E44" s="5">
        <v>11</v>
      </c>
      <c r="G44" s="40">
        <v>17077.687000000002</v>
      </c>
      <c r="H44" s="40"/>
      <c r="I44" s="7">
        <v>5089.2430000000004</v>
      </c>
      <c r="K44" s="33">
        <v>0</v>
      </c>
      <c r="L44" s="33"/>
      <c r="M44" s="7">
        <f t="shared" si="3"/>
        <v>5089.2430000000004</v>
      </c>
      <c r="N44" s="40"/>
      <c r="O44" s="33">
        <f>M44*$Q$54</f>
        <v>17.389255259277697</v>
      </c>
      <c r="P44" s="33"/>
      <c r="Q44" s="79">
        <f t="shared" si="4"/>
        <v>3.4168647988075426E-3</v>
      </c>
      <c r="S44" s="39">
        <f>ROUND(O44/G44*100,4)</f>
        <v>0.1018</v>
      </c>
    </row>
    <row r="45" spans="1:19">
      <c r="A45" s="5">
        <v>27</v>
      </c>
      <c r="C45" s="5" t="s">
        <v>22</v>
      </c>
      <c r="E45" s="5">
        <v>12</v>
      </c>
      <c r="G45" s="48">
        <v>55429.428999999996</v>
      </c>
      <c r="H45" s="48"/>
      <c r="I45" s="7">
        <v>4058.8130000000001</v>
      </c>
      <c r="K45" s="33">
        <v>0</v>
      </c>
      <c r="L45" s="33"/>
      <c r="M45" s="7">
        <f t="shared" si="3"/>
        <v>4058.8130000000001</v>
      </c>
      <c r="N45" s="48"/>
      <c r="O45" s="33">
        <f>M45*$Q$54</f>
        <v>13.86841526464244</v>
      </c>
      <c r="P45" s="33"/>
      <c r="Q45" s="79">
        <f t="shared" si="4"/>
        <v>3.416864798807543E-3</v>
      </c>
      <c r="S45" s="47">
        <f>ROUND(O45/G45*100,4)</f>
        <v>2.5000000000000001E-2</v>
      </c>
    </row>
    <row r="46" spans="1:19">
      <c r="A46" s="25">
        <v>28</v>
      </c>
      <c r="B46" s="25"/>
      <c r="C46" s="25" t="s">
        <v>21</v>
      </c>
      <c r="D46" s="46"/>
      <c r="E46" s="25">
        <v>15</v>
      </c>
      <c r="F46" s="46"/>
      <c r="G46" s="45">
        <v>15717.486000000001</v>
      </c>
      <c r="H46" s="45"/>
      <c r="I46" s="7">
        <v>1144.626</v>
      </c>
      <c r="J46" s="46"/>
      <c r="K46" s="33">
        <v>0</v>
      </c>
      <c r="L46" s="33"/>
      <c r="M46" s="7">
        <f t="shared" si="3"/>
        <v>1144.626</v>
      </c>
      <c r="N46" s="45"/>
      <c r="O46" s="33">
        <f>M46*$Q$54</f>
        <v>3.9110322871998826</v>
      </c>
      <c r="P46" s="33"/>
      <c r="Q46" s="79">
        <f t="shared" si="4"/>
        <v>3.416864798807543E-3</v>
      </c>
      <c r="S46" s="44">
        <f>ROUND(O46/G46*100,4)</f>
        <v>2.4899999999999999E-2</v>
      </c>
    </row>
    <row r="47" spans="1:19">
      <c r="A47" s="5">
        <v>29</v>
      </c>
      <c r="C47" s="5" t="s">
        <v>20</v>
      </c>
      <c r="E47" s="5">
        <v>15</v>
      </c>
      <c r="G47" s="31">
        <v>5662.7629999999999</v>
      </c>
      <c r="H47" s="31"/>
      <c r="I47" s="32">
        <v>584.89400000000001</v>
      </c>
      <c r="K47" s="43">
        <v>35.511999999999944</v>
      </c>
      <c r="L47" s="43"/>
      <c r="M47" s="32">
        <f t="shared" si="3"/>
        <v>620.40599999999995</v>
      </c>
      <c r="N47" s="31"/>
      <c r="O47" s="43">
        <f>M47*$Q$54</f>
        <v>2.1198434223689926</v>
      </c>
      <c r="P47" s="43"/>
      <c r="Q47" s="80">
        <f t="shared" si="4"/>
        <v>3.4168647988075435E-3</v>
      </c>
      <c r="R47" s="80"/>
      <c r="S47" s="29">
        <f>ROUND(O47/G47*100,4)</f>
        <v>3.7400000000000003E-2</v>
      </c>
    </row>
    <row r="48" spans="1:19">
      <c r="A48" s="5">
        <v>30</v>
      </c>
      <c r="C48" s="9" t="s">
        <v>19</v>
      </c>
      <c r="D48" s="42"/>
      <c r="F48" s="42"/>
      <c r="G48" s="40">
        <v>106208.93948</v>
      </c>
      <c r="H48" s="40"/>
      <c r="I48" s="7">
        <v>13842.304</v>
      </c>
      <c r="J48" s="42"/>
      <c r="K48" s="33">
        <v>35.511999999998807</v>
      </c>
      <c r="L48" s="33"/>
      <c r="M48" s="7">
        <f t="shared" si="3"/>
        <v>13877.815999999999</v>
      </c>
      <c r="N48" s="40"/>
      <c r="O48" s="33">
        <f>SUM(O43:O47)</f>
        <v>47.4186209747281</v>
      </c>
      <c r="P48" s="33"/>
      <c r="Q48" s="79">
        <f t="shared" si="4"/>
        <v>3.416864798807543E-3</v>
      </c>
      <c r="S48" s="39"/>
    </row>
    <row r="49" spans="1:19" ht="23.1" customHeight="1">
      <c r="A49" s="5">
        <v>31</v>
      </c>
      <c r="C49" s="5" t="s">
        <v>18</v>
      </c>
      <c r="E49" s="41" t="s">
        <v>15</v>
      </c>
      <c r="G49" s="40">
        <v>7.9721299999999999</v>
      </c>
      <c r="H49" s="40"/>
      <c r="I49" s="7">
        <v>0.60099999999999998</v>
      </c>
      <c r="K49" s="33">
        <v>0</v>
      </c>
      <c r="L49" s="33"/>
      <c r="M49" s="7">
        <f t="shared" si="3"/>
        <v>0.60099999999999998</v>
      </c>
      <c r="N49" s="40"/>
      <c r="O49" s="33"/>
      <c r="P49" s="33"/>
      <c r="S49" s="39"/>
    </row>
    <row r="50" spans="1:19">
      <c r="A50" s="5">
        <v>32</v>
      </c>
      <c r="C50" s="5" t="s">
        <v>17</v>
      </c>
      <c r="E50" s="41" t="s">
        <v>15</v>
      </c>
      <c r="G50" s="40">
        <v>135.42099999999999</v>
      </c>
      <c r="H50" s="40"/>
      <c r="I50" s="7">
        <v>17.277000000000001</v>
      </c>
      <c r="K50" s="33">
        <v>0</v>
      </c>
      <c r="L50" s="33"/>
      <c r="M50" s="7">
        <f t="shared" si="3"/>
        <v>17.277000000000001</v>
      </c>
      <c r="N50" s="40"/>
      <c r="O50" s="33"/>
      <c r="P50" s="33"/>
      <c r="S50" s="39"/>
    </row>
    <row r="51" spans="1:19">
      <c r="A51" s="5">
        <v>33</v>
      </c>
      <c r="C51" s="5" t="s">
        <v>16</v>
      </c>
      <c r="D51" s="37"/>
      <c r="E51" s="38" t="s">
        <v>15</v>
      </c>
      <c r="F51" s="37"/>
      <c r="G51" s="36" t="s">
        <v>15</v>
      </c>
      <c r="H51" s="36"/>
      <c r="I51" s="32">
        <v>4.6616400000000002</v>
      </c>
      <c r="J51" s="37"/>
      <c r="K51" s="33">
        <v>0</v>
      </c>
      <c r="L51" s="33"/>
      <c r="M51" s="32">
        <f t="shared" si="3"/>
        <v>4.6616400000000002</v>
      </c>
      <c r="N51" s="35"/>
      <c r="O51" s="33"/>
      <c r="P51" s="33"/>
      <c r="Q51" s="80"/>
      <c r="R51" s="80"/>
      <c r="S51" s="34"/>
    </row>
    <row r="52" spans="1:19">
      <c r="A52" s="5">
        <v>34</v>
      </c>
      <c r="C52" s="28" t="s">
        <v>14</v>
      </c>
      <c r="E52" s="25"/>
      <c r="G52" s="31">
        <v>106352.33261</v>
      </c>
      <c r="H52" s="31"/>
      <c r="I52" s="32">
        <v>13864.843640000001</v>
      </c>
      <c r="K52" s="30">
        <v>35.511999999998807</v>
      </c>
      <c r="L52" s="43"/>
      <c r="M52" s="32">
        <f t="shared" si="3"/>
        <v>13900.35564</v>
      </c>
      <c r="N52" s="31"/>
      <c r="O52" s="30">
        <f>SUM(O48:O51)</f>
        <v>47.4186209747281</v>
      </c>
      <c r="P52" s="43"/>
      <c r="Q52" s="80">
        <f>O52/M52</f>
        <v>3.4113243000974112E-3</v>
      </c>
      <c r="R52" s="80"/>
      <c r="S52" s="29"/>
    </row>
    <row r="53" spans="1:19" ht="27.75" customHeight="1" thickBot="1">
      <c r="A53" s="5">
        <v>35</v>
      </c>
      <c r="C53" s="28" t="s">
        <v>13</v>
      </c>
      <c r="E53" s="25"/>
      <c r="G53" s="23">
        <v>23734642.546709999</v>
      </c>
      <c r="H53" s="23"/>
      <c r="I53" s="24">
        <v>1772847.4974491666</v>
      </c>
      <c r="K53" s="27">
        <v>100000.00100000016</v>
      </c>
      <c r="L53" s="125"/>
      <c r="M53" s="24">
        <f t="shared" si="3"/>
        <v>1872847.4984491668</v>
      </c>
      <c r="N53" s="23"/>
      <c r="O53" s="27">
        <f>O52+O40+O18</f>
        <v>6199.9999999999982</v>
      </c>
      <c r="P53" s="125"/>
      <c r="Q53" s="81">
        <f>O53/M53</f>
        <v>3.3104670856190805E-3</v>
      </c>
      <c r="R53" s="81"/>
      <c r="S53" s="21"/>
    </row>
    <row r="54" spans="1:19" ht="40.5" customHeight="1" thickTop="1" thickBot="1">
      <c r="A54" s="5">
        <v>36</v>
      </c>
      <c r="C54" s="26" t="s">
        <v>12</v>
      </c>
      <c r="E54" s="25"/>
      <c r="G54" s="23">
        <v>22472728.410829999</v>
      </c>
      <c r="H54" s="23"/>
      <c r="I54" s="24">
        <v>1717126.919</v>
      </c>
      <c r="K54" s="22">
        <v>97402.003000000492</v>
      </c>
      <c r="L54" s="125"/>
      <c r="M54" s="24">
        <f t="shared" si="3"/>
        <v>1814528.9220000005</v>
      </c>
      <c r="N54" s="23"/>
      <c r="O54" s="126">
        <f>-'Exhibit E - Revenues &amp; Balance'!D10/1000</f>
        <v>6200</v>
      </c>
      <c r="P54" s="125"/>
      <c r="Q54" s="81">
        <f>O54/M54</f>
        <v>3.416864798807543E-3</v>
      </c>
      <c r="R54" s="81"/>
      <c r="S54" s="21"/>
    </row>
    <row r="55" spans="1:19" ht="16.5" thickTop="1">
      <c r="A55" s="20"/>
      <c r="B55" s="20"/>
      <c r="C55" s="19"/>
      <c r="D55" s="16"/>
      <c r="E55" s="18"/>
      <c r="F55" s="16"/>
      <c r="G55" s="16"/>
      <c r="H55" s="16"/>
      <c r="I55" s="17"/>
      <c r="J55" s="16"/>
      <c r="K55" s="16"/>
      <c r="L55" s="16"/>
      <c r="M55" s="17"/>
      <c r="N55" s="16"/>
      <c r="O55" s="17"/>
      <c r="P55" s="17"/>
      <c r="Q55" s="82"/>
      <c r="R55" s="82"/>
      <c r="S55" s="16"/>
    </row>
    <row r="56" spans="1:19">
      <c r="A56" s="8"/>
      <c r="B56" s="8"/>
      <c r="C56" s="8"/>
      <c r="D56" s="14"/>
      <c r="E56" s="1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83"/>
      <c r="R56" s="83"/>
      <c r="S56" s="14"/>
    </row>
    <row r="57" spans="1:19" s="10" customFormat="1">
      <c r="A57" s="13"/>
      <c r="F57" s="11"/>
      <c r="G57" s="11"/>
      <c r="H57" s="11"/>
      <c r="I57" s="12"/>
      <c r="J57" s="11"/>
      <c r="K57" s="11"/>
      <c r="L57" s="11"/>
      <c r="M57" s="12"/>
      <c r="N57" s="11"/>
      <c r="O57" s="12"/>
      <c r="P57" s="12"/>
      <c r="Q57" s="84"/>
      <c r="R57" s="84"/>
      <c r="S57" s="11"/>
    </row>
    <row r="58" spans="1:19" s="10" customFormat="1">
      <c r="A58" s="13"/>
      <c r="F58" s="11"/>
      <c r="G58" s="11"/>
      <c r="H58" s="11"/>
      <c r="I58" s="12"/>
      <c r="J58" s="11"/>
      <c r="K58" s="11"/>
      <c r="L58" s="11"/>
      <c r="M58" s="12"/>
      <c r="N58" s="11"/>
      <c r="O58" s="12"/>
      <c r="P58" s="12"/>
      <c r="Q58" s="84"/>
      <c r="R58" s="84"/>
      <c r="S58" s="11"/>
    </row>
    <row r="59" spans="1:19">
      <c r="A59" s="8"/>
      <c r="D59" s="5"/>
    </row>
    <row r="60" spans="1:19">
      <c r="A60" s="8"/>
      <c r="C60" s="9"/>
      <c r="D60" s="5"/>
    </row>
    <row r="61" spans="1:19">
      <c r="A61" s="8"/>
      <c r="D61" s="5"/>
    </row>
    <row r="62" spans="1:19">
      <c r="A62" s="8"/>
      <c r="D62" s="5"/>
    </row>
    <row r="63" spans="1:19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5"/>
      <c r="R63" s="85"/>
      <c r="S63" s="8"/>
    </row>
    <row r="64" spans="1:19">
      <c r="D64" s="5"/>
    </row>
  </sheetData>
  <mergeCells count="3">
    <mergeCell ref="O9:S9"/>
    <mergeCell ref="O10:S10"/>
    <mergeCell ref="O8:S8"/>
  </mergeCells>
  <printOptions horizontalCentered="1"/>
  <pageMargins left="0.2" right="0.2" top="0.75" bottom="0.5" header="0.25" footer="0.25"/>
  <pageSetup scale="54" orientation="portrait" r:id="rId1"/>
  <headerFooter alignWithMargins="0">
    <oddHeader>&amp;C
EXHIBIT 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Exhibit C - Expenditures</vt:lpstr>
      <vt:lpstr>Exhibit E - Revenues &amp; Balance</vt:lpstr>
      <vt:lpstr>Exhibit F -Rate Spread</vt:lpstr>
      <vt:lpstr>Sheet2</vt:lpstr>
      <vt:lpstr>Sheet3</vt:lpstr>
      <vt:lpstr>'Exhibit C - Expenditures'!Print_Area</vt:lpstr>
      <vt:lpstr>'Exhibit F -Rate Spread'!Print_Area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p09653</dc:creator>
  <cp:lastModifiedBy>Melissa Robyn Paschal</cp:lastModifiedBy>
  <cp:lastPrinted>2012-08-09T21:00:49Z</cp:lastPrinted>
  <dcterms:created xsi:type="dcterms:W3CDTF">2012-08-03T02:59:18Z</dcterms:created>
  <dcterms:modified xsi:type="dcterms:W3CDTF">2012-08-14T17:29:26Z</dcterms:modified>
</cp:coreProperties>
</file>