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defaultThemeVersion="124226"/>
  <bookViews>
    <workbookView xWindow="240" yWindow="345" windowWidth="9165" windowHeight="3810" tabRatio="599" activeTab="11"/>
  </bookViews>
  <sheets>
    <sheet name="3.2" sheetId="143" r:id="rId1"/>
    <sheet name="3.3" sheetId="216" r:id="rId2"/>
    <sheet name="3.4" sheetId="217" r:id="rId3"/>
    <sheet name="3.5" sheetId="230" r:id="rId4"/>
    <sheet name="3.5.1" sheetId="228" r:id="rId5"/>
    <sheet name="3.5.2" sheetId="229" r:id="rId6"/>
    <sheet name="3.6" sheetId="197" r:id="rId7"/>
    <sheet name="3.6.1" sheetId="212" r:id="rId8"/>
    <sheet name="3.7" sheetId="220" r:id="rId9"/>
    <sheet name="3.8" sheetId="213" r:id="rId10"/>
    <sheet name="3.9" sheetId="192" r:id="rId11"/>
    <sheet name="3.9.1" sheetId="193" r:id="rId12"/>
    <sheet name="3.9.2" sheetId="191" r:id="rId13"/>
    <sheet name="3.10" sheetId="159" r:id="rId14"/>
    <sheet name="3.10.1" sheetId="215" r:id="rId15"/>
    <sheet name="3.11" sheetId="189" r:id="rId16"/>
    <sheet name="3.12" sheetId="225" r:id="rId17"/>
    <sheet name="3.13" sheetId="226" r:id="rId18"/>
    <sheet name="3.13.1" sheetId="227" r:id="rId19"/>
    <sheet name="3.14" sheetId="178" r:id="rId20"/>
    <sheet name="3.14.1" sheetId="179" r:id="rId21"/>
    <sheet name="3.15" sheetId="222" r:id="rId22"/>
    <sheet name="3.15.1" sheetId="223" r:id="rId23"/>
    <sheet name="3.16" sheetId="221" r:id="rId24"/>
    <sheet name="3.17" sheetId="219" r:id="rId25"/>
    <sheet name="3.17.1" sheetId="218" r:id="rId26"/>
    <sheet name="3.18" sheetId="170" r:id="rId27"/>
    <sheet name="3.18.1" sheetId="224" r:id="rId28"/>
    <sheet name="3.19" sheetId="231" r:id="rId29"/>
  </sheets>
  <definedNames>
    <definedName name="\0">#REF!</definedName>
    <definedName name="\A">#REF!</definedName>
    <definedName name="\C">#REF!</definedName>
    <definedName name="\D">#REF!</definedName>
    <definedName name="\F">#REF!</definedName>
    <definedName name="\L">#REF!</definedName>
    <definedName name="\M">#REF!</definedName>
    <definedName name="\P">#REF!</definedName>
    <definedName name="\R">#REF!</definedName>
    <definedName name="\S">#REF!</definedName>
    <definedName name="\V">#REF!</definedName>
    <definedName name="\X">#REF!</definedName>
    <definedName name="\Z">#REF!</definedName>
    <definedName name="_1">#REF!</definedName>
    <definedName name="_adv1">#REF!</definedName>
    <definedName name="_Fill" hidden="1">#REF!</definedName>
    <definedName name="A">#REF!</definedName>
    <definedName name="AP">#REF!</definedName>
    <definedName name="B">#REF!</definedName>
    <definedName name="C_">#REF!</definedName>
    <definedName name="CODE">#REF!</definedName>
    <definedName name="COG">#REF!</definedName>
    <definedName name="COGA">#REF!</definedName>
    <definedName name="COGB">#REF!</definedName>
    <definedName name="CONS">#REF!</definedName>
    <definedName name="CONS2">#REF!</definedName>
    <definedName name="CREDITA">#REF!</definedName>
    <definedName name="CREDITB">#REF!</definedName>
    <definedName name="CWC">#REF!</definedName>
    <definedName name="CWCB">#REF!</definedName>
    <definedName name="D">#REF!</definedName>
    <definedName name="D_O">#REF!</definedName>
    <definedName name="DEPREC">#REF!</definedName>
    <definedName name="ECON">#REF!</definedName>
    <definedName name="ECONB">#REF!</definedName>
    <definedName name="GAS">#REF!</definedName>
    <definedName name="GRCF">#REF!</definedName>
    <definedName name="HARDWARE">#REF!</definedName>
    <definedName name="HD">#REF!</definedName>
    <definedName name="INFL">#REF!</definedName>
    <definedName name="INSA">#REF!</definedName>
    <definedName name="int">#REF!</definedName>
    <definedName name="KEY">#REF!</definedName>
    <definedName name="LABEL">#REF!</definedName>
    <definedName name="LEARN">#REF!</definedName>
    <definedName name="M_S">#REF!</definedName>
    <definedName name="MAC">#REF!</definedName>
    <definedName name="MAIN">#REF!</definedName>
    <definedName name="NGV">#REF!</definedName>
    <definedName name="noi">#REF!</definedName>
    <definedName name="noib">#REF!</definedName>
    <definedName name="O_M">#REF!</definedName>
    <definedName name="PLANTC">#REF!</definedName>
    <definedName name="PRINT">#REF!</definedName>
    <definedName name="_xlnm.Print_Titles" localSheetId="20">'3.14.1'!$1:$9</definedName>
    <definedName name="_xlnm.Print_Titles" localSheetId="0">'3.2'!$A:$D,'3.2'!$1:$3</definedName>
    <definedName name="PRINTER">#REF!</definedName>
    <definedName name="QPRINT">#REF!</definedName>
    <definedName name="RATE">#REF!</definedName>
    <definedName name="rb">#REF!</definedName>
    <definedName name="revreq">#REF!</definedName>
    <definedName name="ror">#REF!</definedName>
    <definedName name="SCHALL">#REF!</definedName>
    <definedName name="SOFT">#REF!</definedName>
    <definedName name="SQZ">#REF!</definedName>
    <definedName name="TAX">#REF!</definedName>
    <definedName name="ZCURT">#REF!</definedName>
    <definedName name="ZHERE">#REF!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calcId="125725" iterate="1"/>
</workbook>
</file>

<file path=xl/calcChain.xml><?xml version="1.0" encoding="utf-8"?>
<calcChain xmlns="http://schemas.openxmlformats.org/spreadsheetml/2006/main">
  <c r="V57" i="143"/>
  <c r="V48"/>
  <c r="V25"/>
  <c r="V58" l="1"/>
  <c r="V30"/>
  <c r="V29" s="1"/>
  <c r="V34" s="1"/>
  <c r="V35" s="1"/>
  <c r="J30" i="220"/>
  <c r="J27"/>
  <c r="J26"/>
  <c r="I25"/>
  <c r="I28" s="1"/>
  <c r="G24"/>
  <c r="G25" s="1"/>
  <c r="G28" s="1"/>
  <c r="G31" s="1"/>
  <c r="E24"/>
  <c r="E25" s="1"/>
  <c r="E28" s="1"/>
  <c r="E31" s="1"/>
  <c r="C24"/>
  <c r="C25" s="1"/>
  <c r="J23"/>
  <c r="H20"/>
  <c r="H24" s="1"/>
  <c r="H25" s="1"/>
  <c r="H28" s="1"/>
  <c r="H31" s="1"/>
  <c r="G20"/>
  <c r="F20"/>
  <c r="F24" s="1"/>
  <c r="F25" s="1"/>
  <c r="F28" s="1"/>
  <c r="F31" s="1"/>
  <c r="E20"/>
  <c r="D20"/>
  <c r="D24" s="1"/>
  <c r="D25" s="1"/>
  <c r="D28" s="1"/>
  <c r="D31" s="1"/>
  <c r="C20"/>
  <c r="H19"/>
  <c r="G19"/>
  <c r="F19"/>
  <c r="E19"/>
  <c r="D19"/>
  <c r="C19"/>
  <c r="B15"/>
  <c r="B16" s="1"/>
  <c r="B17" s="1"/>
  <c r="C28" l="1"/>
  <c r="C31" s="1"/>
  <c r="J25"/>
  <c r="J28" s="1"/>
  <c r="J31" s="1"/>
  <c r="D32" i="229" l="1"/>
  <c r="E28"/>
  <c r="D28"/>
  <c r="C28"/>
  <c r="D27"/>
  <c r="D26"/>
  <c r="D25"/>
  <c r="D24"/>
  <c r="D23"/>
  <c r="D22"/>
  <c r="D21"/>
  <c r="D20"/>
  <c r="D19"/>
  <c r="D18"/>
  <c r="D17"/>
  <c r="D16"/>
  <c r="G40" i="228" l="1"/>
  <c r="G39"/>
  <c r="G35"/>
  <c r="G34"/>
  <c r="G25"/>
  <c r="G24"/>
  <c r="G23"/>
  <c r="G22"/>
  <c r="G21"/>
  <c r="G20"/>
  <c r="G19"/>
  <c r="G13"/>
  <c r="G12"/>
  <c r="G11"/>
  <c r="G10"/>
  <c r="E41"/>
  <c r="D41"/>
  <c r="E36"/>
  <c r="D36"/>
  <c r="E26"/>
  <c r="E31" s="1"/>
  <c r="D26"/>
  <c r="D31" s="1"/>
  <c r="E14"/>
  <c r="D14"/>
  <c r="D43" l="1"/>
  <c r="G26"/>
  <c r="F26" s="1"/>
  <c r="G14"/>
  <c r="F14" s="1"/>
  <c r="E43"/>
  <c r="G36"/>
  <c r="F36" s="1"/>
  <c r="G41"/>
  <c r="F41" s="1"/>
  <c r="G43" l="1"/>
  <c r="F43" s="1"/>
  <c r="F45" s="1"/>
  <c r="G20" i="230" s="1"/>
  <c r="G21" s="1"/>
  <c r="G23" s="1"/>
  <c r="G11" s="1"/>
  <c r="M11" s="1"/>
  <c r="I45" i="143" s="1"/>
  <c r="W18" l="1"/>
  <c r="G50"/>
  <c r="G37"/>
  <c r="G26"/>
  <c r="G24" i="226"/>
  <c r="G14" s="1"/>
  <c r="M14" s="1"/>
  <c r="P18" i="143" s="1"/>
  <c r="O18"/>
  <c r="G23" i="225"/>
  <c r="G22"/>
  <c r="G14"/>
  <c r="M14" s="1"/>
  <c r="N17" i="143"/>
  <c r="G23" i="189"/>
  <c r="N57" i="143"/>
  <c r="N48"/>
  <c r="N25"/>
  <c r="N13"/>
  <c r="N58" l="1"/>
  <c r="N30"/>
  <c r="N29" s="1"/>
  <c r="N34" s="1"/>
  <c r="N35" s="1"/>
  <c r="M14" i="170"/>
  <c r="H13" i="224"/>
  <c r="H15" s="1"/>
  <c r="G12" i="170" s="1"/>
  <c r="M12" s="1"/>
  <c r="G14" i="219" l="1"/>
  <c r="M14" s="1"/>
  <c r="G12"/>
  <c r="G30" i="218"/>
  <c r="G26"/>
  <c r="G24"/>
  <c r="K21" i="178"/>
  <c r="D216" i="179"/>
  <c r="K20" i="178"/>
  <c r="B212" i="179"/>
  <c r="B216" s="1"/>
  <c r="U57" i="143"/>
  <c r="T57"/>
  <c r="U48"/>
  <c r="U58" s="1"/>
  <c r="T48"/>
  <c r="T58" s="1"/>
  <c r="U25"/>
  <c r="U13"/>
  <c r="T13"/>
  <c r="I57"/>
  <c r="I48"/>
  <c r="I25"/>
  <c r="I13"/>
  <c r="Q13"/>
  <c r="Q48"/>
  <c r="Q57"/>
  <c r="F47" i="191"/>
  <c r="E47"/>
  <c r="D47"/>
  <c r="R20" i="143"/>
  <c r="R24"/>
  <c r="O23" i="222"/>
  <c r="I23"/>
  <c r="I21"/>
  <c r="O21" s="1"/>
  <c r="O19"/>
  <c r="I17"/>
  <c r="O17" s="1"/>
  <c r="O15"/>
  <c r="R21" i="143" s="1"/>
  <c r="D19" i="223"/>
  <c r="D15"/>
  <c r="I13" i="222"/>
  <c r="O13"/>
  <c r="O13" i="221"/>
  <c r="H52" i="143"/>
  <c r="H50"/>
  <c r="H37"/>
  <c r="H26"/>
  <c r="M20" i="217"/>
  <c r="M17"/>
  <c r="M14"/>
  <c r="M11"/>
  <c r="M14" i="216"/>
  <c r="M17"/>
  <c r="G17"/>
  <c r="G24"/>
  <c r="M11"/>
  <c r="G15" i="159"/>
  <c r="M15" s="1"/>
  <c r="M18" i="143" s="1"/>
  <c r="G14" i="159"/>
  <c r="M14" s="1"/>
  <c r="G13"/>
  <c r="H28" i="215"/>
  <c r="H25"/>
  <c r="H20"/>
  <c r="H14"/>
  <c r="K28" i="143"/>
  <c r="K57"/>
  <c r="K48"/>
  <c r="K25"/>
  <c r="K13"/>
  <c r="G23" i="213"/>
  <c r="G11" s="1"/>
  <c r="M11" s="1"/>
  <c r="G21"/>
  <c r="G17" i="159" l="1"/>
  <c r="I58" i="143"/>
  <c r="G16" i="219"/>
  <c r="M12"/>
  <c r="M16" s="1"/>
  <c r="T15" i="143" s="1"/>
  <c r="T25" s="1"/>
  <c r="C209" i="179"/>
  <c r="C201"/>
  <c r="C193"/>
  <c r="C185"/>
  <c r="C177"/>
  <c r="C169"/>
  <c r="C161"/>
  <c r="C153"/>
  <c r="C145"/>
  <c r="C137"/>
  <c r="C129"/>
  <c r="C121"/>
  <c r="C113"/>
  <c r="C105"/>
  <c r="C97"/>
  <c r="C89"/>
  <c r="C81"/>
  <c r="C73"/>
  <c r="C65"/>
  <c r="C57"/>
  <c r="C49"/>
  <c r="C42"/>
  <c r="D42" s="1"/>
  <c r="F42" s="1"/>
  <c r="C38"/>
  <c r="C34"/>
  <c r="D34" s="1"/>
  <c r="F34" s="1"/>
  <c r="C30"/>
  <c r="C26"/>
  <c r="D26" s="1"/>
  <c r="F26" s="1"/>
  <c r="C22"/>
  <c r="C18"/>
  <c r="D18" s="1"/>
  <c r="F18" s="1"/>
  <c r="C14"/>
  <c r="C10"/>
  <c r="C205"/>
  <c r="C197"/>
  <c r="C189"/>
  <c r="C181"/>
  <c r="C173"/>
  <c r="C165"/>
  <c r="C157"/>
  <c r="C149"/>
  <c r="C141"/>
  <c r="C133"/>
  <c r="C125"/>
  <c r="C117"/>
  <c r="C109"/>
  <c r="C101"/>
  <c r="C93"/>
  <c r="C85"/>
  <c r="C77"/>
  <c r="C69"/>
  <c r="C61"/>
  <c r="C53"/>
  <c r="C45"/>
  <c r="C40"/>
  <c r="C36"/>
  <c r="D36" s="1"/>
  <c r="F36" s="1"/>
  <c r="C32"/>
  <c r="C28"/>
  <c r="D28" s="1"/>
  <c r="F28" s="1"/>
  <c r="C24"/>
  <c r="C20"/>
  <c r="D20" s="1"/>
  <c r="F20" s="1"/>
  <c r="C16"/>
  <c r="C12"/>
  <c r="D12" s="1"/>
  <c r="F12" s="1"/>
  <c r="K22" i="178"/>
  <c r="D14" i="179"/>
  <c r="F14" s="1"/>
  <c r="D16"/>
  <c r="F16" s="1"/>
  <c r="D22"/>
  <c r="F22" s="1"/>
  <c r="D24"/>
  <c r="F24" s="1"/>
  <c r="D30"/>
  <c r="F30" s="1"/>
  <c r="D32"/>
  <c r="F32" s="1"/>
  <c r="D38"/>
  <c r="F38" s="1"/>
  <c r="D40"/>
  <c r="F40" s="1"/>
  <c r="D10"/>
  <c r="C210"/>
  <c r="D210" s="1"/>
  <c r="F210" s="1"/>
  <c r="C208"/>
  <c r="D208" s="1"/>
  <c r="F208" s="1"/>
  <c r="C206"/>
  <c r="D206" s="1"/>
  <c r="F206" s="1"/>
  <c r="C204"/>
  <c r="D204" s="1"/>
  <c r="F204" s="1"/>
  <c r="C202"/>
  <c r="D202" s="1"/>
  <c r="F202" s="1"/>
  <c r="C200"/>
  <c r="D200" s="1"/>
  <c r="F200" s="1"/>
  <c r="C198"/>
  <c r="D198" s="1"/>
  <c r="F198" s="1"/>
  <c r="C196"/>
  <c r="D196" s="1"/>
  <c r="F196" s="1"/>
  <c r="C194"/>
  <c r="D194" s="1"/>
  <c r="F194" s="1"/>
  <c r="C192"/>
  <c r="D192" s="1"/>
  <c r="F192" s="1"/>
  <c r="C190"/>
  <c r="D190" s="1"/>
  <c r="F190" s="1"/>
  <c r="C188"/>
  <c r="D188" s="1"/>
  <c r="F188" s="1"/>
  <c r="C186"/>
  <c r="D186" s="1"/>
  <c r="F186" s="1"/>
  <c r="C184"/>
  <c r="D184" s="1"/>
  <c r="F184" s="1"/>
  <c r="C182"/>
  <c r="D182" s="1"/>
  <c r="F182" s="1"/>
  <c r="C180"/>
  <c r="D180" s="1"/>
  <c r="F180" s="1"/>
  <c r="C178"/>
  <c r="D178" s="1"/>
  <c r="F178" s="1"/>
  <c r="C176"/>
  <c r="D176" s="1"/>
  <c r="F176" s="1"/>
  <c r="C174"/>
  <c r="D174" s="1"/>
  <c r="F174" s="1"/>
  <c r="C172"/>
  <c r="D172" s="1"/>
  <c r="F172" s="1"/>
  <c r="C170"/>
  <c r="D170" s="1"/>
  <c r="F170" s="1"/>
  <c r="C168"/>
  <c r="D168" s="1"/>
  <c r="F168" s="1"/>
  <c r="C166"/>
  <c r="D166" s="1"/>
  <c r="F166" s="1"/>
  <c r="C164"/>
  <c r="D164" s="1"/>
  <c r="F164" s="1"/>
  <c r="C162"/>
  <c r="D162" s="1"/>
  <c r="F162" s="1"/>
  <c r="C160"/>
  <c r="D160" s="1"/>
  <c r="F160" s="1"/>
  <c r="C158"/>
  <c r="D158" s="1"/>
  <c r="F158" s="1"/>
  <c r="C156"/>
  <c r="D156" s="1"/>
  <c r="F156" s="1"/>
  <c r="C154"/>
  <c r="D154" s="1"/>
  <c r="F154" s="1"/>
  <c r="C152"/>
  <c r="D152" s="1"/>
  <c r="F152" s="1"/>
  <c r="C150"/>
  <c r="D150" s="1"/>
  <c r="F150" s="1"/>
  <c r="C148"/>
  <c r="D148" s="1"/>
  <c r="F148" s="1"/>
  <c r="C146"/>
  <c r="D146" s="1"/>
  <c r="F146" s="1"/>
  <c r="C144"/>
  <c r="D144" s="1"/>
  <c r="F144" s="1"/>
  <c r="C142"/>
  <c r="D142" s="1"/>
  <c r="F142" s="1"/>
  <c r="C140"/>
  <c r="D140" s="1"/>
  <c r="F140" s="1"/>
  <c r="C138"/>
  <c r="D138" s="1"/>
  <c r="F138" s="1"/>
  <c r="C136"/>
  <c r="D136" s="1"/>
  <c r="F136" s="1"/>
  <c r="C134"/>
  <c r="D134" s="1"/>
  <c r="F134" s="1"/>
  <c r="C132"/>
  <c r="D132" s="1"/>
  <c r="F132" s="1"/>
  <c r="C130"/>
  <c r="D130" s="1"/>
  <c r="F130" s="1"/>
  <c r="C128"/>
  <c r="D128" s="1"/>
  <c r="F128" s="1"/>
  <c r="C126"/>
  <c r="D126" s="1"/>
  <c r="F126" s="1"/>
  <c r="C124"/>
  <c r="D124" s="1"/>
  <c r="F124" s="1"/>
  <c r="C122"/>
  <c r="D122" s="1"/>
  <c r="F122" s="1"/>
  <c r="C120"/>
  <c r="D120" s="1"/>
  <c r="F120" s="1"/>
  <c r="C118"/>
  <c r="D118" s="1"/>
  <c r="F118" s="1"/>
  <c r="C116"/>
  <c r="D116" s="1"/>
  <c r="F116" s="1"/>
  <c r="C114"/>
  <c r="D114" s="1"/>
  <c r="F114" s="1"/>
  <c r="C112"/>
  <c r="D112" s="1"/>
  <c r="F112" s="1"/>
  <c r="C110"/>
  <c r="D110" s="1"/>
  <c r="F110" s="1"/>
  <c r="C108"/>
  <c r="D108" s="1"/>
  <c r="F108" s="1"/>
  <c r="C106"/>
  <c r="D106" s="1"/>
  <c r="F106" s="1"/>
  <c r="C104"/>
  <c r="D104" s="1"/>
  <c r="F104" s="1"/>
  <c r="C102"/>
  <c r="D102" s="1"/>
  <c r="F102" s="1"/>
  <c r="C100"/>
  <c r="D100" s="1"/>
  <c r="F100" s="1"/>
  <c r="C98"/>
  <c r="D98" s="1"/>
  <c r="F98" s="1"/>
  <c r="C96"/>
  <c r="D96" s="1"/>
  <c r="F96" s="1"/>
  <c r="C94"/>
  <c r="D94" s="1"/>
  <c r="F94" s="1"/>
  <c r="C92"/>
  <c r="D92" s="1"/>
  <c r="F92" s="1"/>
  <c r="C90"/>
  <c r="D90" s="1"/>
  <c r="F90" s="1"/>
  <c r="C88"/>
  <c r="D88" s="1"/>
  <c r="F88" s="1"/>
  <c r="C86"/>
  <c r="D86" s="1"/>
  <c r="F86" s="1"/>
  <c r="C84"/>
  <c r="D84" s="1"/>
  <c r="F84" s="1"/>
  <c r="C82"/>
  <c r="D82" s="1"/>
  <c r="F82" s="1"/>
  <c r="C80"/>
  <c r="D80" s="1"/>
  <c r="F80" s="1"/>
  <c r="C78"/>
  <c r="D78" s="1"/>
  <c r="F78" s="1"/>
  <c r="C76"/>
  <c r="D76" s="1"/>
  <c r="F76" s="1"/>
  <c r="C74"/>
  <c r="D74" s="1"/>
  <c r="F74" s="1"/>
  <c r="C72"/>
  <c r="D72" s="1"/>
  <c r="F72" s="1"/>
  <c r="C70"/>
  <c r="D70" s="1"/>
  <c r="F70" s="1"/>
  <c r="C68"/>
  <c r="D68" s="1"/>
  <c r="F68" s="1"/>
  <c r="C66"/>
  <c r="D66" s="1"/>
  <c r="F66" s="1"/>
  <c r="C64"/>
  <c r="D64" s="1"/>
  <c r="F64" s="1"/>
  <c r="C62"/>
  <c r="D62" s="1"/>
  <c r="F62" s="1"/>
  <c r="C60"/>
  <c r="D60" s="1"/>
  <c r="F60" s="1"/>
  <c r="C58"/>
  <c r="D58" s="1"/>
  <c r="F58" s="1"/>
  <c r="C56"/>
  <c r="D56" s="1"/>
  <c r="F56" s="1"/>
  <c r="C54"/>
  <c r="D54" s="1"/>
  <c r="F54" s="1"/>
  <c r="C52"/>
  <c r="D52" s="1"/>
  <c r="F52" s="1"/>
  <c r="C50"/>
  <c r="D50" s="1"/>
  <c r="F50" s="1"/>
  <c r="C48"/>
  <c r="D48" s="1"/>
  <c r="F48" s="1"/>
  <c r="C46"/>
  <c r="D46" s="1"/>
  <c r="F46" s="1"/>
  <c r="C44"/>
  <c r="D44" s="1"/>
  <c r="F44" s="1"/>
  <c r="D209"/>
  <c r="F209" s="1"/>
  <c r="D205"/>
  <c r="F205" s="1"/>
  <c r="D201"/>
  <c r="F201" s="1"/>
  <c r="D197"/>
  <c r="F197" s="1"/>
  <c r="D193"/>
  <c r="F193" s="1"/>
  <c r="D189"/>
  <c r="F189" s="1"/>
  <c r="D185"/>
  <c r="F185" s="1"/>
  <c r="D181"/>
  <c r="F181" s="1"/>
  <c r="D177"/>
  <c r="F177" s="1"/>
  <c r="D173"/>
  <c r="F173" s="1"/>
  <c r="D169"/>
  <c r="F169" s="1"/>
  <c r="D165"/>
  <c r="F165" s="1"/>
  <c r="D161"/>
  <c r="F161" s="1"/>
  <c r="D157"/>
  <c r="F157" s="1"/>
  <c r="D153"/>
  <c r="F153" s="1"/>
  <c r="D149"/>
  <c r="F149" s="1"/>
  <c r="D145"/>
  <c r="F145" s="1"/>
  <c r="D141"/>
  <c r="F141" s="1"/>
  <c r="D137"/>
  <c r="F137" s="1"/>
  <c r="D133"/>
  <c r="F133" s="1"/>
  <c r="D129"/>
  <c r="F129" s="1"/>
  <c r="D125"/>
  <c r="F125" s="1"/>
  <c r="D121"/>
  <c r="F121" s="1"/>
  <c r="D117"/>
  <c r="F117" s="1"/>
  <c r="D113"/>
  <c r="F113" s="1"/>
  <c r="D109"/>
  <c r="F109" s="1"/>
  <c r="D105"/>
  <c r="F105" s="1"/>
  <c r="D101"/>
  <c r="F101" s="1"/>
  <c r="D97"/>
  <c r="F97" s="1"/>
  <c r="D93"/>
  <c r="F93" s="1"/>
  <c r="D89"/>
  <c r="F89" s="1"/>
  <c r="D85"/>
  <c r="F85" s="1"/>
  <c r="D81"/>
  <c r="F81" s="1"/>
  <c r="D77"/>
  <c r="F77" s="1"/>
  <c r="D73"/>
  <c r="F73" s="1"/>
  <c r="D69"/>
  <c r="F69" s="1"/>
  <c r="D65"/>
  <c r="F65" s="1"/>
  <c r="D61"/>
  <c r="F61" s="1"/>
  <c r="D57"/>
  <c r="F57" s="1"/>
  <c r="D53"/>
  <c r="F53" s="1"/>
  <c r="D49"/>
  <c r="F49" s="1"/>
  <c r="D45"/>
  <c r="F45" s="1"/>
  <c r="C11"/>
  <c r="D11" s="1"/>
  <c r="F11" s="1"/>
  <c r="C13"/>
  <c r="D13" s="1"/>
  <c r="F13" s="1"/>
  <c r="C15"/>
  <c r="D15" s="1"/>
  <c r="F15" s="1"/>
  <c r="C17"/>
  <c r="D17" s="1"/>
  <c r="F17" s="1"/>
  <c r="C19"/>
  <c r="D19" s="1"/>
  <c r="F19" s="1"/>
  <c r="C21"/>
  <c r="D21" s="1"/>
  <c r="F21" s="1"/>
  <c r="C23"/>
  <c r="D23" s="1"/>
  <c r="F23" s="1"/>
  <c r="C25"/>
  <c r="D25" s="1"/>
  <c r="F25" s="1"/>
  <c r="C27"/>
  <c r="D27" s="1"/>
  <c r="F27" s="1"/>
  <c r="C29"/>
  <c r="D29" s="1"/>
  <c r="F29" s="1"/>
  <c r="C31"/>
  <c r="D31" s="1"/>
  <c r="F31" s="1"/>
  <c r="C33"/>
  <c r="D33" s="1"/>
  <c r="F33" s="1"/>
  <c r="C35"/>
  <c r="D35" s="1"/>
  <c r="F35" s="1"/>
  <c r="C37"/>
  <c r="D37" s="1"/>
  <c r="F37" s="1"/>
  <c r="C39"/>
  <c r="D39" s="1"/>
  <c r="F39" s="1"/>
  <c r="C41"/>
  <c r="D41" s="1"/>
  <c r="F41" s="1"/>
  <c r="C43"/>
  <c r="D43" s="1"/>
  <c r="F43" s="1"/>
  <c r="C47"/>
  <c r="D47" s="1"/>
  <c r="F47" s="1"/>
  <c r="C51"/>
  <c r="D51" s="1"/>
  <c r="F51" s="1"/>
  <c r="C55"/>
  <c r="D55" s="1"/>
  <c r="F55" s="1"/>
  <c r="C59"/>
  <c r="D59" s="1"/>
  <c r="F59" s="1"/>
  <c r="C63"/>
  <c r="D63" s="1"/>
  <c r="F63" s="1"/>
  <c r="C67"/>
  <c r="D67" s="1"/>
  <c r="F67" s="1"/>
  <c r="C71"/>
  <c r="D71" s="1"/>
  <c r="F71" s="1"/>
  <c r="C75"/>
  <c r="D75" s="1"/>
  <c r="F75" s="1"/>
  <c r="C79"/>
  <c r="D79" s="1"/>
  <c r="F79" s="1"/>
  <c r="C83"/>
  <c r="D83" s="1"/>
  <c r="F83" s="1"/>
  <c r="C87"/>
  <c r="D87" s="1"/>
  <c r="F87" s="1"/>
  <c r="C91"/>
  <c r="D91" s="1"/>
  <c r="F91" s="1"/>
  <c r="C95"/>
  <c r="D95" s="1"/>
  <c r="F95" s="1"/>
  <c r="C99"/>
  <c r="D99" s="1"/>
  <c r="F99" s="1"/>
  <c r="C103"/>
  <c r="D103" s="1"/>
  <c r="F103" s="1"/>
  <c r="C107"/>
  <c r="D107" s="1"/>
  <c r="F107" s="1"/>
  <c r="C111"/>
  <c r="D111" s="1"/>
  <c r="F111" s="1"/>
  <c r="C115"/>
  <c r="D115" s="1"/>
  <c r="F115" s="1"/>
  <c r="C119"/>
  <c r="D119" s="1"/>
  <c r="F119" s="1"/>
  <c r="C123"/>
  <c r="D123" s="1"/>
  <c r="F123" s="1"/>
  <c r="C127"/>
  <c r="D127" s="1"/>
  <c r="F127" s="1"/>
  <c r="C131"/>
  <c r="D131" s="1"/>
  <c r="F131" s="1"/>
  <c r="C135"/>
  <c r="D135" s="1"/>
  <c r="F135" s="1"/>
  <c r="C139"/>
  <c r="D139" s="1"/>
  <c r="F139" s="1"/>
  <c r="C143"/>
  <c r="D143" s="1"/>
  <c r="F143" s="1"/>
  <c r="C147"/>
  <c r="D147" s="1"/>
  <c r="F147" s="1"/>
  <c r="C151"/>
  <c r="D151" s="1"/>
  <c r="F151" s="1"/>
  <c r="C155"/>
  <c r="D155" s="1"/>
  <c r="F155" s="1"/>
  <c r="C159"/>
  <c r="D159" s="1"/>
  <c r="F159" s="1"/>
  <c r="C163"/>
  <c r="D163" s="1"/>
  <c r="F163" s="1"/>
  <c r="C167"/>
  <c r="D167" s="1"/>
  <c r="F167" s="1"/>
  <c r="C171"/>
  <c r="D171" s="1"/>
  <c r="F171" s="1"/>
  <c r="C175"/>
  <c r="D175" s="1"/>
  <c r="F175" s="1"/>
  <c r="C179"/>
  <c r="D179" s="1"/>
  <c r="F179" s="1"/>
  <c r="C183"/>
  <c r="D183" s="1"/>
  <c r="F183" s="1"/>
  <c r="C187"/>
  <c r="D187" s="1"/>
  <c r="F187" s="1"/>
  <c r="C191"/>
  <c r="D191" s="1"/>
  <c r="F191" s="1"/>
  <c r="C195"/>
  <c r="D195" s="1"/>
  <c r="F195" s="1"/>
  <c r="C199"/>
  <c r="D199" s="1"/>
  <c r="F199" s="1"/>
  <c r="C203"/>
  <c r="D203" s="1"/>
  <c r="F203" s="1"/>
  <c r="C207"/>
  <c r="D207" s="1"/>
  <c r="F207" s="1"/>
  <c r="C214"/>
  <c r="D214" s="1"/>
  <c r="U30" i="143"/>
  <c r="U29" s="1"/>
  <c r="U34" s="1"/>
  <c r="U35" s="1"/>
  <c r="T30"/>
  <c r="T29" s="1"/>
  <c r="T34" s="1"/>
  <c r="T35" s="1"/>
  <c r="Q58"/>
  <c r="I30"/>
  <c r="I29" s="1"/>
  <c r="I34" s="1"/>
  <c r="I35" s="1"/>
  <c r="K58"/>
  <c r="K30"/>
  <c r="K29" s="1"/>
  <c r="K34" s="1"/>
  <c r="K35" s="1"/>
  <c r="J51"/>
  <c r="J17"/>
  <c r="G23" i="197"/>
  <c r="G19"/>
  <c r="G15"/>
  <c r="G21" s="1"/>
  <c r="G29" s="1"/>
  <c r="M29" s="1"/>
  <c r="J50" i="143" s="1"/>
  <c r="F21" i="212"/>
  <c r="F19"/>
  <c r="F14"/>
  <c r="G16" i="197"/>
  <c r="G11"/>
  <c r="G12"/>
  <c r="C212" i="179" l="1"/>
  <c r="C216" s="1"/>
  <c r="D212"/>
  <c r="I13" i="178" s="1"/>
  <c r="F10" i="179"/>
  <c r="F212" s="1"/>
  <c r="O13" i="178" s="1"/>
  <c r="Q24" i="143" s="1"/>
  <c r="Q25" s="1"/>
  <c r="M21" i="197"/>
  <c r="J26" i="143" s="1"/>
  <c r="G13" i="197"/>
  <c r="M11"/>
  <c r="Q30" i="143" l="1"/>
  <c r="Q29" s="1"/>
  <c r="Q34" s="1"/>
  <c r="Q35" s="1"/>
  <c r="H57" l="1"/>
  <c r="H48"/>
  <c r="H25"/>
  <c r="H13"/>
  <c r="H58" l="1"/>
  <c r="H30" l="1"/>
  <c r="H29" s="1"/>
  <c r="H34" s="1"/>
  <c r="H35" s="1"/>
  <c r="M27" i="197" l="1"/>
  <c r="G24" l="1"/>
  <c r="G17"/>
  <c r="M23"/>
  <c r="J27" i="143" s="1"/>
  <c r="M19" i="197"/>
  <c r="M16"/>
  <c r="M15"/>
  <c r="M12"/>
  <c r="M13" s="1"/>
  <c r="M31" l="1"/>
  <c r="M32" s="1"/>
  <c r="G32"/>
  <c r="M17"/>
  <c r="J37" i="143" s="1"/>
  <c r="M24" i="197"/>
  <c r="W25" i="143" l="1"/>
  <c r="S25"/>
  <c r="W13"/>
  <c r="S13"/>
  <c r="W30" l="1"/>
  <c r="W29" s="1"/>
  <c r="W34" s="1"/>
  <c r="W35" s="1"/>
  <c r="S30"/>
  <c r="S29" s="1"/>
  <c r="S34" s="1"/>
  <c r="S35" s="1"/>
  <c r="G14" i="189"/>
  <c r="I16" i="193"/>
  <c r="I18" s="1"/>
  <c r="G16"/>
  <c r="G18" s="1"/>
  <c r="D42" i="191"/>
  <c r="D29"/>
  <c r="G12" i="192" l="1"/>
  <c r="M12" s="1"/>
  <c r="L18" i="143" s="1"/>
  <c r="G11" i="192"/>
  <c r="M11" s="1"/>
  <c r="L24" i="143" s="1"/>
  <c r="G14" i="192" l="1"/>
  <c r="M14"/>
  <c r="M13" i="159"/>
  <c r="L13" i="143"/>
  <c r="O13"/>
  <c r="P13"/>
  <c r="R13"/>
  <c r="M13"/>
  <c r="G13"/>
  <c r="G25"/>
  <c r="J13"/>
  <c r="J25"/>
  <c r="M14" i="189"/>
  <c r="P48" i="143"/>
  <c r="P57"/>
  <c r="R48"/>
  <c r="R57"/>
  <c r="O48"/>
  <c r="O57"/>
  <c r="E19"/>
  <c r="J57"/>
  <c r="M48"/>
  <c r="M57"/>
  <c r="L48"/>
  <c r="L57"/>
  <c r="G57"/>
  <c r="E9"/>
  <c r="E10"/>
  <c r="E11"/>
  <c r="E16"/>
  <c r="E17"/>
  <c r="E22"/>
  <c r="E23"/>
  <c r="E27"/>
  <c r="E28"/>
  <c r="E31"/>
  <c r="E32"/>
  <c r="E33"/>
  <c r="E39"/>
  <c r="E40"/>
  <c r="E41"/>
  <c r="E42"/>
  <c r="E43"/>
  <c r="E44"/>
  <c r="E45"/>
  <c r="E46"/>
  <c r="E47"/>
  <c r="E51"/>
  <c r="E52"/>
  <c r="E53"/>
  <c r="E54"/>
  <c r="E55"/>
  <c r="E56"/>
  <c r="M15" l="1"/>
  <c r="M17" i="159"/>
  <c r="E21" i="143"/>
  <c r="R58"/>
  <c r="L58"/>
  <c r="M58"/>
  <c r="O58"/>
  <c r="E20"/>
  <c r="P58"/>
  <c r="J30"/>
  <c r="J29" s="1"/>
  <c r="J34" s="1"/>
  <c r="J35" s="1"/>
  <c r="G30"/>
  <c r="G29" s="1"/>
  <c r="L25"/>
  <c r="L30" s="1"/>
  <c r="E37" l="1"/>
  <c r="G48"/>
  <c r="G58" s="1"/>
  <c r="E38"/>
  <c r="J48"/>
  <c r="J58" s="1"/>
  <c r="E50"/>
  <c r="G34"/>
  <c r="G35" s="1"/>
  <c r="L29"/>
  <c r="L34" s="1"/>
  <c r="L35" s="1"/>
  <c r="E26"/>
  <c r="E15"/>
  <c r="E57" l="1"/>
  <c r="E48"/>
  <c r="P25"/>
  <c r="E18"/>
  <c r="M25"/>
  <c r="E12"/>
  <c r="R25"/>
  <c r="E13" l="1"/>
  <c r="E58"/>
  <c r="O25"/>
  <c r="E24"/>
  <c r="M30"/>
  <c r="M29" s="1"/>
  <c r="M34" s="1"/>
  <c r="M35" s="1"/>
  <c r="R30"/>
  <c r="R29" s="1"/>
  <c r="R34" s="1"/>
  <c r="R35" s="1"/>
  <c r="P30"/>
  <c r="P29" s="1"/>
  <c r="P34" s="1"/>
  <c r="P35" s="1"/>
  <c r="E25" l="1"/>
  <c r="O30"/>
  <c r="O29" s="1"/>
  <c r="O34" s="1"/>
  <c r="O35" s="1"/>
  <c r="E29" l="1"/>
  <c r="E30"/>
  <c r="E34" l="1"/>
  <c r="E35" s="1"/>
</calcChain>
</file>

<file path=xl/sharedStrings.xml><?xml version="1.0" encoding="utf-8"?>
<sst xmlns="http://schemas.openxmlformats.org/spreadsheetml/2006/main" count="1229" uniqueCount="720">
  <si>
    <t>Line</t>
  </si>
  <si>
    <t>Description</t>
  </si>
  <si>
    <t>Amount</t>
  </si>
  <si>
    <t>No.</t>
  </si>
  <si>
    <t>Total</t>
  </si>
  <si>
    <t>Description of Adjustment:</t>
  </si>
  <si>
    <t>Company</t>
  </si>
  <si>
    <t>Factor</t>
  </si>
  <si>
    <t>Allocation</t>
  </si>
  <si>
    <t>Utah</t>
  </si>
  <si>
    <t>Factor %</t>
  </si>
  <si>
    <t>Acct.</t>
  </si>
  <si>
    <t>Adjustment to Expense:</t>
  </si>
  <si>
    <t>-Utah Operations</t>
  </si>
  <si>
    <t>SG</t>
  </si>
  <si>
    <t>Rocky Mountain Power</t>
  </si>
  <si>
    <t>Source:</t>
  </si>
  <si>
    <t>SIT</t>
  </si>
  <si>
    <t>FIT</t>
  </si>
  <si>
    <t>Power</t>
  </si>
  <si>
    <t>Adjustments</t>
  </si>
  <si>
    <t>Costs</t>
  </si>
  <si>
    <t>Sch. Ref:</t>
  </si>
  <si>
    <t>Table 1</t>
  </si>
  <si>
    <t>Witness:</t>
  </si>
  <si>
    <t xml:space="preserve"> Operating Revenues:</t>
  </si>
  <si>
    <t xml:space="preserve">  General Business</t>
  </si>
  <si>
    <t xml:space="preserve">  Interdepartmental</t>
  </si>
  <si>
    <t xml:space="preserve">  Special Sales</t>
  </si>
  <si>
    <t xml:space="preserve">  Other Operating Revenues</t>
  </si>
  <si>
    <t xml:space="preserve">    Total Operating Revenues </t>
  </si>
  <si>
    <t xml:space="preserve"> Operating Expenses: </t>
  </si>
  <si>
    <t xml:space="preserve">    Steam Production</t>
  </si>
  <si>
    <t xml:space="preserve">    Nuclear Production</t>
  </si>
  <si>
    <t xml:space="preserve">    Hydro Production</t>
  </si>
  <si>
    <t xml:space="preserve">    Other Power Supply</t>
  </si>
  <si>
    <t xml:space="preserve">    Transmission</t>
  </si>
  <si>
    <t xml:space="preserve">    Distribution</t>
  </si>
  <si>
    <t xml:space="preserve">    Customer Accounting</t>
  </si>
  <si>
    <t xml:space="preserve">    Customer Service &amp; Info</t>
  </si>
  <si>
    <t xml:space="preserve">    Sales</t>
  </si>
  <si>
    <t xml:space="preserve">    Administrative &amp; General</t>
  </si>
  <si>
    <t xml:space="preserve">        Total O &amp; M Expense</t>
  </si>
  <si>
    <t xml:space="preserve">  Depreciation</t>
  </si>
  <si>
    <t xml:space="preserve">  Amortization</t>
  </si>
  <si>
    <t xml:space="preserve">  Taxes Other Than Income</t>
  </si>
  <si>
    <t xml:space="preserve">  Income Taxes - Federal</t>
  </si>
  <si>
    <t xml:space="preserve">  Income Taxes - State</t>
  </si>
  <si>
    <t xml:space="preserve">  Income Taxes Deferred - Net</t>
  </si>
  <si>
    <t xml:space="preserve">  Misc. Revenue &amp; Expense</t>
  </si>
  <si>
    <t xml:space="preserve">    Total Operating Expenses</t>
  </si>
  <si>
    <t>Operating Revenue for Return:</t>
  </si>
  <si>
    <t xml:space="preserve"> Additions to Rate Base: </t>
  </si>
  <si>
    <t xml:space="preserve">   Electric Plant In Service</t>
  </si>
  <si>
    <t xml:space="preserve">   Plant Held for Future Use</t>
  </si>
  <si>
    <t xml:space="preserve">   Misc Deferred Debits</t>
  </si>
  <si>
    <t xml:space="preserve">   Electric Plant Acq Adj</t>
  </si>
  <si>
    <t xml:space="preserve">   Nuclear Fuel</t>
  </si>
  <si>
    <t xml:space="preserve">   Prepayments</t>
  </si>
  <si>
    <t xml:space="preserve">   Fuel Stock</t>
  </si>
  <si>
    <t xml:space="preserve">   Materials and Supplies</t>
  </si>
  <si>
    <t xml:space="preserve">   Weatherization Loans</t>
  </si>
  <si>
    <t xml:space="preserve">      Total Additions</t>
  </si>
  <si>
    <t xml:space="preserve"> Deductions from Rate Base: </t>
  </si>
  <si>
    <t xml:space="preserve">   Accum Def Income Taxes</t>
  </si>
  <si>
    <t xml:space="preserve">   Unamortized ITC</t>
  </si>
  <si>
    <t xml:space="preserve">   Customer Service Deposits</t>
  </si>
  <si>
    <t xml:space="preserve">    Total Deductions</t>
  </si>
  <si>
    <t>Ramas</t>
  </si>
  <si>
    <t>Adjustment to Rate Base:</t>
  </si>
  <si>
    <t>Accts.</t>
  </si>
  <si>
    <t>500SG</t>
  </si>
  <si>
    <t>501SE</t>
  </si>
  <si>
    <t>502SG</t>
  </si>
  <si>
    <t>503SE</t>
  </si>
  <si>
    <t>505SG</t>
  </si>
  <si>
    <t>506SG</t>
  </si>
  <si>
    <t>510SG</t>
  </si>
  <si>
    <t>511SG</t>
  </si>
  <si>
    <t>512SG</t>
  </si>
  <si>
    <t>513SG</t>
  </si>
  <si>
    <t>514SG</t>
  </si>
  <si>
    <t>535SG-P</t>
  </si>
  <si>
    <t>535SG-U</t>
  </si>
  <si>
    <t>536SG-P</t>
  </si>
  <si>
    <t>537SG-P</t>
  </si>
  <si>
    <t>537SG-U</t>
  </si>
  <si>
    <t>539SG-P</t>
  </si>
  <si>
    <t>539SG-U</t>
  </si>
  <si>
    <t>540SG-P</t>
  </si>
  <si>
    <t>542SG-P</t>
  </si>
  <si>
    <t>542SG-U</t>
  </si>
  <si>
    <t>543SG-P</t>
  </si>
  <si>
    <t>543SG-U</t>
  </si>
  <si>
    <t>544SG-P</t>
  </si>
  <si>
    <t>544SG-U</t>
  </si>
  <si>
    <t>545SG-P</t>
  </si>
  <si>
    <t>545SG-U</t>
  </si>
  <si>
    <t>546SG</t>
  </si>
  <si>
    <t>548SG</t>
  </si>
  <si>
    <t>549SG</t>
  </si>
  <si>
    <t>552SG</t>
  </si>
  <si>
    <t>553SG</t>
  </si>
  <si>
    <t>554SG</t>
  </si>
  <si>
    <t>556SG</t>
  </si>
  <si>
    <t>557SG</t>
  </si>
  <si>
    <t>560SG</t>
  </si>
  <si>
    <t>561SG</t>
  </si>
  <si>
    <t>562SG</t>
  </si>
  <si>
    <t>563SG</t>
  </si>
  <si>
    <t>566SG</t>
  </si>
  <si>
    <t>567SG</t>
  </si>
  <si>
    <t>568SG</t>
  </si>
  <si>
    <t>569SG</t>
  </si>
  <si>
    <t>570SG</t>
  </si>
  <si>
    <t>571SG</t>
  </si>
  <si>
    <t>572SG</t>
  </si>
  <si>
    <t>573SG</t>
  </si>
  <si>
    <t>580SNPD</t>
  </si>
  <si>
    <t>581SNPD</t>
  </si>
  <si>
    <t>582CA</t>
  </si>
  <si>
    <t>582OR</t>
  </si>
  <si>
    <t>582SNPD</t>
  </si>
  <si>
    <t>582UT</t>
  </si>
  <si>
    <t>582WA</t>
  </si>
  <si>
    <t>582WYP</t>
  </si>
  <si>
    <t>583CA</t>
  </si>
  <si>
    <t>583OR</t>
  </si>
  <si>
    <t>583SNPD</t>
  </si>
  <si>
    <t>583UT</t>
  </si>
  <si>
    <t>583WA</t>
  </si>
  <si>
    <t>583WYP</t>
  </si>
  <si>
    <t>583WYU</t>
  </si>
  <si>
    <t>585SNPD</t>
  </si>
  <si>
    <t>586CA</t>
  </si>
  <si>
    <t>586OR</t>
  </si>
  <si>
    <t>586SNPD</t>
  </si>
  <si>
    <t>586UT</t>
  </si>
  <si>
    <t>586WA</t>
  </si>
  <si>
    <t>586WYP</t>
  </si>
  <si>
    <t>586WYU</t>
  </si>
  <si>
    <t>587CA</t>
  </si>
  <si>
    <t>587OR</t>
  </si>
  <si>
    <t>587UT</t>
  </si>
  <si>
    <t>587WA</t>
  </si>
  <si>
    <t>587WYP</t>
  </si>
  <si>
    <t>587WYU</t>
  </si>
  <si>
    <t>588CA</t>
  </si>
  <si>
    <t>588OR</t>
  </si>
  <si>
    <t>588SNPD</t>
  </si>
  <si>
    <t>588UT</t>
  </si>
  <si>
    <t>588WA</t>
  </si>
  <si>
    <t>588WYP</t>
  </si>
  <si>
    <t>588WYU</t>
  </si>
  <si>
    <t>589CA</t>
  </si>
  <si>
    <t>589OR</t>
  </si>
  <si>
    <t>589UT</t>
  </si>
  <si>
    <t>589WA</t>
  </si>
  <si>
    <t>589WYP</t>
  </si>
  <si>
    <t>589WYU</t>
  </si>
  <si>
    <t>590CA</t>
  </si>
  <si>
    <t>590OR</t>
  </si>
  <si>
    <t>590SNPD</t>
  </si>
  <si>
    <t>590UT</t>
  </si>
  <si>
    <t>590WA</t>
  </si>
  <si>
    <t>590WYP</t>
  </si>
  <si>
    <t>592CA</t>
  </si>
  <si>
    <t>592OR</t>
  </si>
  <si>
    <t>592SNPD</t>
  </si>
  <si>
    <t>592UT</t>
  </si>
  <si>
    <t>592WA</t>
  </si>
  <si>
    <t>592WYP</t>
  </si>
  <si>
    <t>593CA</t>
  </si>
  <si>
    <t>593OR</t>
  </si>
  <si>
    <t>593SNPD</t>
  </si>
  <si>
    <t>593UT</t>
  </si>
  <si>
    <t>593WA</t>
  </si>
  <si>
    <t>593WYP</t>
  </si>
  <si>
    <t>593WYU</t>
  </si>
  <si>
    <t>594CA</t>
  </si>
  <si>
    <t>594OR</t>
  </si>
  <si>
    <t>594UT</t>
  </si>
  <si>
    <t>594WA</t>
  </si>
  <si>
    <t>594WYP</t>
  </si>
  <si>
    <t>594WYU</t>
  </si>
  <si>
    <t>595SNPD</t>
  </si>
  <si>
    <t>596CA</t>
  </si>
  <si>
    <t>596OR</t>
  </si>
  <si>
    <t>596UT</t>
  </si>
  <si>
    <t>596WA</t>
  </si>
  <si>
    <t>596WYP</t>
  </si>
  <si>
    <t>596WYU</t>
  </si>
  <si>
    <t>597CA</t>
  </si>
  <si>
    <t>597OR</t>
  </si>
  <si>
    <t>597SNPD</t>
  </si>
  <si>
    <t>597UT</t>
  </si>
  <si>
    <t>597WA</t>
  </si>
  <si>
    <t>597WYP</t>
  </si>
  <si>
    <t>597WYU</t>
  </si>
  <si>
    <t>598CA</t>
  </si>
  <si>
    <t>598OR</t>
  </si>
  <si>
    <t>598SNPD</t>
  </si>
  <si>
    <t>598UT</t>
  </si>
  <si>
    <t>598WA</t>
  </si>
  <si>
    <t>901CN</t>
  </si>
  <si>
    <t>901OR</t>
  </si>
  <si>
    <t>902CA</t>
  </si>
  <si>
    <t>902CN</t>
  </si>
  <si>
    <t>902OR</t>
  </si>
  <si>
    <t>902UT</t>
  </si>
  <si>
    <t>902WA</t>
  </si>
  <si>
    <t>902WYP</t>
  </si>
  <si>
    <t>902WYU</t>
  </si>
  <si>
    <t>903CA</t>
  </si>
  <si>
    <t>903CN</t>
  </si>
  <si>
    <t>903OR</t>
  </si>
  <si>
    <t>903UT</t>
  </si>
  <si>
    <t>903WA</t>
  </si>
  <si>
    <t>903WYP</t>
  </si>
  <si>
    <t>903WYU</t>
  </si>
  <si>
    <t>905CN</t>
  </si>
  <si>
    <t>907CN</t>
  </si>
  <si>
    <t>908CA</t>
  </si>
  <si>
    <t>908CN</t>
  </si>
  <si>
    <t>908OR</t>
  </si>
  <si>
    <t>908OTHER</t>
  </si>
  <si>
    <t>908UT</t>
  </si>
  <si>
    <t>908WYP</t>
  </si>
  <si>
    <t>909CN</t>
  </si>
  <si>
    <t>910CN</t>
  </si>
  <si>
    <t>920SO</t>
  </si>
  <si>
    <t>921SO</t>
  </si>
  <si>
    <t>922SO</t>
  </si>
  <si>
    <t>929SO</t>
  </si>
  <si>
    <t>935OR</t>
  </si>
  <si>
    <t>935SO</t>
  </si>
  <si>
    <t>Percentage</t>
  </si>
  <si>
    <t>SG-P</t>
  </si>
  <si>
    <t>Rate Base</t>
  </si>
  <si>
    <t>GENERATION OVERHAUL EXPENSE</t>
  </si>
  <si>
    <t>Generation Overhaul Expense - Steam</t>
  </si>
  <si>
    <t>Generation Overhaul Expense - Other</t>
  </si>
  <si>
    <t>Generation</t>
  </si>
  <si>
    <t>Overhaul</t>
  </si>
  <si>
    <t>Office of Consumer Services</t>
  </si>
  <si>
    <t>SO</t>
  </si>
  <si>
    <t>Account</t>
  </si>
  <si>
    <t>541SG-P</t>
  </si>
  <si>
    <t>582IDU</t>
  </si>
  <si>
    <t>583IDU</t>
  </si>
  <si>
    <t>586IDU</t>
  </si>
  <si>
    <t>587IDU</t>
  </si>
  <si>
    <t>588IDU</t>
  </si>
  <si>
    <t>590IDU</t>
  </si>
  <si>
    <t>592IDU</t>
  </si>
  <si>
    <t>593IDU</t>
  </si>
  <si>
    <t>594IDU</t>
  </si>
  <si>
    <t>596IDU</t>
  </si>
  <si>
    <t>597IDU</t>
  </si>
  <si>
    <t>902IDU</t>
  </si>
  <si>
    <t>903IDU</t>
  </si>
  <si>
    <t>908IDU</t>
  </si>
  <si>
    <t>Adjustment</t>
  </si>
  <si>
    <t>500-935</t>
  </si>
  <si>
    <t>Multiple</t>
  </si>
  <si>
    <t>Purpose of Adjustment:</t>
  </si>
  <si>
    <t>Details:</t>
  </si>
  <si>
    <t>A.1</t>
  </si>
  <si>
    <t>A.2</t>
  </si>
  <si>
    <t>A.3</t>
  </si>
  <si>
    <t>A.4</t>
  </si>
  <si>
    <t>A.5</t>
  </si>
  <si>
    <t>403HP</t>
  </si>
  <si>
    <t>404IP</t>
  </si>
  <si>
    <t>108HP</t>
  </si>
  <si>
    <t>111IP</t>
  </si>
  <si>
    <t>Total OCS</t>
  </si>
  <si>
    <t>Non-T&amp;D</t>
  </si>
  <si>
    <t>Insurance</t>
  </si>
  <si>
    <t>REDUCTION TO NON-T&amp;D INSURANCE AND MAINTENANCE EXPENSE</t>
  </si>
  <si>
    <t>After $25,000</t>
  </si>
  <si>
    <t>After $1 million</t>
  </si>
  <si>
    <t>Damage Claim</t>
  </si>
  <si>
    <t xml:space="preserve">Order / WBS </t>
  </si>
  <si>
    <t>Order Description</t>
  </si>
  <si>
    <t>deductible</t>
  </si>
  <si>
    <t>Lewis River - 1/8/2009</t>
  </si>
  <si>
    <t>LR-ROADCONST</t>
  </si>
  <si>
    <t>LR Road/Bridges Reconstruction (*)</t>
  </si>
  <si>
    <t>LR-WOODYDEBR</t>
  </si>
  <si>
    <t>LR Reservoir Woody Debris Removal</t>
  </si>
  <si>
    <t>LR2009-CLEAR</t>
  </si>
  <si>
    <t>LR Culvert/Road Clearing &amp; Initial Asses</t>
  </si>
  <si>
    <t>LR2009-REPR</t>
  </si>
  <si>
    <t>LR Culvert/Road Damage Repairs</t>
  </si>
  <si>
    <t>LRSTORM-2009</t>
  </si>
  <si>
    <t>LR-Storm Damage Jan 2009 Initial Assess</t>
  </si>
  <si>
    <t>MERWIN-2009</t>
  </si>
  <si>
    <t>Merwin-Storm Damage Jan 2009 Initial</t>
  </si>
  <si>
    <t>SPEEYIA-2009</t>
  </si>
  <si>
    <t>Speelyai Hatchery Intake Repairs</t>
  </si>
  <si>
    <t>SW1-ASBESTOS</t>
  </si>
  <si>
    <t>Swift 1 - Asbestos Removal</t>
  </si>
  <si>
    <t>SW1-ASSESS</t>
  </si>
  <si>
    <t>Swift 1 - Initial Assessment</t>
  </si>
  <si>
    <t>SW1-BUILDING</t>
  </si>
  <si>
    <t>SW1 Building Super Structure Recon (*)</t>
  </si>
  <si>
    <t>SW1-CRANE</t>
  </si>
  <si>
    <t>SW1 Crane Reconstrcution (*)</t>
  </si>
  <si>
    <t>SW1-PHDEBRIS</t>
  </si>
  <si>
    <t>SW1 Powerhouse Debris Removal</t>
  </si>
  <si>
    <t>SW1-SLOPE</t>
  </si>
  <si>
    <t>SW1 Slope Stabilization (*)</t>
  </si>
  <si>
    <t>SW13-RECONST</t>
  </si>
  <si>
    <t>SW13 Unit Modifications/Reconst (*)</t>
  </si>
  <si>
    <t>LRSTORM-2008</t>
  </si>
  <si>
    <t>LR - Dec 2008 (Snow) Initial Assessment</t>
  </si>
  <si>
    <t>Lewis River - 1/8/2009 Total</t>
  </si>
  <si>
    <t>Items included in April '08 - March '09</t>
  </si>
  <si>
    <t>Items included in April '09 - March '10</t>
  </si>
  <si>
    <t>HLEW/2009/E/001/003A</t>
  </si>
  <si>
    <t>MERWINPK-REP</t>
  </si>
  <si>
    <t>Storm Damage Repairs-Merwin Park beach</t>
  </si>
  <si>
    <t>Total included in the year period April 2007 - March 2010</t>
  </si>
  <si>
    <t xml:space="preserve">  -  List of High Runoff Costs - January 8, 2009 Event</t>
  </si>
  <si>
    <t>Total Adjustment</t>
  </si>
  <si>
    <t>Reduction to Non-T&amp;D Damage Costs</t>
  </si>
  <si>
    <t>Run-Off Event Costs Included in Determining Average Cost</t>
  </si>
  <si>
    <t xml:space="preserve">April 2008 - March 2009 </t>
  </si>
  <si>
    <t>April 2009 - March 2010</t>
  </si>
  <si>
    <t>Maintenance Exp.</t>
  </si>
  <si>
    <t>Amount in 3-year average for Run-off Event</t>
  </si>
  <si>
    <t>Reduction to Requested Expenses to Remove Abnormal Event</t>
  </si>
  <si>
    <t>"Property</t>
  </si>
  <si>
    <t>Insurance"</t>
  </si>
  <si>
    <t>Adjustment Details:</t>
  </si>
  <si>
    <t>928CA</t>
  </si>
  <si>
    <t>928IDU</t>
  </si>
  <si>
    <t>928OR</t>
  </si>
  <si>
    <t>928SO</t>
  </si>
  <si>
    <t>928UT</t>
  </si>
  <si>
    <t>928WA</t>
  </si>
  <si>
    <t>928WYP</t>
  </si>
  <si>
    <t>935UT</t>
  </si>
  <si>
    <t>935WA</t>
  </si>
  <si>
    <t>Remove KHSA O&amp;M Expense</t>
  </si>
  <si>
    <t>Adjustment to Depreciation Expense:</t>
  </si>
  <si>
    <t>Remove Amortization of Klamath Relicensing &amp;</t>
  </si>
  <si>
    <t xml:space="preserve">    Settlement Process Costs</t>
  </si>
  <si>
    <t>Adjustment to Depreciation Reserve:</t>
  </si>
  <si>
    <t>Klamath</t>
  </si>
  <si>
    <t>Settlement</t>
  </si>
  <si>
    <t>KLAMATH HYDROELECTRIC SETTLEMENT AGREEMENT</t>
  </si>
  <si>
    <t>(SE/SO Factor)</t>
  </si>
  <si>
    <t>Remove Klamath Relicensing &amp; Settlement Process Costs</t>
  </si>
  <si>
    <t>Remove Klamath Implementation Plant Additions</t>
  </si>
  <si>
    <t>ROR Change Impact Based on per RMP Rate Base (per OCS ROR of 7.489%) - $38,726,513</t>
  </si>
  <si>
    <t>Test Year Ending May 31, 2013</t>
  </si>
  <si>
    <t xml:space="preserve">  Investment Tax Credit Adj.</t>
  </si>
  <si>
    <t xml:space="preserve">   Working Capital</t>
  </si>
  <si>
    <t xml:space="preserve">   Misc. Rate Base</t>
  </si>
  <si>
    <t xml:space="preserve">   Accum Prov For Deprec.</t>
  </si>
  <si>
    <t xml:space="preserve">   Accum Prov For Amort.</t>
  </si>
  <si>
    <t xml:space="preserve">   Customer Adv For Const</t>
  </si>
  <si>
    <t xml:space="preserve">   Misc. Rate Base Deductions</t>
  </si>
  <si>
    <t>Docket No. 11-035-200</t>
  </si>
  <si>
    <t>Remove Facilities Removal Costs</t>
  </si>
  <si>
    <t>Calculation of Plant Additions Associated with Settlement Agreement</t>
  </si>
  <si>
    <t>Average Test Year Plant Balance, per Company</t>
  </si>
  <si>
    <t>Exh RMP__(SRM-3), p. 8.11.2</t>
  </si>
  <si>
    <t>June 30, 2010 Year End Balance</t>
  </si>
  <si>
    <t>(a)</t>
  </si>
  <si>
    <t>(a)  Docket No. 10-035-124, Exhibit RMP__(SRM-3), p. 8.12.2</t>
  </si>
  <si>
    <t>Klamath Plant Additions Associated With Settlement Agreement</t>
  </si>
  <si>
    <t>Projects Related to Klamath Implementation Identified in Prior Case</t>
  </si>
  <si>
    <t>Less: Projects in prior case included in adds in current case</t>
  </si>
  <si>
    <t>Projects Related to Klamath Implementation, current case</t>
  </si>
  <si>
    <t>Projects Related to Klamath Implementation Identified in Filings</t>
  </si>
  <si>
    <t>Remove Klamath Accelerated Depreciation</t>
  </si>
  <si>
    <t>Remove Klamath Depreciation on Implementation</t>
  </si>
  <si>
    <t xml:space="preserve">    Plant Additions</t>
  </si>
  <si>
    <t>Test for Reasonableness Based on Identified Additions:</t>
  </si>
  <si>
    <t>Exhibit OCS 3.8D</t>
  </si>
  <si>
    <t>Corrected Property Tax Expense Adjustment</t>
  </si>
  <si>
    <t>Property Tax Expense Adjustment in Filing</t>
  </si>
  <si>
    <t>OCS 15.1</t>
  </si>
  <si>
    <t>Exh. RMP__(SRM-3), p.7.2</t>
  </si>
  <si>
    <t>Reduction to Property Tax Expense</t>
  </si>
  <si>
    <t>Reduction to Taxes Other Than Income</t>
  </si>
  <si>
    <t>GPS</t>
  </si>
  <si>
    <t>In calculating its adjustment to reflect the forecast test year level of property tax expense, RMP input an incorrect amount for the base year.  The correct amount, as well as the corrected adjustment, was provided in response to OCS 15.1.</t>
  </si>
  <si>
    <t>Property Tax</t>
  </si>
  <si>
    <t>Exp. Correction</t>
  </si>
  <si>
    <t>Normalized Generation Overhaul Expense - Steam, Excluding Escalation</t>
  </si>
  <si>
    <t>Reduction to Generation Overhaul Expense - Steam</t>
  </si>
  <si>
    <t>Steam Plant:</t>
  </si>
  <si>
    <t>Cholla Plant:</t>
  </si>
  <si>
    <t>Normalized Generation Overhaul Expense - Cholla, Excluding Escalation</t>
  </si>
  <si>
    <t>Escalated Normalized Generation Overhaul Expense - Cholla, per RMP</t>
  </si>
  <si>
    <t>Escalated Normalized Generation Overhaul Expense - Steam, per RMP</t>
  </si>
  <si>
    <t>Reduction to Generation Overhaul Expense - Cholla</t>
  </si>
  <si>
    <t>Normalized Generation Overhaul Expense - Other, Excluding Escalation</t>
  </si>
  <si>
    <t>Escalated Normalized Generation Overhaul Expense - Other, per RMP</t>
  </si>
  <si>
    <t>Reduction to Generation Overhaul Expense - Other</t>
  </si>
  <si>
    <t>Normalized Generation Overhaul Expense - Other Existing, Excluding Escalation</t>
  </si>
  <si>
    <t>Normalized Generation Overhaul Expense - Other New, Excluding Escalation</t>
  </si>
  <si>
    <t>Generation Overhaul Expense - Cholla</t>
  </si>
  <si>
    <t>GENERATION OVERHAUL EXPENSE - ESCALATION REMOVAL</t>
  </si>
  <si>
    <t>Carbon</t>
  </si>
  <si>
    <t>Expense</t>
  </si>
  <si>
    <t>Wind Oil</t>
  </si>
  <si>
    <t>Changes</t>
  </si>
  <si>
    <t>Wind Materials</t>
  </si>
  <si>
    <t>CASPER SERVICE CENTER - REMOVE UTAH ALLOCATION</t>
  </si>
  <si>
    <t>Remove Casper Service Center from Allocated Plant</t>
  </si>
  <si>
    <t>Adjustment to Plant in Service:</t>
  </si>
  <si>
    <t>Casper Service Center Plant Addition</t>
  </si>
  <si>
    <t>Depreciation Rate - General Office SO Factor</t>
  </si>
  <si>
    <t>Exhibit RMP__(SRM-3), p. 6.1.6</t>
  </si>
  <si>
    <t xml:space="preserve">Reduction to Depreciation Expense </t>
  </si>
  <si>
    <t>Depreciation Adjustment Details:</t>
  </si>
  <si>
    <t>Reduction to Test Year Accumulated Depreciation</t>
  </si>
  <si>
    <t>Adjustment to Accumulated Depreciation:</t>
  </si>
  <si>
    <t>Reduction to Test Year Depreciation Expense</t>
  </si>
  <si>
    <t>RMP inadvertently included the acquisition of the Casper Service Center in its filing under the SO allocation factor instead of as a Wyoming Situs investment.  The above adjustment removes the plant and associated depreciation from costs that are allocated to Utah.  OCS 8.26.</t>
  </si>
  <si>
    <t>Reduction to Accumulated Depreciation - Avg. TY balance</t>
  </si>
  <si>
    <t>Remove Lake Side II Interconnection Project</t>
  </si>
  <si>
    <t>Adjustment to Accumualted Deferred Income Taxes:</t>
  </si>
  <si>
    <t>Accum Def Inc Tax Balance</t>
  </si>
  <si>
    <t>108TP</t>
  </si>
  <si>
    <t>403TP</t>
  </si>
  <si>
    <t>Lake Side II</t>
  </si>
  <si>
    <t>Interconnect</t>
  </si>
  <si>
    <t>Casper Service</t>
  </si>
  <si>
    <t>Center</t>
  </si>
  <si>
    <t>CWIP WRITE-OFFS</t>
  </si>
  <si>
    <t>Remove Expenses Associated with Wah Chang Matter</t>
  </si>
  <si>
    <t>Oregon Rate</t>
  </si>
  <si>
    <t>Dispute Costs</t>
  </si>
  <si>
    <t>REMOVE OREGON RATE DISPUTE COSTS</t>
  </si>
  <si>
    <t>COST SAVINGS</t>
  </si>
  <si>
    <t>In-House Electronic Customer Payment Processing</t>
  </si>
  <si>
    <t>Description of Savings</t>
  </si>
  <si>
    <t>CN</t>
  </si>
  <si>
    <t>Customers Switching to Electronic Billing</t>
  </si>
  <si>
    <t>Estimated Number of Utah Monthly Paperless Bills in Test Year, per RMP</t>
  </si>
  <si>
    <t>Number of Utah Monthly Paperless Bills in Base Year</t>
  </si>
  <si>
    <t>Increase in Number of Paperless Bills</t>
  </si>
  <si>
    <t xml:space="preserve">Savings per Statement </t>
  </si>
  <si>
    <t>Cost Savings from Customers Switching to Electronic Billing</t>
  </si>
  <si>
    <t>Reduction in Community Organization Memberships</t>
  </si>
  <si>
    <t>SNPD</t>
  </si>
  <si>
    <t>Elimination of Individual Safety Recognition Program</t>
  </si>
  <si>
    <t>Seminar Travel Savings</t>
  </si>
  <si>
    <t>Total Savings</t>
  </si>
  <si>
    <t>RMP Witness Richard Walje identified several cost savings measures that RMP has implemented either during or subsequent to the base year in this case.  The impact of the cost savings measures were not included in the adjusted test year in this case.  The above adjustment must be made to reflect the impact of the savings.  OCS 8.1, OCS 8.2, OCS 8.5 and OCS 14.2</t>
  </si>
  <si>
    <t>Calculation of Cost Savings from Switch to Electronic Billing</t>
  </si>
  <si>
    <t>Cost Saving</t>
  </si>
  <si>
    <t>Measures</t>
  </si>
  <si>
    <t>UT</t>
  </si>
  <si>
    <t>April 2008 - March 2010 period amounts from RMP response to DPU 22.12, Attachment DPU 22.12 in Dkt. No. 10-035-124</t>
  </si>
  <si>
    <t>April 2010 - March 2011 period amount from RMP response to DPU 36.3 in current case.</t>
  </si>
  <si>
    <t>Lewis River - 1/1/2009 Amount included in April '10 - March '11</t>
  </si>
  <si>
    <t>April 2010 - March 2011</t>
  </si>
  <si>
    <t>Based on amounts provided by RMP in response to DPU 22.12, Attachment DPU 22.12 in Dkt. No. 10-035-124.</t>
  </si>
  <si>
    <t>RMP Requested amounts per Exhibit RMP__(SRM-3), pages 4.7 and 4.7.4.</t>
  </si>
  <si>
    <t>RMP's adjustment to non-T&amp;D damages costs for both the amount it proposes to record as "insurance expense" and non-T&amp;D maintenance expense were based on average costs over the three-year period ending March 31, 2011.  Included in that timeframe is an abnormal event associated with a January 8, 2009 high-flow run-off that damaged the Swift hydro facility powerhouse that would not be expected to be a regular occurance.  This event greatly distorted the requested normalized cost level.  The above adjustment removes the impact of the January 8, 2009 run-off event in normalizing non-insured costs on a going-forward basis.</t>
  </si>
  <si>
    <t>580CA</t>
  </si>
  <si>
    <t>580OR</t>
  </si>
  <si>
    <t>580WA</t>
  </si>
  <si>
    <t>581OR</t>
  </si>
  <si>
    <t>592WYU</t>
  </si>
  <si>
    <t>908WA</t>
  </si>
  <si>
    <t>920CA</t>
  </si>
  <si>
    <t>920OR</t>
  </si>
  <si>
    <t>920UT</t>
  </si>
  <si>
    <t>920WA</t>
  </si>
  <si>
    <t>921WA</t>
  </si>
  <si>
    <t>935CA</t>
  </si>
  <si>
    <t>Utility Labor</t>
  </si>
  <si>
    <t>Capital/Non Utility</t>
  </si>
  <si>
    <t>Total Labor</t>
  </si>
  <si>
    <t>OCS</t>
  </si>
  <si>
    <t>Reduction to Total Utility Labor Costs</t>
  </si>
  <si>
    <t>Per Company Expense Factor</t>
  </si>
  <si>
    <t>Reduction to Labor Expense</t>
  </si>
  <si>
    <t>CWC - Revised</t>
  </si>
  <si>
    <t>Lag Days</t>
  </si>
  <si>
    <t>REDUCTION TO PBOP EXPENSE</t>
  </si>
  <si>
    <t>Total Post-Retirement Benefit - FAS 106 Costs, per Company</t>
  </si>
  <si>
    <t xml:space="preserve">Total Post-Retirement Benefit - FAS 106 Costs, per OCS </t>
  </si>
  <si>
    <t>Post Retirement -</t>
  </si>
  <si>
    <t>FAS 106 Exp.</t>
  </si>
  <si>
    <t>Current Creek</t>
  </si>
  <si>
    <t>Chehalis</t>
  </si>
  <si>
    <t>Lakeside</t>
  </si>
  <si>
    <t>Wyodak</t>
  </si>
  <si>
    <t>Huntington</t>
  </si>
  <si>
    <t>Gadsby</t>
  </si>
  <si>
    <t>Hunter</t>
  </si>
  <si>
    <t>Naughton</t>
  </si>
  <si>
    <t>Dave Johnston</t>
  </si>
  <si>
    <t>Jim Bridger</t>
  </si>
  <si>
    <t>NERC CIP Compliance Work Write-offs - by Plant</t>
  </si>
  <si>
    <t>NERC CIP Compliance Work Write-off</t>
  </si>
  <si>
    <t>Huntington Start-up Switchgear Write-off</t>
  </si>
  <si>
    <t>Reduction to Expense</t>
  </si>
  <si>
    <t>CWIP</t>
  </si>
  <si>
    <t>Write-Offs</t>
  </si>
  <si>
    <t>Total Expensed in Base Year for NERC CIP Project Write-offs</t>
  </si>
  <si>
    <t>Escalation Factor</t>
  </si>
  <si>
    <t>Total Amount in Test Year for NERC CIP Project Write-offs</t>
  </si>
  <si>
    <t>Total Expensed in Base Year for Huntington Switchgear Write-off</t>
  </si>
  <si>
    <t>Total Amount in Test Year for Huntington Switchgear Write-off</t>
  </si>
  <si>
    <t>DESERET DISPUTE COSTS</t>
  </si>
  <si>
    <t>Items Written-off to Account 904 - Uncollectible Accounts Expense:</t>
  </si>
  <si>
    <t>Scrubber interest write-off</t>
  </si>
  <si>
    <t>Scrubber interest on baghouse write-off</t>
  </si>
  <si>
    <t>Turbine interest write-off</t>
  </si>
  <si>
    <t>Total Written-off to Uncollectible Expense in Base Year</t>
  </si>
  <si>
    <t>Total Amount in Test Year</t>
  </si>
  <si>
    <t xml:space="preserve">Deseret Interest Write-Down and Write-Offs </t>
  </si>
  <si>
    <t xml:space="preserve">Expenses for Deseret Matter </t>
  </si>
  <si>
    <t>FERC Land</t>
  </si>
  <si>
    <t>Use Fees</t>
  </si>
  <si>
    <t>FERC LAND USE FEE</t>
  </si>
  <si>
    <t>FERC Land Use Fee Estimate in Filing</t>
  </si>
  <si>
    <t>Exhibit RMP__(SRM-3), p. 4.9.2</t>
  </si>
  <si>
    <t>Actual Fee Based on Invoice</t>
  </si>
  <si>
    <t>Reduction to FERC Land Use Fees</t>
  </si>
  <si>
    <t>Reduction to Reflect Actual Fee</t>
  </si>
  <si>
    <t>WIND TURBINE OIL CHANGES</t>
  </si>
  <si>
    <t>Reduction to Wind Turbine Oil Change Expense</t>
  </si>
  <si>
    <t>Wind Turbine Oil Change Expenses, per Company</t>
  </si>
  <si>
    <t>Recommended reduction (2/3rds)</t>
  </si>
  <si>
    <t>Reduction to Reflect Normal Cost Level</t>
  </si>
  <si>
    <t>WIND TURBINE MATERIALS EXPENSE</t>
  </si>
  <si>
    <t>Reduction to Wind Turbine Materials Expense</t>
  </si>
  <si>
    <t>Wind Turbine Materials Expense, per RMP</t>
  </si>
  <si>
    <t>Recommended Reduction Factor, per OCS</t>
  </si>
  <si>
    <t xml:space="preserve">Deseret </t>
  </si>
  <si>
    <t>Dispute</t>
  </si>
  <si>
    <t>FERC Account(s)</t>
  </si>
  <si>
    <t>REVENUE LAG:</t>
  </si>
  <si>
    <t>General Business Revenues</t>
  </si>
  <si>
    <r>
      <t xml:space="preserve">440 - 448, 456 </t>
    </r>
    <r>
      <rPr>
        <vertAlign val="superscript"/>
        <sz val="9"/>
        <rFont val="Arial"/>
        <family val="2"/>
      </rPr>
      <t>(4)</t>
    </r>
  </si>
  <si>
    <t>Other CSS Revenues</t>
  </si>
  <si>
    <t>450-454</t>
  </si>
  <si>
    <t>Sales for Resale</t>
  </si>
  <si>
    <t>447NPC</t>
  </si>
  <si>
    <t>Wheeling and Other Misc. Revenues</t>
  </si>
  <si>
    <t>456/447</t>
  </si>
  <si>
    <t>TOTAL REVENUE LAG</t>
  </si>
  <si>
    <t>EXPENSE LAG:</t>
  </si>
  <si>
    <t>Operation &amp; Maintenance:</t>
  </si>
  <si>
    <t>Coal</t>
  </si>
  <si>
    <t>501NPC</t>
  </si>
  <si>
    <t>Natural Gas</t>
  </si>
  <si>
    <t>501NPC / 547NPC</t>
  </si>
  <si>
    <t>Purchased Power</t>
  </si>
  <si>
    <t>555NPC</t>
  </si>
  <si>
    <t xml:space="preserve">Wheeling </t>
  </si>
  <si>
    <t>565NPC</t>
  </si>
  <si>
    <t>Labor and Benefits</t>
  </si>
  <si>
    <t>Incentive</t>
  </si>
  <si>
    <t xml:space="preserve">Other Operations &amp; Maintenance </t>
  </si>
  <si>
    <t>Operation &amp; Maintenance Expense Lag</t>
  </si>
  <si>
    <r>
      <t xml:space="preserve">Embedded Cost Differential </t>
    </r>
    <r>
      <rPr>
        <vertAlign val="superscript"/>
        <sz val="10"/>
        <rFont val="Arial"/>
        <family val="2"/>
      </rPr>
      <t>(2)</t>
    </r>
  </si>
  <si>
    <t>ECD</t>
  </si>
  <si>
    <r>
      <t xml:space="preserve">BPA Credit </t>
    </r>
    <r>
      <rPr>
        <vertAlign val="superscript"/>
        <sz val="10"/>
        <rFont val="Arial"/>
        <family val="2"/>
      </rPr>
      <t>(3)</t>
    </r>
  </si>
  <si>
    <t>O&amp;M Expense From Results of Operations</t>
  </si>
  <si>
    <t>Taxes Other Than Income:</t>
  </si>
  <si>
    <t>Property Taxes</t>
  </si>
  <si>
    <t>Other Taxes</t>
  </si>
  <si>
    <t>Total Taxes Other Than Income Lag</t>
  </si>
  <si>
    <t>Income Taxes:</t>
  </si>
  <si>
    <t>Federal Income Taxes</t>
  </si>
  <si>
    <t>State Income Taxes</t>
  </si>
  <si>
    <t>Total Income Tax Lag</t>
  </si>
  <si>
    <t>TOTAL EXPENSE LAG</t>
  </si>
  <si>
    <t>NET REVENUE LAG DAYS (Revenue Lag - Expense Lag)</t>
  </si>
  <si>
    <t>Total Company</t>
  </si>
  <si>
    <t>Utah Allocated</t>
  </si>
  <si>
    <t>Dollar Days</t>
  </si>
  <si>
    <t>(1)</t>
  </si>
  <si>
    <t>(1)  Revenue lag days equals calculated amount per Company of 40.76 less 1 day.</t>
  </si>
  <si>
    <t>(2)</t>
  </si>
  <si>
    <t>CASH WORKING CAPITAL</t>
  </si>
  <si>
    <t xml:space="preserve">  -  Calculation of OCS Recommended CWC</t>
  </si>
  <si>
    <t>December 2010 Lead/Lag Study</t>
  </si>
  <si>
    <t>Month</t>
  </si>
  <si>
    <t>Service Lag Days, per OCS</t>
  </si>
  <si>
    <t>Other O&amp;M Expense Lag, per OCS</t>
  </si>
  <si>
    <t xml:space="preserve">  -  Calculation of Other O&amp;M Expense Lag Days, per OCS</t>
  </si>
  <si>
    <t>Average TY Daily Cost of Service, per RMP</t>
  </si>
  <si>
    <t>Exh. RMP__(SRM-3), p. 8.1.1</t>
  </si>
  <si>
    <t>Net Lag Days, per OCS</t>
  </si>
  <si>
    <t>Cash Working Capital, per OCS</t>
  </si>
  <si>
    <t>Cash Working Capital, per RMP</t>
  </si>
  <si>
    <t>Reduction to Cash Working Capital</t>
  </si>
  <si>
    <t xml:space="preserve">    Operation &amp; Maintenance lag days discussed below.</t>
  </si>
  <si>
    <t>Above amounts from PacifiCorp's 2010 Lead-Lag Study, page 2.1, with the exception of the revenue lag days and the Other</t>
  </si>
  <si>
    <t>Exhibit OCS 3.5D</t>
  </si>
  <si>
    <t>Exhibit OCS 3.4D</t>
  </si>
  <si>
    <t>Exhibit OCS 3.3D</t>
  </si>
  <si>
    <t>The Company included the Lake Side II Interconnection Project in plant in service beginning in May 2013.  This project will not be used and useful in providing service to customers until such time as the Lake Side II plant is on-line and being used to serve customers, which is after the end of the test year in this case.  The above adjustment removes the Lake Side II Interconnection Project from the average test year plant in service as well as the related impacts on the filing.</t>
  </si>
  <si>
    <t>OCS 3.3D</t>
  </si>
  <si>
    <t>OCS 3.4D</t>
  </si>
  <si>
    <t>OCS 3.5D</t>
  </si>
  <si>
    <t>OCS 3.6D</t>
  </si>
  <si>
    <t>OCS 3.8D</t>
  </si>
  <si>
    <t>OCS 3.10D</t>
  </si>
  <si>
    <t>OCS 3.9D</t>
  </si>
  <si>
    <t>OCS 3.11D</t>
  </si>
  <si>
    <t>OCS 3.12D</t>
  </si>
  <si>
    <t>OCS 3.13D</t>
  </si>
  <si>
    <t>OCS 3.14D</t>
  </si>
  <si>
    <t>OCS 3.15D</t>
  </si>
  <si>
    <t>OCS 3.17D</t>
  </si>
  <si>
    <t>RMP presented a new lead/lag study in this case based on 2010 data.  The revenue lag should be reduced by 1 day to incorporate the impact from the automated meters which were placed into service during and after 2010.  Additionally, there are several flaws in RMP's calculation of the Other O&amp;M Expense lag days.  OCS recommends that the Other O&amp;M Expense lag days be increased from 33.54 days to 42.31 days.  These revisions reduce the Company's proposed Utah Net Lag Days from 4.92 days to 1.45 days.  The above adjustment is based on the average daily expenses incorporated in RMP's filing.  The final amount of Cash Working Capital is automatically calculated in the JAM model using OCS' recommended adjusted test year expenses, which differs from the amount presented on line A.1, above.</t>
  </si>
  <si>
    <t>Other O&amp;M Calculation, as adjusted by OCS</t>
  </si>
  <si>
    <t>Above amounts based on RMP lead/lag study model, adjusted to remove all accounts</t>
  </si>
  <si>
    <t>payable items exceeding $2 million and adjusted to add 7 days for the service lag.</t>
  </si>
  <si>
    <t>Exhibit OCS 3.6D</t>
  </si>
  <si>
    <t>Exhibit OCS 3.9D</t>
  </si>
  <si>
    <t>Exhibit OCS 3.10D</t>
  </si>
  <si>
    <t>Exhibit OCS 3.11D</t>
  </si>
  <si>
    <t>Exhibit OCS 3.12D</t>
  </si>
  <si>
    <t>Exhibit OCS 3.13D</t>
  </si>
  <si>
    <t>The amount included in the adjusted test year for the FERC land use fee was based on an invoice amount proposed by FERC in 2009, which was vacated as the result of appeal.  Since the filing, the FERC land use fee invoice has been received by PacifiCorp, resulting in a much lower cost.  The above adjustment replaces the estimated cost in the filing with the actual invoice amount. OCS 8.16</t>
  </si>
  <si>
    <t>Response to OCS 8.16</t>
  </si>
  <si>
    <t>Exhibit OCS 3.14D</t>
  </si>
  <si>
    <t>The Company included costs associated with changing the oil in all of the turbines at nine of its 13 owned wind projects.  Several of the remaining wind projects will still be under warranty during part of or all of the test year.  The manufacturers recommend the oil be changed every 3 years.  The above adjustment allows for 1/3 of the projected test year expense assuming that the oil is changed based on the manufacturer recommendation of once every three years.</t>
  </si>
  <si>
    <t>Exhibit OCS 3.15D</t>
  </si>
  <si>
    <t>Exhibit OCS 3.16D</t>
  </si>
  <si>
    <t>Exhibit OCS 3.17D</t>
  </si>
  <si>
    <t xml:space="preserve">During the base year, RMP wrote-off several projects that had been included in Construction Work in Progress on its books.  The expense for the write-offs was escalated in determining the test year expenses.  The above projects were cancelled by the Company and the cost of these cancelled projects should not be passed on to customers.  </t>
  </si>
  <si>
    <t>The above adjustment removes from the test year expenses associated with the Deseret Matter.  RMP agreed that the interest write-off shown on line 1, above, should be removed from the test year.  The above adjustment removes additional amounts associated with the matter.</t>
  </si>
  <si>
    <t>Falkenberg</t>
  </si>
  <si>
    <t>Preliminary</t>
  </si>
  <si>
    <t>Confidential</t>
  </si>
  <si>
    <t>Non-Confidential</t>
  </si>
  <si>
    <t>Confidential Information Redacted</t>
  </si>
  <si>
    <t>108GP</t>
  </si>
  <si>
    <t>403GP</t>
  </si>
  <si>
    <t>LAKE SIDE II INTERCONNECTION PROJECT</t>
  </si>
  <si>
    <t>PROPERTY TAX EXPENSE CORRECTION</t>
  </si>
  <si>
    <t>Exhibit OCS 3.18D</t>
  </si>
  <si>
    <t>See Confidential Page 3.15.1D</t>
  </si>
  <si>
    <t>Witness: Donna Ramas</t>
  </si>
  <si>
    <t xml:space="preserve">(2)  Other Operation &amp; Maintenance Lag Days revised from Company calculated amount of 33.54 days to OCS recommended </t>
  </si>
  <si>
    <t>Non-T&amp;D Property Insurance Expense</t>
  </si>
  <si>
    <t>Non-T&amp;D Maintenance Expesnse</t>
  </si>
  <si>
    <t>The above adjustment removes the impact of RMP's escalation of historic costs prior to determining the four-year average normalized cost level, consistent with prior Commission orders.</t>
  </si>
  <si>
    <t>Total Expense Reduction</t>
  </si>
  <si>
    <t>Exhibit RMP__(SRM-3), pp. 4.8.1 and 4.8.2</t>
  </si>
  <si>
    <t>TME 6/30/11</t>
  </si>
  <si>
    <t>Per RMP Actual</t>
  </si>
  <si>
    <t>Reduction to PBOP Expense</t>
  </si>
  <si>
    <t>Since the time of its filing, RMP has received updated Post-Retirement Benefit - FAS 106 expense projections for the 2012 plan year from its actuarial firm which were significantly lower than the amount incorporated in the filing for the same period.  The Company did not provide updated 2013 plan year data.  The above adjustment results in the expense being based on the updated 2012 data received from the actuarial firm.  OCS 6.12</t>
  </si>
  <si>
    <t>Source:  Response to OCS Data Request 8.2</t>
  </si>
  <si>
    <t>During the base year, costs were incurred by the Company associated with a rate dispute with an industrial in the State of Oregon (Wah Chang).  The costs should be assigned directly to the Oregon jurisdiction and not allocated to Utah.  The above adjustment removes the amount included in the test year associated with the Oregon rate dispute.  OCS 8.8 Confidential.</t>
  </si>
  <si>
    <t>Response to OCS Data Request 6.2</t>
  </si>
  <si>
    <t>Responses to OCS Data Request 8.39, Attachment OCS 8.39 and OCS Data Request 14.4,</t>
  </si>
  <si>
    <t xml:space="preserve">    Attachment OCS 14.4 -1.</t>
  </si>
  <si>
    <t>Page 3.6.1</t>
  </si>
  <si>
    <t>Page 3.9.1</t>
  </si>
  <si>
    <t>Page 3.9.2</t>
  </si>
  <si>
    <t>Page 3.10.1</t>
  </si>
  <si>
    <t>Page 3.15.1</t>
  </si>
  <si>
    <t>Page 3.18.1</t>
  </si>
  <si>
    <t>CALCULATION OF ADJUSTED ENERGY REQUIREMENTS FOR JURISDICTIONAL ALLOCATION</t>
  </si>
  <si>
    <t>Exhibit OCS 3.7D</t>
  </si>
  <si>
    <t>Test Year Ending May 30, 2013</t>
  </si>
  <si>
    <t>Witness:  Donna Ramas</t>
  </si>
  <si>
    <t>Oregon</t>
  </si>
  <si>
    <t>Washington</t>
  </si>
  <si>
    <t>California</t>
  </si>
  <si>
    <t>Idaho</t>
  </si>
  <si>
    <t>Wyoming</t>
  </si>
  <si>
    <t>FERC</t>
  </si>
  <si>
    <t>(b)</t>
  </si>
  <si>
    <t>(c)</t>
  </si>
  <si>
    <t>(d)</t>
  </si>
  <si>
    <t>(e)</t>
  </si>
  <si>
    <t>(f)</t>
  </si>
  <si>
    <t>(g)</t>
  </si>
  <si>
    <t>(h)</t>
  </si>
  <si>
    <t>(i)</t>
  </si>
  <si>
    <t>(j)</t>
  </si>
  <si>
    <t>Line Losses</t>
  </si>
  <si>
    <t>RMP Test Year Projection (Average of 2006 - 2010)</t>
  </si>
  <si>
    <t>OCS Test Year Projection (Average of 2007-2011)</t>
  </si>
  <si>
    <t>Calculation of TY Loads for JAM</t>
  </si>
  <si>
    <t>Forecasted TY Sales (MWh), per RMP</t>
  </si>
  <si>
    <t>Line Losses, per OCS (Line 8)</t>
  </si>
  <si>
    <t>Requirements Forecast (MWh)</t>
  </si>
  <si>
    <t>Plus: Ancillary Services Contracts, per RMP</t>
  </si>
  <si>
    <t>Less: Curtails, Buy-Throughs and Load Reduction, per RMP</t>
  </si>
  <si>
    <t>Loads for Jurisdictional Allocation (MWh), per OCS</t>
  </si>
  <si>
    <t>Loads for Jurisdictional Allocation (MWh), per RMP</t>
  </si>
  <si>
    <t>Impact of Change in Line Loss Factor (MWh)</t>
  </si>
  <si>
    <t>Lines 1 - 6:  Response to OCS Data Request 5.2</t>
  </si>
  <si>
    <t>Line 9:  Forecasted TY Sales (MWh) by state from response to OCS Data Request 5.21.  FERC amount from Exhibit RMP__(SRM-3), page 11.16.</t>
  </si>
  <si>
    <t>Lines 12, 13, 15:  Exhibit RMP__(SRM-3), page 11.16</t>
  </si>
  <si>
    <t>OCS 3.16D Confid</t>
  </si>
  <si>
    <t>OCS 3.18D Confid</t>
  </si>
  <si>
    <t>Page 3.13.1</t>
  </si>
  <si>
    <t>Page 3.14.1 - 3.14.4</t>
  </si>
  <si>
    <t>Page 3.17.1</t>
  </si>
  <si>
    <t>Many of the wind facilities are going off warranty either before or during the test year.  As a result, RMP increased the amount of expense for replacement parts and materials in the test year.  The amount included in the test year for the wind turbine materials expense is overstated.  OCS recommends that the forecast test year costs be reduced by 8.89%.  See confidential testimony and confidential Page 3.13.1 for further details.</t>
  </si>
  <si>
    <t>Page 3.5.1</t>
  </si>
  <si>
    <t>Page 3.5.2</t>
  </si>
  <si>
    <t>See Page 3.5.1</t>
  </si>
  <si>
    <t xml:space="preserve">       amount of 42.31 days shown on page 3.5.2.</t>
  </si>
  <si>
    <t>ADIT</t>
  </si>
  <si>
    <t>OCS 3.19D Confid</t>
  </si>
  <si>
    <t>ACCUMULATED DEFERRED INCOME TAXES</t>
  </si>
  <si>
    <t>Exhibit OCS 3.19D</t>
  </si>
  <si>
    <t>ADIT Balance</t>
  </si>
</sst>
</file>

<file path=xl/styles.xml><?xml version="1.0" encoding="utf-8"?>
<styleSheet xmlns="http://schemas.openxmlformats.org/spreadsheetml/2006/main">
  <numFmts count="7">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s>
  <fonts count="27">
    <font>
      <sz val="12"/>
      <name val="Times New Roman"/>
      <family val="1"/>
    </font>
    <font>
      <sz val="10"/>
      <name val="Arial"/>
    </font>
    <font>
      <sz val="10"/>
      <name val="Arial"/>
    </font>
    <font>
      <u/>
      <sz val="12"/>
      <name val="Times New Roman"/>
      <family val="1"/>
    </font>
    <font>
      <sz val="12"/>
      <name val="Times New Roman"/>
      <family val="1"/>
    </font>
    <font>
      <b/>
      <sz val="12"/>
      <name val="Times New Roman"/>
      <family val="1"/>
    </font>
    <font>
      <sz val="12"/>
      <name val="Times New Roman"/>
      <family val="1"/>
    </font>
    <font>
      <sz val="10"/>
      <name val="Times New Roman"/>
      <family val="1"/>
    </font>
    <font>
      <sz val="8"/>
      <name val="Times New Roman"/>
      <family val="1"/>
    </font>
    <font>
      <sz val="10"/>
      <name val="MS Sans Serif"/>
      <family val="2"/>
    </font>
    <font>
      <sz val="12"/>
      <name val="Times New Roman"/>
      <family val="1"/>
    </font>
    <font>
      <u/>
      <sz val="10"/>
      <name val="Times New Roman"/>
      <family val="1"/>
    </font>
    <font>
      <sz val="10"/>
      <name val="Arial"/>
      <family val="2"/>
    </font>
    <font>
      <sz val="10"/>
      <color indexed="8"/>
      <name val="Arial"/>
      <family val="2"/>
    </font>
    <font>
      <b/>
      <sz val="11"/>
      <color theme="1"/>
      <name val="Calibri"/>
      <family val="2"/>
      <scheme val="minor"/>
    </font>
    <font>
      <b/>
      <sz val="10"/>
      <name val="Arial"/>
      <family val="2"/>
    </font>
    <font>
      <sz val="9"/>
      <name val="Arial"/>
      <family val="2"/>
    </font>
    <font>
      <b/>
      <sz val="8"/>
      <name val="Arial"/>
      <family val="2"/>
    </font>
    <font>
      <vertAlign val="superscript"/>
      <sz val="9"/>
      <name val="Arial"/>
      <family val="2"/>
    </font>
    <font>
      <vertAlign val="superscript"/>
      <sz val="10"/>
      <name val="Arial"/>
      <family val="2"/>
    </font>
    <font>
      <sz val="8"/>
      <name val="Arial"/>
      <family val="2"/>
    </font>
    <font>
      <b/>
      <sz val="10"/>
      <color theme="1"/>
      <name val="Arial"/>
      <family val="2"/>
    </font>
    <font>
      <sz val="10"/>
      <color theme="1"/>
      <name val="Arial"/>
      <family val="2"/>
    </font>
    <font>
      <b/>
      <sz val="10"/>
      <color indexed="8"/>
      <name val="Arial"/>
      <family val="2"/>
    </font>
    <font>
      <sz val="12"/>
      <color theme="1"/>
      <name val="Times New Roman"/>
      <family val="1"/>
    </font>
    <font>
      <sz val="11"/>
      <color theme="1"/>
      <name val="Times New Roman"/>
      <family val="1"/>
    </font>
    <font>
      <u/>
      <sz val="12"/>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23">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20">
    <xf numFmtId="0" fontId="0" fillId="0" borderId="0"/>
    <xf numFmtId="41" fontId="1" fillId="0" borderId="0" applyFont="0" applyFill="0" applyBorder="0" applyAlignment="0" applyProtection="0"/>
    <xf numFmtId="43" fontId="9" fillId="0" borderId="0" applyFont="0" applyFill="0" applyBorder="0" applyAlignment="0" applyProtection="0"/>
    <xf numFmtId="0" fontId="9" fillId="0" borderId="0"/>
    <xf numFmtId="41" fontId="4" fillId="0" borderId="0"/>
    <xf numFmtId="41" fontId="4" fillId="0" borderId="0"/>
    <xf numFmtId="9" fontId="2" fillId="0" borderId="0" applyFont="0" applyFill="0" applyBorder="0" applyAlignment="0" applyProtection="0"/>
    <xf numFmtId="9" fontId="9" fillId="0" borderId="0" applyFont="0" applyFill="0" applyBorder="0" applyAlignment="0" applyProtection="0"/>
    <xf numFmtId="4" fontId="13" fillId="2" borderId="1" applyNumberFormat="0" applyProtection="0">
      <alignment horizontal="left" vertical="center" indent="1"/>
    </xf>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3" fillId="0" borderId="0"/>
  </cellStyleXfs>
  <cellXfs count="236">
    <xf numFmtId="0" fontId="0" fillId="0" borderId="0" xfId="0"/>
    <xf numFmtId="0" fontId="0" fillId="0" borderId="0" xfId="0" applyAlignment="1">
      <alignment horizontal="center"/>
    </xf>
    <xf numFmtId="0" fontId="0" fillId="0" borderId="2" xfId="0" applyBorder="1"/>
    <xf numFmtId="0" fontId="3" fillId="0" borderId="0" xfId="0" applyFont="1"/>
    <xf numFmtId="0" fontId="0" fillId="0" borderId="0" xfId="0" applyBorder="1"/>
    <xf numFmtId="0" fontId="0" fillId="0" borderId="0" xfId="0" applyAlignment="1">
      <alignment horizontal="left"/>
    </xf>
    <xf numFmtId="41" fontId="0" fillId="0" borderId="0" xfId="0" applyNumberFormat="1"/>
    <xf numFmtId="0" fontId="4" fillId="0" borderId="0" xfId="0" applyFont="1"/>
    <xf numFmtId="0" fontId="0" fillId="0" borderId="0" xfId="0" applyBorder="1" applyAlignment="1">
      <alignment horizontal="center"/>
    </xf>
    <xf numFmtId="0" fontId="4" fillId="0" borderId="0" xfId="0" applyFont="1" applyAlignment="1">
      <alignment horizontal="left"/>
    </xf>
    <xf numFmtId="0" fontId="0" fillId="0" borderId="2" xfId="0" applyBorder="1" applyAlignment="1">
      <alignment horizontal="center"/>
    </xf>
    <xf numFmtId="0" fontId="0" fillId="0" borderId="2" xfId="0" quotePrefix="1" applyBorder="1" applyAlignment="1">
      <alignment horizontal="center"/>
    </xf>
    <xf numFmtId="41" fontId="0" fillId="0" borderId="0" xfId="0" applyNumberFormat="1" applyBorder="1"/>
    <xf numFmtId="0" fontId="0" fillId="0" borderId="0" xfId="0" quotePrefix="1"/>
    <xf numFmtId="41" fontId="0" fillId="0" borderId="3" xfId="0" applyNumberFormat="1" applyBorder="1"/>
    <xf numFmtId="0" fontId="3" fillId="0" borderId="0" xfId="0" applyFont="1" applyBorder="1" applyAlignment="1">
      <alignment horizontal="center"/>
    </xf>
    <xf numFmtId="0" fontId="4" fillId="0" borderId="0" xfId="0" applyFont="1" applyAlignment="1">
      <alignment horizontal="center"/>
    </xf>
    <xf numFmtId="0" fontId="4" fillId="0" borderId="0" xfId="0" quotePrefix="1" applyFont="1"/>
    <xf numFmtId="41" fontId="4" fillId="0" borderId="0" xfId="5"/>
    <xf numFmtId="0" fontId="5" fillId="0" borderId="0" xfId="0" applyFont="1"/>
    <xf numFmtId="0" fontId="0" fillId="0" borderId="0" xfId="0" applyFill="1" applyBorder="1"/>
    <xf numFmtId="41" fontId="0" fillId="0" borderId="0" xfId="1" applyNumberFormat="1" applyFont="1" applyBorder="1"/>
    <xf numFmtId="10" fontId="0" fillId="0" borderId="0" xfId="6" applyNumberFormat="1" applyFont="1" applyBorder="1"/>
    <xf numFmtId="0" fontId="6" fillId="0" borderId="0" xfId="0" applyFont="1"/>
    <xf numFmtId="41" fontId="4" fillId="0" borderId="0" xfId="4"/>
    <xf numFmtId="10" fontId="4" fillId="0" borderId="0" xfId="4" applyNumberFormat="1"/>
    <xf numFmtId="10" fontId="4" fillId="0" borderId="0" xfId="4" applyNumberFormat="1" applyFont="1"/>
    <xf numFmtId="41" fontId="4" fillId="0" borderId="0" xfId="4" applyFont="1"/>
    <xf numFmtId="41" fontId="4" fillId="0" borderId="0" xfId="4" applyFont="1" applyAlignment="1">
      <alignment horizontal="center"/>
    </xf>
    <xf numFmtId="41" fontId="7" fillId="0" borderId="0" xfId="4" applyFont="1" applyAlignment="1">
      <alignment horizontal="center"/>
    </xf>
    <xf numFmtId="41" fontId="4" fillId="0" borderId="0" xfId="4" applyAlignment="1">
      <alignment horizontal="center"/>
    </xf>
    <xf numFmtId="0" fontId="7" fillId="0" borderId="0" xfId="0" applyFont="1" applyAlignment="1">
      <alignment horizontal="center"/>
    </xf>
    <xf numFmtId="41" fontId="4" fillId="0" borderId="0" xfId="4" applyBorder="1"/>
    <xf numFmtId="41" fontId="4" fillId="0" borderId="0" xfId="4" applyFont="1" applyAlignment="1">
      <alignment horizontal="right"/>
    </xf>
    <xf numFmtId="41" fontId="4" fillId="0" borderId="2" xfId="4" applyBorder="1"/>
    <xf numFmtId="41" fontId="4" fillId="0" borderId="3" xfId="4" applyBorder="1"/>
    <xf numFmtId="0" fontId="3" fillId="0" borderId="0" xfId="0" applyFont="1" applyAlignment="1">
      <alignment horizontal="center"/>
    </xf>
    <xf numFmtId="0" fontId="4" fillId="0" borderId="0" xfId="0" applyFont="1" applyBorder="1" applyAlignment="1">
      <alignment horizontal="center"/>
    </xf>
    <xf numFmtId="0" fontId="4" fillId="0" borderId="0" xfId="0" applyFont="1" applyBorder="1"/>
    <xf numFmtId="0" fontId="3" fillId="0" borderId="0" xfId="0" applyFont="1" applyBorder="1"/>
    <xf numFmtId="41" fontId="0" fillId="0" borderId="2" xfId="0" applyNumberFormat="1" applyBorder="1"/>
    <xf numFmtId="0" fontId="6" fillId="0" borderId="0" xfId="0" applyFont="1" applyBorder="1"/>
    <xf numFmtId="0" fontId="6" fillId="0" borderId="0" xfId="0" applyFont="1" applyBorder="1" applyAlignment="1">
      <alignment horizontal="center"/>
    </xf>
    <xf numFmtId="0" fontId="6" fillId="0" borderId="0" xfId="0" applyFont="1" applyAlignment="1">
      <alignment horizontal="center"/>
    </xf>
    <xf numFmtId="41" fontId="6" fillId="0" borderId="0" xfId="0" applyNumberFormat="1" applyFont="1" applyBorder="1"/>
    <xf numFmtId="41" fontId="6" fillId="0" borderId="0" xfId="0" applyNumberFormat="1" applyFont="1"/>
    <xf numFmtId="41" fontId="0" fillId="0" borderId="0" xfId="1" applyFont="1"/>
    <xf numFmtId="41" fontId="0" fillId="0" borderId="2" xfId="1" applyFont="1" applyBorder="1"/>
    <xf numFmtId="41" fontId="0" fillId="0" borderId="3" xfId="1" applyFont="1" applyBorder="1"/>
    <xf numFmtId="10" fontId="0" fillId="0" borderId="2" xfId="6" applyNumberFormat="1" applyFont="1" applyBorder="1"/>
    <xf numFmtId="41" fontId="0" fillId="0" borderId="0" xfId="1" applyFont="1" applyBorder="1"/>
    <xf numFmtId="165" fontId="6" fillId="0" borderId="0" xfId="6" applyNumberFormat="1" applyFont="1" applyBorder="1" applyAlignment="1">
      <alignment horizontal="center"/>
    </xf>
    <xf numFmtId="41" fontId="6" fillId="0" borderId="2" xfId="0" applyNumberFormat="1" applyFont="1" applyBorder="1"/>
    <xf numFmtId="41" fontId="5" fillId="0" borderId="0" xfId="4" applyFont="1"/>
    <xf numFmtId="41" fontId="4" fillId="0" borderId="0" xfId="4" applyFont="1" applyBorder="1"/>
    <xf numFmtId="41" fontId="0" fillId="0" borderId="7" xfId="1" applyFont="1" applyBorder="1"/>
    <xf numFmtId="0" fontId="0" fillId="0" borderId="0" xfId="0" quotePrefix="1" applyAlignment="1">
      <alignment horizontal="center"/>
    </xf>
    <xf numFmtId="10" fontId="0" fillId="0" borderId="0" xfId="6" applyNumberFormat="1" applyFont="1"/>
    <xf numFmtId="0" fontId="7" fillId="0" borderId="0" xfId="3" applyFont="1"/>
    <xf numFmtId="166" fontId="7" fillId="0" borderId="0" xfId="2" applyNumberFormat="1" applyFont="1" applyAlignment="1">
      <alignment horizontal="center"/>
    </xf>
    <xf numFmtId="10" fontId="7" fillId="0" borderId="0" xfId="7" applyNumberFormat="1" applyFont="1"/>
    <xf numFmtId="0" fontId="10" fillId="0" borderId="0" xfId="0" applyFont="1" applyAlignment="1">
      <alignment horizontal="center"/>
    </xf>
    <xf numFmtId="0" fontId="11" fillId="0" borderId="0" xfId="3" applyFont="1"/>
    <xf numFmtId="166" fontId="11" fillId="0" borderId="0" xfId="2" applyNumberFormat="1" applyFont="1" applyAlignment="1">
      <alignment horizontal="center"/>
    </xf>
    <xf numFmtId="10" fontId="11" fillId="0" borderId="0" xfId="7" applyNumberFormat="1" applyFont="1" applyAlignment="1">
      <alignment horizontal="center"/>
    </xf>
    <xf numFmtId="166" fontId="7" fillId="0" borderId="0" xfId="2" applyNumberFormat="1" applyFont="1"/>
    <xf numFmtId="0" fontId="7" fillId="0" borderId="0" xfId="3" applyFont="1" applyBorder="1"/>
    <xf numFmtId="166" fontId="7" fillId="0" borderId="0" xfId="3" applyNumberFormat="1" applyFont="1" applyBorder="1"/>
    <xf numFmtId="0" fontId="10" fillId="0" borderId="0" xfId="0" applyFont="1"/>
    <xf numFmtId="164" fontId="7" fillId="0" borderId="0" xfId="0" applyNumberFormat="1" applyFont="1"/>
    <xf numFmtId="41" fontId="0" fillId="0" borderId="0" xfId="4" applyFont="1" applyAlignment="1">
      <alignment horizontal="center"/>
    </xf>
    <xf numFmtId="0" fontId="0" fillId="0" borderId="9" xfId="0" applyBorder="1"/>
    <xf numFmtId="0" fontId="0" fillId="0" borderId="10" xfId="0" applyBorder="1"/>
    <xf numFmtId="43" fontId="0" fillId="0" borderId="4" xfId="1" applyNumberFormat="1" applyFont="1" applyBorder="1"/>
    <xf numFmtId="0" fontId="14" fillId="0" borderId="12" xfId="0" applyFont="1" applyBorder="1"/>
    <xf numFmtId="0" fontId="14" fillId="0" borderId="2" xfId="0" applyFont="1" applyBorder="1" applyAlignment="1">
      <alignment horizontal="center"/>
    </xf>
    <xf numFmtId="43" fontId="14" fillId="0" borderId="6" xfId="1" applyNumberFormat="1" applyFont="1" applyBorder="1"/>
    <xf numFmtId="43" fontId="14" fillId="3" borderId="13" xfId="1" applyNumberFormat="1" applyFont="1" applyFill="1" applyBorder="1"/>
    <xf numFmtId="43" fontId="14" fillId="3" borderId="4" xfId="1" applyNumberFormat="1" applyFont="1" applyFill="1" applyBorder="1"/>
    <xf numFmtId="43" fontId="14" fillId="3" borderId="14" xfId="1" applyNumberFormat="1" applyFont="1" applyFill="1" applyBorder="1"/>
    <xf numFmtId="43" fontId="14" fillId="3" borderId="6" xfId="1" applyNumberFormat="1" applyFont="1" applyFill="1" applyBorder="1"/>
    <xf numFmtId="0" fontId="0" fillId="0" borderId="0" xfId="0" applyFill="1" applyBorder="1" applyAlignment="1">
      <alignment horizontal="center"/>
    </xf>
    <xf numFmtId="0" fontId="14" fillId="0" borderId="0" xfId="0" applyFont="1" applyBorder="1"/>
    <xf numFmtId="0" fontId="14" fillId="0" borderId="0" xfId="0" applyFont="1" applyBorder="1" applyAlignment="1">
      <alignment horizontal="center"/>
    </xf>
    <xf numFmtId="43" fontId="14" fillId="0" borderId="0" xfId="1" applyNumberFormat="1" applyFont="1" applyBorder="1"/>
    <xf numFmtId="43" fontId="14" fillId="3" borderId="0" xfId="1" applyNumberFormat="1" applyFont="1" applyFill="1" applyBorder="1"/>
    <xf numFmtId="43" fontId="0" fillId="0" borderId="0" xfId="1" applyNumberFormat="1" applyFont="1" applyFill="1" applyBorder="1"/>
    <xf numFmtId="43" fontId="0" fillId="0" borderId="2" xfId="1" applyNumberFormat="1" applyFont="1" applyFill="1" applyBorder="1"/>
    <xf numFmtId="43" fontId="0" fillId="0" borderId="0" xfId="0" applyNumberFormat="1" applyBorder="1"/>
    <xf numFmtId="41" fontId="0" fillId="0" borderId="0" xfId="5" applyFont="1"/>
    <xf numFmtId="41" fontId="7" fillId="0" borderId="0" xfId="4" applyFont="1" applyFill="1" applyAlignment="1">
      <alignment horizontal="center"/>
    </xf>
    <xf numFmtId="41" fontId="0" fillId="0" borderId="0" xfId="4" applyFont="1"/>
    <xf numFmtId="41" fontId="0" fillId="0" borderId="0" xfId="4" applyFont="1" applyBorder="1"/>
    <xf numFmtId="41" fontId="0" fillId="0" borderId="7" xfId="0" applyNumberFormat="1" applyBorder="1"/>
    <xf numFmtId="41" fontId="6" fillId="0" borderId="7" xfId="0" applyNumberFormat="1" applyFont="1" applyBorder="1"/>
    <xf numFmtId="164" fontId="7" fillId="0" borderId="0" xfId="3" applyNumberFormat="1" applyFont="1" applyBorder="1"/>
    <xf numFmtId="164" fontId="7" fillId="0" borderId="0" xfId="0" applyNumberFormat="1" applyFont="1" applyBorder="1"/>
    <xf numFmtId="10" fontId="7" fillId="0" borderId="0" xfId="7" applyNumberFormat="1" applyFont="1" applyBorder="1"/>
    <xf numFmtId="0" fontId="10" fillId="0" borderId="0" xfId="0" applyFont="1" applyBorder="1"/>
    <xf numFmtId="165" fontId="0" fillId="0" borderId="2" xfId="6" applyNumberFormat="1" applyFont="1" applyBorder="1"/>
    <xf numFmtId="0" fontId="7" fillId="0" borderId="0" xfId="0" applyFont="1" applyFill="1" applyAlignment="1">
      <alignment horizontal="center"/>
    </xf>
    <xf numFmtId="41" fontId="0" fillId="0" borderId="2" xfId="4" applyFont="1" applyBorder="1"/>
    <xf numFmtId="41" fontId="0" fillId="0" borderId="0" xfId="1" quotePrefix="1" applyFont="1"/>
    <xf numFmtId="41" fontId="0" fillId="0" borderId="8" xfId="1" applyFont="1" applyBorder="1"/>
    <xf numFmtId="165" fontId="0" fillId="0" borderId="0" xfId="6" applyNumberFormat="1" applyFont="1" applyAlignment="1">
      <alignment horizontal="center"/>
    </xf>
    <xf numFmtId="43" fontId="0" fillId="0" borderId="0" xfId="0" applyNumberFormat="1"/>
    <xf numFmtId="165" fontId="0" fillId="0" borderId="0" xfId="6" applyNumberFormat="1" applyFont="1" applyBorder="1"/>
    <xf numFmtId="9" fontId="0" fillId="0" borderId="0" xfId="6" applyFont="1" applyBorder="1"/>
    <xf numFmtId="165" fontId="0" fillId="0" borderId="0" xfId="6" applyNumberFormat="1" applyFont="1" applyBorder="1" applyAlignment="1">
      <alignment horizontal="center"/>
    </xf>
    <xf numFmtId="44" fontId="0" fillId="0" borderId="2" xfId="16" applyFont="1" applyBorder="1"/>
    <xf numFmtId="167" fontId="0" fillId="0" borderId="2" xfId="16" applyNumberFormat="1" applyFont="1" applyBorder="1"/>
    <xf numFmtId="0" fontId="12" fillId="0" borderId="0" xfId="3" applyFont="1"/>
    <xf numFmtId="166" fontId="12" fillId="0" borderId="0" xfId="17" applyNumberFormat="1" applyFont="1"/>
    <xf numFmtId="10" fontId="12" fillId="0" borderId="0" xfId="18" applyNumberFormat="1" applyFont="1"/>
    <xf numFmtId="166" fontId="12" fillId="0" borderId="0" xfId="17" applyNumberFormat="1" applyFont="1" applyFill="1"/>
    <xf numFmtId="0" fontId="15" fillId="0" borderId="7" xfId="3" applyFont="1" applyBorder="1"/>
    <xf numFmtId="166" fontId="15" fillId="0" borderId="7" xfId="3" applyNumberFormat="1" applyFont="1" applyFill="1" applyBorder="1"/>
    <xf numFmtId="10" fontId="15" fillId="0" borderId="7" xfId="18" applyNumberFormat="1" applyFont="1" applyBorder="1"/>
    <xf numFmtId="0" fontId="12" fillId="0" borderId="0" xfId="3" applyFont="1" applyFill="1"/>
    <xf numFmtId="10" fontId="0" fillId="0" borderId="2" xfId="0" applyNumberFormat="1" applyBorder="1"/>
    <xf numFmtId="166" fontId="0" fillId="0" borderId="7" xfId="0" quotePrefix="1" applyNumberFormat="1" applyBorder="1"/>
    <xf numFmtId="165" fontId="12" fillId="0" borderId="0" xfId="18" applyNumberFormat="1" applyFont="1" applyFill="1" applyAlignment="1">
      <alignment horizontal="center"/>
    </xf>
    <xf numFmtId="0" fontId="0" fillId="0" borderId="0" xfId="0" applyFont="1" applyBorder="1"/>
    <xf numFmtId="0" fontId="0" fillId="0" borderId="0" xfId="0" applyAlignment="1">
      <alignment horizontal="center" vertical="center"/>
    </xf>
    <xf numFmtId="165" fontId="0" fillId="0" borderId="0" xfId="6" applyNumberFormat="1" applyFont="1"/>
    <xf numFmtId="41" fontId="0" fillId="0" borderId="15" xfId="1" applyFont="1" applyBorder="1"/>
    <xf numFmtId="10" fontId="6" fillId="0" borderId="2" xfId="6" applyNumberFormat="1" applyFont="1" applyBorder="1"/>
    <xf numFmtId="10" fontId="6" fillId="0" borderId="2" xfId="0" applyNumberFormat="1" applyFont="1" applyBorder="1"/>
    <xf numFmtId="41" fontId="0" fillId="4" borderId="2" xfId="4" applyFont="1" applyFill="1" applyBorder="1" applyAlignment="1">
      <alignment horizontal="center"/>
    </xf>
    <xf numFmtId="0" fontId="15" fillId="0" borderId="7" xfId="0" applyFont="1" applyBorder="1" applyAlignment="1">
      <alignment horizontal="left"/>
    </xf>
    <xf numFmtId="0" fontId="15" fillId="0" borderId="7" xfId="0" applyFont="1" applyBorder="1" applyAlignment="1">
      <alignment horizontal="center"/>
    </xf>
    <xf numFmtId="0" fontId="16" fillId="0" borderId="0" xfId="0" applyFont="1" applyAlignment="1">
      <alignment horizontal="center"/>
    </xf>
    <xf numFmtId="0" fontId="15" fillId="0" borderId="0" xfId="0" applyFont="1"/>
    <xf numFmtId="0" fontId="17" fillId="0" borderId="0" xfId="0" applyFont="1"/>
    <xf numFmtId="0" fontId="0" fillId="0" borderId="0" xfId="0" applyAlignment="1">
      <alignment horizontal="left" indent="1"/>
    </xf>
    <xf numFmtId="0" fontId="15" fillId="0" borderId="7" xfId="0" applyFont="1" applyBorder="1" applyAlignment="1">
      <alignment horizontal="left" indent="1"/>
    </xf>
    <xf numFmtId="0" fontId="16" fillId="0" borderId="7" xfId="0" applyFont="1" applyBorder="1"/>
    <xf numFmtId="0" fontId="16" fillId="0" borderId="0" xfId="0" applyFont="1"/>
    <xf numFmtId="0" fontId="0" fillId="0" borderId="0" xfId="0" applyAlignment="1">
      <alignment horizontal="left" indent="2"/>
    </xf>
    <xf numFmtId="0" fontId="0" fillId="0" borderId="2" xfId="0" applyBorder="1" applyAlignment="1">
      <alignment horizontal="left" indent="2"/>
    </xf>
    <xf numFmtId="0" fontId="16" fillId="0" borderId="2" xfId="0" applyFont="1" applyBorder="1" applyAlignment="1">
      <alignment horizontal="center"/>
    </xf>
    <xf numFmtId="0" fontId="16" fillId="0" borderId="0" xfId="0" applyFont="1" applyBorder="1"/>
    <xf numFmtId="0" fontId="15" fillId="0" borderId="7" xfId="0" applyFont="1" applyBorder="1"/>
    <xf numFmtId="0" fontId="17" fillId="0" borderId="7" xfId="0" applyFont="1" applyBorder="1"/>
    <xf numFmtId="0" fontId="20" fillId="0" borderId="0" xfId="0" applyFont="1"/>
    <xf numFmtId="0" fontId="15" fillId="0" borderId="0" xfId="0" applyFont="1" applyBorder="1"/>
    <xf numFmtId="0" fontId="17" fillId="0" borderId="0" xfId="0" applyFont="1" applyBorder="1"/>
    <xf numFmtId="0" fontId="15" fillId="0" borderId="0" xfId="0" applyFont="1" applyBorder="1" applyAlignment="1">
      <alignment horizontal="center"/>
    </xf>
    <xf numFmtId="166" fontId="15" fillId="0" borderId="7" xfId="11" applyNumberFormat="1" applyFont="1" applyBorder="1"/>
    <xf numFmtId="166" fontId="12" fillId="0" borderId="0" xfId="0" applyNumberFormat="1" applyFont="1" applyBorder="1"/>
    <xf numFmtId="166" fontId="12" fillId="0" borderId="0" xfId="11" applyNumberFormat="1"/>
    <xf numFmtId="166" fontId="15" fillId="0" borderId="7" xfId="0" applyNumberFormat="1" applyFont="1" applyBorder="1"/>
    <xf numFmtId="2" fontId="0" fillId="0" borderId="0" xfId="0" applyNumberFormat="1"/>
    <xf numFmtId="166" fontId="0" fillId="0" borderId="0" xfId="0" applyNumberFormat="1"/>
    <xf numFmtId="166" fontId="0" fillId="0" borderId="2" xfId="0" applyNumberFormat="1" applyBorder="1"/>
    <xf numFmtId="0" fontId="12" fillId="0" borderId="0" xfId="0" applyFont="1" applyBorder="1"/>
    <xf numFmtId="43" fontId="15" fillId="0" borderId="7" xfId="11" applyFont="1" applyBorder="1"/>
    <xf numFmtId="43" fontId="15" fillId="0" borderId="0" xfId="0" applyNumberFormat="1" applyFont="1" applyBorder="1"/>
    <xf numFmtId="2" fontId="0" fillId="0" borderId="2" xfId="0" applyNumberFormat="1" applyBorder="1"/>
    <xf numFmtId="0" fontId="21" fillId="0" borderId="0" xfId="0" applyFont="1"/>
    <xf numFmtId="0" fontId="22" fillId="0" borderId="0" xfId="0" applyFont="1" applyBorder="1" applyAlignment="1"/>
    <xf numFmtId="0" fontId="23" fillId="0" borderId="16" xfId="19" applyFont="1" applyFill="1" applyBorder="1" applyAlignment="1">
      <alignment horizontal="center"/>
    </xf>
    <xf numFmtId="166" fontId="23" fillId="0" borderId="17" xfId="1" applyNumberFormat="1" applyFont="1" applyFill="1" applyBorder="1" applyAlignment="1">
      <alignment horizontal="center"/>
    </xf>
    <xf numFmtId="0" fontId="23" fillId="0" borderId="17" xfId="19" applyFont="1" applyFill="1" applyBorder="1" applyAlignment="1">
      <alignment horizontal="center"/>
    </xf>
    <xf numFmtId="166" fontId="23" fillId="0" borderId="18" xfId="1" applyNumberFormat="1" applyFont="1" applyFill="1" applyBorder="1" applyAlignment="1">
      <alignment horizontal="center"/>
    </xf>
    <xf numFmtId="43" fontId="13" fillId="0" borderId="0" xfId="1" applyNumberFormat="1" applyFont="1" applyFill="1" applyBorder="1" applyAlignment="1">
      <alignment horizontal="center" wrapText="1"/>
    </xf>
    <xf numFmtId="43" fontId="23" fillId="0" borderId="19" xfId="1" applyNumberFormat="1" applyFont="1" applyFill="1" applyBorder="1" applyAlignment="1">
      <alignment horizontal="center" wrapText="1"/>
    </xf>
    <xf numFmtId="166" fontId="23" fillId="0" borderId="19" xfId="1" applyNumberFormat="1" applyFont="1" applyFill="1" applyBorder="1" applyAlignment="1">
      <alignment horizontal="right" wrapText="1"/>
    </xf>
    <xf numFmtId="166" fontId="23" fillId="0" borderId="20" xfId="1" applyNumberFormat="1" applyFont="1" applyFill="1" applyBorder="1" applyAlignment="1">
      <alignment horizontal="center" wrapText="1"/>
    </xf>
    <xf numFmtId="41" fontId="0" fillId="0" borderId="4" xfId="1" applyFont="1" applyBorder="1"/>
    <xf numFmtId="41" fontId="0" fillId="0" borderId="5" xfId="1" applyFont="1" applyBorder="1"/>
    <xf numFmtId="41" fontId="0" fillId="0" borderId="6" xfId="1" applyFont="1" applyBorder="1"/>
    <xf numFmtId="0" fontId="0" fillId="0" borderId="11" xfId="0" applyBorder="1"/>
    <xf numFmtId="0" fontId="0" fillId="0" borderId="12" xfId="0" applyBorder="1"/>
    <xf numFmtId="166" fontId="23" fillId="0" borderId="21" xfId="1" applyNumberFormat="1" applyFont="1" applyFill="1" applyBorder="1" applyAlignment="1">
      <alignment horizontal="right" wrapText="1"/>
    </xf>
    <xf numFmtId="43" fontId="13" fillId="0" borderId="2" xfId="1" applyNumberFormat="1" applyFont="1" applyFill="1" applyBorder="1" applyAlignment="1">
      <alignment horizontal="center" wrapText="1"/>
    </xf>
    <xf numFmtId="43" fontId="0" fillId="0" borderId="3" xfId="0" applyNumberFormat="1" applyBorder="1"/>
    <xf numFmtId="43" fontId="0" fillId="0" borderId="2" xfId="0" applyNumberFormat="1" applyBorder="1"/>
    <xf numFmtId="10" fontId="0" fillId="0" borderId="8" xfId="6" applyNumberFormat="1" applyFont="1" applyBorder="1"/>
    <xf numFmtId="167" fontId="0" fillId="5" borderId="0" xfId="16" applyNumberFormat="1" applyFont="1" applyFill="1"/>
    <xf numFmtId="41" fontId="0" fillId="5" borderId="2" xfId="1" applyFont="1" applyFill="1" applyBorder="1"/>
    <xf numFmtId="0" fontId="0" fillId="5" borderId="0" xfId="0" applyFill="1"/>
    <xf numFmtId="0" fontId="0" fillId="5" borderId="0" xfId="0" quotePrefix="1" applyFill="1"/>
    <xf numFmtId="41" fontId="0" fillId="5" borderId="2" xfId="0" applyNumberFormat="1" applyFill="1" applyBorder="1"/>
    <xf numFmtId="41" fontId="0" fillId="5" borderId="0" xfId="0" applyNumberFormat="1" applyFill="1"/>
    <xf numFmtId="41" fontId="0" fillId="5" borderId="3" xfId="0" applyNumberFormat="1" applyFill="1" applyBorder="1"/>
    <xf numFmtId="43" fontId="15" fillId="0" borderId="8" xfId="11" applyFont="1" applyFill="1" applyBorder="1"/>
    <xf numFmtId="2" fontId="0" fillId="0" borderId="8" xfId="0" applyNumberFormat="1" applyFill="1" applyBorder="1"/>
    <xf numFmtId="0" fontId="0" fillId="0" borderId="0" xfId="0" quotePrefix="1" applyBorder="1" applyAlignment="1">
      <alignment horizontal="center"/>
    </xf>
    <xf numFmtId="0" fontId="24" fillId="0" borderId="0" xfId="0" applyFont="1"/>
    <xf numFmtId="0" fontId="24" fillId="0" borderId="0" xfId="0" applyFont="1" applyAlignment="1">
      <alignment horizontal="centerContinuous"/>
    </xf>
    <xf numFmtId="0" fontId="24" fillId="0" borderId="0" xfId="0" applyFont="1" applyAlignment="1">
      <alignment horizontal="center"/>
    </xf>
    <xf numFmtId="0" fontId="24" fillId="0" borderId="2" xfId="0" applyFont="1" applyBorder="1" applyAlignment="1">
      <alignment horizontal="center"/>
    </xf>
    <xf numFmtId="0" fontId="24" fillId="0" borderId="2" xfId="0" applyFont="1" applyBorder="1" applyAlignment="1">
      <alignment horizontal="left"/>
    </xf>
    <xf numFmtId="0" fontId="25" fillId="0" borderId="2" xfId="0" applyFont="1" applyBorder="1" applyAlignment="1">
      <alignment horizontal="center"/>
    </xf>
    <xf numFmtId="0" fontId="24" fillId="0" borderId="0" xfId="0" quotePrefix="1" applyFont="1" applyAlignment="1">
      <alignment horizontal="center"/>
    </xf>
    <xf numFmtId="0" fontId="26" fillId="0" borderId="0" xfId="0" quotePrefix="1" applyFont="1" applyAlignment="1">
      <alignment horizontal="left"/>
    </xf>
    <xf numFmtId="0" fontId="24" fillId="0" borderId="0" xfId="0" applyFont="1" applyAlignment="1">
      <alignment horizontal="left"/>
    </xf>
    <xf numFmtId="10" fontId="24" fillId="0" borderId="0" xfId="6" applyNumberFormat="1" applyFont="1"/>
    <xf numFmtId="10" fontId="24" fillId="0" borderId="0" xfId="0" applyNumberFormat="1" applyFont="1"/>
    <xf numFmtId="0" fontId="24" fillId="0" borderId="0" xfId="0" quotePrefix="1" applyFont="1" applyAlignment="1">
      <alignment horizontal="left"/>
    </xf>
    <xf numFmtId="0" fontId="26" fillId="0" borderId="0" xfId="0" applyFont="1"/>
    <xf numFmtId="166" fontId="24" fillId="0" borderId="0" xfId="1" applyNumberFormat="1" applyFont="1"/>
    <xf numFmtId="166" fontId="24" fillId="0" borderId="0" xfId="0" applyNumberFormat="1" applyFont="1"/>
    <xf numFmtId="0" fontId="24" fillId="0" borderId="7" xfId="0" applyFont="1" applyFill="1" applyBorder="1"/>
    <xf numFmtId="166" fontId="24" fillId="0" borderId="7" xfId="0" applyNumberFormat="1" applyFont="1" applyFill="1" applyBorder="1"/>
    <xf numFmtId="166" fontId="24" fillId="0" borderId="22" xfId="0" applyNumberFormat="1" applyFont="1" applyFill="1" applyBorder="1"/>
    <xf numFmtId="41" fontId="0" fillId="4" borderId="0" xfId="4" applyFont="1" applyFill="1" applyBorder="1" applyAlignment="1">
      <alignment horizontal="center"/>
    </xf>
    <xf numFmtId="41" fontId="0" fillId="5" borderId="2" xfId="1" applyNumberFormat="1" applyFont="1" applyFill="1" applyBorder="1"/>
    <xf numFmtId="0" fontId="0" fillId="0" borderId="9" xfId="0" applyBorder="1" applyAlignment="1">
      <alignment wrapText="1"/>
    </xf>
    <xf numFmtId="0" fontId="0" fillId="0" borderId="10" xfId="0" applyBorder="1" applyAlignment="1">
      <alignment wrapText="1"/>
    </xf>
    <xf numFmtId="0" fontId="0" fillId="0" borderId="4"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9" xfId="0" applyBorder="1" applyAlignment="1">
      <alignment horizontal="justify"/>
    </xf>
    <xf numFmtId="0" fontId="0" fillId="0" borderId="10" xfId="0" applyBorder="1" applyAlignment="1">
      <alignment horizontal="justify"/>
    </xf>
    <xf numFmtId="0" fontId="0" fillId="0" borderId="4" xfId="0" applyBorder="1" applyAlignment="1">
      <alignment horizontal="justify"/>
    </xf>
    <xf numFmtId="0" fontId="0" fillId="0" borderId="11" xfId="0" applyBorder="1" applyAlignment="1">
      <alignment horizontal="justify"/>
    </xf>
    <xf numFmtId="0" fontId="0" fillId="0" borderId="0" xfId="0" applyBorder="1" applyAlignment="1">
      <alignment horizontal="justify"/>
    </xf>
    <xf numFmtId="0" fontId="0" fillId="0" borderId="5" xfId="0" applyBorder="1" applyAlignment="1">
      <alignment horizontal="justify"/>
    </xf>
    <xf numFmtId="0" fontId="0" fillId="0" borderId="12" xfId="0" applyBorder="1" applyAlignment="1">
      <alignment horizontal="justify"/>
    </xf>
    <xf numFmtId="0" fontId="0" fillId="0" borderId="2" xfId="0" applyBorder="1" applyAlignment="1">
      <alignment horizontal="justify"/>
    </xf>
    <xf numFmtId="0" fontId="0" fillId="0" borderId="6" xfId="0" applyBorder="1" applyAlignment="1">
      <alignment horizontal="justify"/>
    </xf>
    <xf numFmtId="0" fontId="0" fillId="5" borderId="9" xfId="0" applyFill="1" applyBorder="1" applyAlignment="1">
      <alignment wrapText="1"/>
    </xf>
    <xf numFmtId="0" fontId="0" fillId="5" borderId="10" xfId="0" applyFill="1" applyBorder="1" applyAlignment="1">
      <alignment wrapText="1"/>
    </xf>
    <xf numFmtId="0" fontId="0" fillId="5" borderId="4" xfId="0" applyFill="1" applyBorder="1" applyAlignment="1">
      <alignment wrapText="1"/>
    </xf>
    <xf numFmtId="0" fontId="0" fillId="5" borderId="11" xfId="0" applyFill="1" applyBorder="1" applyAlignment="1">
      <alignment wrapText="1"/>
    </xf>
    <xf numFmtId="0" fontId="0" fillId="5" borderId="0" xfId="0" applyFill="1" applyBorder="1" applyAlignment="1">
      <alignment wrapText="1"/>
    </xf>
    <xf numFmtId="0" fontId="0" fillId="5" borderId="5" xfId="0" applyFill="1" applyBorder="1" applyAlignment="1">
      <alignment wrapText="1"/>
    </xf>
    <xf numFmtId="0" fontId="0" fillId="5" borderId="12" xfId="0" applyFill="1" applyBorder="1" applyAlignment="1">
      <alignment wrapText="1"/>
    </xf>
    <xf numFmtId="0" fontId="0" fillId="5" borderId="2" xfId="0" applyFill="1" applyBorder="1" applyAlignment="1">
      <alignment wrapText="1"/>
    </xf>
    <xf numFmtId="0" fontId="0" fillId="5" borderId="6" xfId="0" applyFill="1" applyBorder="1" applyAlignment="1">
      <alignment wrapText="1"/>
    </xf>
  </cellXfs>
  <cellStyles count="20">
    <cellStyle name="Comma" xfId="1" builtinId="3"/>
    <cellStyle name="Comma 2" xfId="2"/>
    <cellStyle name="Comma 2 2 2" xfId="11"/>
    <cellStyle name="Comma 4" xfId="12"/>
    <cellStyle name="Comma 5" xfId="17"/>
    <cellStyle name="Currency" xfId="16" builtinId="4"/>
    <cellStyle name="Currency 2 2 2" xfId="14"/>
    <cellStyle name="Normal" xfId="0" builtinId="0"/>
    <cellStyle name="Normal 12" xfId="9"/>
    <cellStyle name="Normal 2" xfId="3"/>
    <cellStyle name="Normal 2 2" xfId="10"/>
    <cellStyle name="Normal_SHEET" xfId="4"/>
    <cellStyle name="Normal_SHEET_3" xfId="5"/>
    <cellStyle name="Normal_Sheet1" xfId="19"/>
    <cellStyle name="Percent" xfId="6" builtinId="5"/>
    <cellStyle name="Percent 2" xfId="7"/>
    <cellStyle name="Percent 2 2 2" xfId="15"/>
    <cellStyle name="Percent 3" xfId="13"/>
    <cellStyle name="Percent 4" xfId="18"/>
    <cellStyle name="SAPBEXstdItem"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W76"/>
  <sheetViews>
    <sheetView zoomScaleNormal="100" workbookViewId="0"/>
  </sheetViews>
  <sheetFormatPr defaultRowHeight="15.75"/>
  <cols>
    <col min="1" max="1" width="5.125" customWidth="1"/>
    <col min="2" max="2" width="1.375" customWidth="1"/>
    <col min="3" max="3" width="23.125" customWidth="1"/>
    <col min="4" max="4" width="7" customWidth="1"/>
    <col min="5" max="5" width="14.5" customWidth="1"/>
    <col min="6" max="6" width="1.125" customWidth="1"/>
    <col min="7" max="18" width="13.25" customWidth="1"/>
    <col min="19" max="19" width="14.625" customWidth="1"/>
    <col min="20" max="20" width="12.875" customWidth="1"/>
    <col min="21" max="22" width="13.875" customWidth="1"/>
    <col min="23" max="23" width="12.875" customWidth="1"/>
  </cols>
  <sheetData>
    <row r="1" spans="1:23">
      <c r="A1" s="7"/>
      <c r="B1" s="7"/>
      <c r="C1" s="7"/>
      <c r="D1" s="7"/>
      <c r="E1" s="7"/>
      <c r="F1" s="7"/>
      <c r="G1" s="25">
        <v>4.5400000000000003E-2</v>
      </c>
      <c r="H1" s="26" t="s">
        <v>17</v>
      </c>
      <c r="L1" s="25"/>
      <c r="M1" s="25"/>
      <c r="N1" s="25"/>
      <c r="R1" s="25"/>
      <c r="S1" s="19"/>
      <c r="T1" s="19"/>
      <c r="U1" s="19"/>
      <c r="V1" s="19"/>
      <c r="W1" s="19"/>
    </row>
    <row r="2" spans="1:23">
      <c r="B2" s="7"/>
      <c r="C2" s="7"/>
      <c r="D2" s="7"/>
      <c r="E2" s="7"/>
      <c r="F2" s="7"/>
      <c r="G2" s="25">
        <v>0.35</v>
      </c>
      <c r="H2" s="26" t="s">
        <v>18</v>
      </c>
      <c r="I2" s="24"/>
      <c r="J2" s="24"/>
      <c r="K2" s="24"/>
      <c r="L2" s="24"/>
      <c r="M2" s="24"/>
      <c r="N2" s="24"/>
      <c r="O2" s="24"/>
      <c r="P2" s="24"/>
      <c r="Q2" s="24"/>
      <c r="R2" s="24"/>
      <c r="S2" s="24"/>
      <c r="T2" s="24"/>
      <c r="U2" s="24"/>
      <c r="V2" s="24"/>
      <c r="W2" s="24"/>
    </row>
    <row r="3" spans="1:23">
      <c r="B3" s="7"/>
      <c r="C3" s="7"/>
      <c r="D3" s="7"/>
      <c r="E3" s="70" t="s">
        <v>276</v>
      </c>
      <c r="F3" s="7"/>
      <c r="G3" s="28"/>
      <c r="H3" s="28"/>
      <c r="I3" s="28"/>
      <c r="J3" s="28"/>
      <c r="K3" s="28"/>
      <c r="L3" s="28"/>
      <c r="M3" s="28"/>
      <c r="N3" s="28"/>
      <c r="O3" s="28"/>
      <c r="P3" s="28"/>
      <c r="Q3" s="28"/>
      <c r="R3" s="28"/>
      <c r="S3" s="27"/>
      <c r="T3" s="27"/>
      <c r="U3" s="27"/>
      <c r="V3" s="27"/>
      <c r="W3" s="27"/>
    </row>
    <row r="4" spans="1:23">
      <c r="A4" s="24"/>
      <c r="B4" s="24"/>
      <c r="C4" s="24"/>
      <c r="D4" s="24"/>
      <c r="E4" t="s">
        <v>641</v>
      </c>
      <c r="F4" s="30"/>
      <c r="G4" s="31" t="s">
        <v>433</v>
      </c>
      <c r="H4" s="31" t="s">
        <v>431</v>
      </c>
      <c r="I4" s="31" t="s">
        <v>486</v>
      </c>
      <c r="J4" s="31" t="s">
        <v>350</v>
      </c>
      <c r="K4" s="31" t="s">
        <v>391</v>
      </c>
      <c r="L4" s="31" t="s">
        <v>277</v>
      </c>
      <c r="M4" s="29" t="s">
        <v>242</v>
      </c>
      <c r="N4" s="29" t="s">
        <v>523</v>
      </c>
      <c r="O4" s="31" t="s">
        <v>410</v>
      </c>
      <c r="P4" s="31" t="s">
        <v>412</v>
      </c>
      <c r="Q4" s="29" t="s">
        <v>491</v>
      </c>
      <c r="R4" s="90" t="s">
        <v>457</v>
      </c>
      <c r="S4" s="100" t="s">
        <v>437</v>
      </c>
      <c r="T4" s="100" t="s">
        <v>507</v>
      </c>
      <c r="U4" s="100" t="s">
        <v>540</v>
      </c>
      <c r="V4" s="100"/>
      <c r="W4" s="29" t="s">
        <v>19</v>
      </c>
    </row>
    <row r="5" spans="1:23">
      <c r="A5" s="19"/>
      <c r="B5" s="24"/>
      <c r="C5" s="24"/>
      <c r="D5" s="24"/>
      <c r="E5" s="28" t="s">
        <v>20</v>
      </c>
      <c r="F5" s="30"/>
      <c r="G5" s="31" t="s">
        <v>434</v>
      </c>
      <c r="H5" s="31" t="s">
        <v>432</v>
      </c>
      <c r="I5" s="31" t="s">
        <v>487</v>
      </c>
      <c r="J5" s="31" t="s">
        <v>351</v>
      </c>
      <c r="K5" s="31" t="s">
        <v>392</v>
      </c>
      <c r="L5" s="31" t="s">
        <v>278</v>
      </c>
      <c r="M5" s="29" t="s">
        <v>243</v>
      </c>
      <c r="N5" s="29" t="s">
        <v>524</v>
      </c>
      <c r="O5" s="31" t="s">
        <v>411</v>
      </c>
      <c r="P5" s="31" t="s">
        <v>409</v>
      </c>
      <c r="Q5" s="29" t="s">
        <v>492</v>
      </c>
      <c r="R5" s="90" t="s">
        <v>458</v>
      </c>
      <c r="S5" s="90" t="s">
        <v>438</v>
      </c>
      <c r="T5" s="90" t="s">
        <v>508</v>
      </c>
      <c r="U5" s="90" t="s">
        <v>541</v>
      </c>
      <c r="V5" s="90" t="s">
        <v>715</v>
      </c>
      <c r="W5" s="29" t="s">
        <v>21</v>
      </c>
    </row>
    <row r="6" spans="1:23">
      <c r="A6" s="24"/>
      <c r="B6" s="24"/>
      <c r="C6" s="32"/>
      <c r="D6" s="33" t="s">
        <v>22</v>
      </c>
      <c r="E6" s="27"/>
      <c r="F6" s="24"/>
      <c r="G6" s="29" t="s">
        <v>606</v>
      </c>
      <c r="H6" s="29" t="s">
        <v>607</v>
      </c>
      <c r="I6" s="29" t="s">
        <v>608</v>
      </c>
      <c r="J6" s="29" t="s">
        <v>609</v>
      </c>
      <c r="K6" s="29" t="s">
        <v>610</v>
      </c>
      <c r="L6" s="29" t="s">
        <v>612</v>
      </c>
      <c r="M6" s="29" t="s">
        <v>611</v>
      </c>
      <c r="N6" s="29" t="s">
        <v>613</v>
      </c>
      <c r="O6" s="29" t="s">
        <v>614</v>
      </c>
      <c r="P6" s="90" t="s">
        <v>615</v>
      </c>
      <c r="Q6" s="29" t="s">
        <v>616</v>
      </c>
      <c r="R6" s="29" t="s">
        <v>617</v>
      </c>
      <c r="S6" s="90" t="s">
        <v>705</v>
      </c>
      <c r="T6" s="90" t="s">
        <v>618</v>
      </c>
      <c r="U6" s="90" t="s">
        <v>706</v>
      </c>
      <c r="V6" s="90" t="s">
        <v>716</v>
      </c>
      <c r="W6" s="29" t="s">
        <v>23</v>
      </c>
    </row>
    <row r="7" spans="1:23">
      <c r="A7" s="24"/>
      <c r="B7" s="24"/>
      <c r="C7" s="24"/>
      <c r="D7" s="33" t="s">
        <v>24</v>
      </c>
      <c r="E7" s="27"/>
      <c r="F7" s="24"/>
      <c r="G7" s="29" t="s">
        <v>68</v>
      </c>
      <c r="H7" s="29" t="s">
        <v>68</v>
      </c>
      <c r="I7" s="29" t="s">
        <v>68</v>
      </c>
      <c r="J7" s="29" t="s">
        <v>68</v>
      </c>
      <c r="K7" s="29" t="s">
        <v>68</v>
      </c>
      <c r="L7" s="29" t="s">
        <v>68</v>
      </c>
      <c r="M7" s="29" t="s">
        <v>68</v>
      </c>
      <c r="N7" s="29" t="s">
        <v>68</v>
      </c>
      <c r="O7" s="29" t="s">
        <v>68</v>
      </c>
      <c r="P7" s="29" t="s">
        <v>68</v>
      </c>
      <c r="Q7" s="29" t="s">
        <v>68</v>
      </c>
      <c r="R7" s="29" t="s">
        <v>68</v>
      </c>
      <c r="S7" s="90" t="s">
        <v>68</v>
      </c>
      <c r="T7" s="90" t="s">
        <v>68</v>
      </c>
      <c r="U7" s="90" t="s">
        <v>68</v>
      </c>
      <c r="V7" s="90" t="s">
        <v>68</v>
      </c>
      <c r="W7" s="29" t="s">
        <v>638</v>
      </c>
    </row>
    <row r="8" spans="1:23">
      <c r="A8" s="24">
        <v>1</v>
      </c>
      <c r="B8" s="24"/>
      <c r="C8" s="53" t="s">
        <v>25</v>
      </c>
      <c r="D8" s="24"/>
      <c r="E8" s="24"/>
      <c r="F8" s="24"/>
      <c r="G8" s="24"/>
      <c r="H8" s="24"/>
      <c r="I8" s="70" t="s">
        <v>639</v>
      </c>
      <c r="J8" s="24"/>
      <c r="K8" s="24"/>
      <c r="L8" s="24"/>
      <c r="M8" s="24"/>
      <c r="N8" s="24"/>
      <c r="O8" s="24"/>
      <c r="P8" s="24"/>
      <c r="Q8" s="24"/>
      <c r="R8" s="24"/>
      <c r="S8" s="29"/>
      <c r="T8" s="29"/>
      <c r="U8" s="29"/>
      <c r="V8" s="29"/>
      <c r="W8" s="29" t="s">
        <v>353</v>
      </c>
    </row>
    <row r="9" spans="1:23">
      <c r="A9" s="24">
        <v>2</v>
      </c>
      <c r="B9" s="24"/>
      <c r="C9" s="24" t="s">
        <v>26</v>
      </c>
      <c r="D9" s="24"/>
      <c r="E9" s="24">
        <f>SUM(G9:W9)</f>
        <v>0</v>
      </c>
      <c r="F9" s="24"/>
      <c r="G9" s="24"/>
      <c r="H9" s="24"/>
      <c r="I9" s="24"/>
      <c r="J9" s="24"/>
      <c r="K9" s="24"/>
      <c r="L9" s="24"/>
      <c r="M9" s="24"/>
      <c r="N9" s="24"/>
      <c r="O9" s="24"/>
      <c r="P9" s="24"/>
      <c r="Q9" s="24"/>
      <c r="R9" s="24"/>
      <c r="S9" s="24"/>
      <c r="T9" s="24"/>
      <c r="U9" s="24"/>
      <c r="V9" s="24"/>
      <c r="W9" s="24"/>
    </row>
    <row r="10" spans="1:23">
      <c r="A10" s="24">
        <v>3</v>
      </c>
      <c r="B10" s="24"/>
      <c r="C10" s="24" t="s">
        <v>27</v>
      </c>
      <c r="D10" s="24"/>
      <c r="E10" s="24">
        <f>SUM(G10:W10)</f>
        <v>0</v>
      </c>
      <c r="F10" s="24"/>
      <c r="G10" s="24"/>
      <c r="H10" s="24"/>
      <c r="I10" s="24"/>
      <c r="J10" s="24"/>
      <c r="K10" s="24"/>
      <c r="L10" s="24"/>
      <c r="M10" s="24"/>
      <c r="N10" s="24"/>
      <c r="O10" s="24"/>
      <c r="P10" s="24"/>
      <c r="Q10" s="24"/>
      <c r="R10" s="24"/>
      <c r="S10" s="24"/>
      <c r="T10" s="24"/>
      <c r="U10" s="24"/>
      <c r="V10" s="24"/>
      <c r="W10" s="24"/>
    </row>
    <row r="11" spans="1:23">
      <c r="A11" s="24">
        <v>4</v>
      </c>
      <c r="B11" s="24"/>
      <c r="C11" s="24" t="s">
        <v>28</v>
      </c>
      <c r="D11" s="24"/>
      <c r="E11" s="24">
        <f>SUM(G11:W11)</f>
        <v>0</v>
      </c>
      <c r="F11" s="24"/>
      <c r="G11" s="24"/>
      <c r="H11" s="24"/>
      <c r="I11" s="24"/>
      <c r="J11" s="24"/>
      <c r="K11" s="24"/>
      <c r="L11" s="24"/>
      <c r="M11" s="24"/>
      <c r="N11" s="24"/>
      <c r="O11" s="24"/>
      <c r="P11" s="24"/>
      <c r="Q11" s="24"/>
      <c r="R11" s="24"/>
      <c r="S11" s="24"/>
      <c r="T11" s="24"/>
      <c r="U11" s="24"/>
      <c r="V11" s="24"/>
      <c r="W11" s="24"/>
    </row>
    <row r="12" spans="1:23">
      <c r="A12" s="24">
        <v>5</v>
      </c>
      <c r="B12" s="24"/>
      <c r="C12" s="24" t="s">
        <v>29</v>
      </c>
      <c r="D12" s="24"/>
      <c r="E12" s="34">
        <f>SUM(G12:W12)</f>
        <v>0</v>
      </c>
      <c r="F12" s="34"/>
      <c r="G12" s="34"/>
      <c r="H12" s="34"/>
      <c r="I12" s="34"/>
      <c r="J12" s="34"/>
      <c r="K12" s="34"/>
      <c r="L12" s="34"/>
      <c r="M12" s="34"/>
      <c r="N12" s="34"/>
      <c r="O12" s="34"/>
      <c r="P12" s="34"/>
      <c r="Q12" s="34"/>
      <c r="R12" s="34"/>
      <c r="S12" s="34"/>
      <c r="T12" s="34"/>
      <c r="U12" s="34"/>
      <c r="V12" s="34"/>
      <c r="W12" s="34"/>
    </row>
    <row r="13" spans="1:23">
      <c r="A13" s="24">
        <v>6</v>
      </c>
      <c r="B13" s="24"/>
      <c r="C13" s="24" t="s">
        <v>30</v>
      </c>
      <c r="D13" s="24"/>
      <c r="E13" s="34">
        <f>SUM(E9:E12)</f>
        <v>0</v>
      </c>
      <c r="F13" s="34"/>
      <c r="G13" s="34">
        <f t="shared" ref="G13:W13" si="0">SUM(G9:G12)</f>
        <v>0</v>
      </c>
      <c r="H13" s="34">
        <f t="shared" ref="H13" si="1">SUM(H9:H12)</f>
        <v>0</v>
      </c>
      <c r="I13" s="34">
        <f t="shared" ref="I13" si="2">SUM(I9:I12)</f>
        <v>0</v>
      </c>
      <c r="J13" s="34">
        <f t="shared" si="0"/>
        <v>0</v>
      </c>
      <c r="K13" s="34">
        <f t="shared" ref="K13" si="3">SUM(K9:K12)</f>
        <v>0</v>
      </c>
      <c r="L13" s="34">
        <f t="shared" si="0"/>
        <v>0</v>
      </c>
      <c r="M13" s="34">
        <f>SUM(M9:M12)</f>
        <v>0</v>
      </c>
      <c r="N13" s="34">
        <f t="shared" ref="N13" si="4">SUM(N9:N12)</f>
        <v>0</v>
      </c>
      <c r="O13" s="34">
        <f t="shared" si="0"/>
        <v>0</v>
      </c>
      <c r="P13" s="34">
        <f>SUM(P9:P12)</f>
        <v>0</v>
      </c>
      <c r="Q13" s="34">
        <f t="shared" si="0"/>
        <v>0</v>
      </c>
      <c r="R13" s="34">
        <f>SUM(R9:R12)</f>
        <v>0</v>
      </c>
      <c r="S13" s="34">
        <f t="shared" si="0"/>
        <v>0</v>
      </c>
      <c r="T13" s="34">
        <f t="shared" si="0"/>
        <v>0</v>
      </c>
      <c r="U13" s="34">
        <f t="shared" si="0"/>
        <v>0</v>
      </c>
      <c r="V13" s="34"/>
      <c r="W13" s="34">
        <f t="shared" si="0"/>
        <v>0</v>
      </c>
    </row>
    <row r="14" spans="1:23">
      <c r="A14" s="24">
        <v>7</v>
      </c>
      <c r="B14" s="24"/>
      <c r="C14" s="53" t="s">
        <v>31</v>
      </c>
      <c r="D14" s="24"/>
      <c r="E14" s="24"/>
      <c r="F14" s="24"/>
      <c r="G14" s="24"/>
      <c r="H14" s="24"/>
      <c r="I14" s="24"/>
      <c r="J14" s="24"/>
      <c r="K14" s="24"/>
      <c r="L14" s="24"/>
      <c r="M14" s="24"/>
      <c r="N14" s="24"/>
      <c r="O14" s="24"/>
      <c r="P14" s="24"/>
      <c r="Q14" s="24"/>
      <c r="R14" s="24"/>
      <c r="S14" s="24"/>
      <c r="T14" s="24"/>
      <c r="U14" s="24"/>
      <c r="V14" s="24"/>
      <c r="W14" s="24"/>
    </row>
    <row r="15" spans="1:23">
      <c r="A15" s="24">
        <v>8</v>
      </c>
      <c r="B15" s="24"/>
      <c r="C15" s="24" t="s">
        <v>32</v>
      </c>
      <c r="D15" s="24"/>
      <c r="E15" s="24">
        <f t="shared" ref="E15:E24" si="5">SUM(G15:W15)</f>
        <v>-1525948.6741354798</v>
      </c>
      <c r="F15" s="24"/>
      <c r="G15" s="24"/>
      <c r="H15" s="24"/>
      <c r="I15" s="24"/>
      <c r="J15" s="24"/>
      <c r="K15" s="24"/>
      <c r="L15" s="24"/>
      <c r="M15" s="24">
        <f>'3.10'!M13+'3.10'!M14</f>
        <v>-333165.23099999997</v>
      </c>
      <c r="N15" s="24"/>
      <c r="O15" s="24"/>
      <c r="P15" s="24"/>
      <c r="Q15" s="24"/>
      <c r="R15" s="24"/>
      <c r="S15" s="24"/>
      <c r="T15" s="24">
        <f>'3.17'!M16</f>
        <v>-1192783.4431354799</v>
      </c>
      <c r="U15" s="24"/>
      <c r="V15" s="24"/>
      <c r="W15" s="24"/>
    </row>
    <row r="16" spans="1:23">
      <c r="A16" s="24">
        <v>9</v>
      </c>
      <c r="B16" s="24"/>
      <c r="C16" s="24" t="s">
        <v>33</v>
      </c>
      <c r="D16" s="24"/>
      <c r="E16" s="24">
        <f t="shared" si="5"/>
        <v>0</v>
      </c>
      <c r="F16" s="24"/>
      <c r="G16" s="24"/>
      <c r="H16" s="24"/>
      <c r="I16" s="24"/>
      <c r="J16" s="24"/>
      <c r="K16" s="24"/>
      <c r="L16" s="24"/>
      <c r="M16" s="24"/>
      <c r="N16" s="24"/>
      <c r="O16" s="24"/>
      <c r="P16" s="24"/>
      <c r="Q16" s="24"/>
      <c r="R16" s="24"/>
      <c r="S16" s="24"/>
      <c r="T16" s="24"/>
      <c r="U16" s="24"/>
      <c r="V16" s="24"/>
      <c r="W16" s="24"/>
    </row>
    <row r="17" spans="1:23">
      <c r="A17" s="24">
        <v>10</v>
      </c>
      <c r="B17" s="24"/>
      <c r="C17" s="24" t="s">
        <v>34</v>
      </c>
      <c r="D17" s="24"/>
      <c r="E17" s="24">
        <f t="shared" si="5"/>
        <v>-9288290.3525999989</v>
      </c>
      <c r="F17" s="24"/>
      <c r="G17" s="24"/>
      <c r="H17" s="24"/>
      <c r="I17" s="24"/>
      <c r="J17" s="24">
        <f>'3.6'!M13</f>
        <v>-9057323.066399999</v>
      </c>
      <c r="K17" s="24"/>
      <c r="L17" s="24"/>
      <c r="M17" s="24"/>
      <c r="N17" s="24">
        <f>'3.11'!M14</f>
        <v>-230967.2862</v>
      </c>
      <c r="O17" s="24"/>
      <c r="P17" s="24"/>
      <c r="Q17" s="24"/>
      <c r="R17" s="24"/>
      <c r="S17" s="24"/>
      <c r="T17" s="24"/>
      <c r="U17" s="24"/>
      <c r="V17" s="24"/>
      <c r="W17" s="24"/>
    </row>
    <row r="18" spans="1:23">
      <c r="A18" s="24">
        <v>11</v>
      </c>
      <c r="B18" s="24"/>
      <c r="C18" s="24" t="s">
        <v>35</v>
      </c>
      <c r="D18" s="24"/>
      <c r="E18" s="24">
        <f t="shared" si="5"/>
        <v>-27683493.500738241</v>
      </c>
      <c r="F18" s="24"/>
      <c r="G18" s="24"/>
      <c r="H18" s="24"/>
      <c r="I18" s="24"/>
      <c r="J18" s="24"/>
      <c r="K18" s="91"/>
      <c r="L18" s="91">
        <f>'3.9'!M12</f>
        <v>-143850</v>
      </c>
      <c r="M18" s="24">
        <f>'3.10'!M15</f>
        <v>-68083.917300000001</v>
      </c>
      <c r="N18" s="24"/>
      <c r="O18" s="24">
        <f>'3.12'!M14</f>
        <v>-875758.79999999993</v>
      </c>
      <c r="P18" s="24">
        <f>'3.13'!M14</f>
        <v>-245130.78343824003</v>
      </c>
      <c r="Q18" s="24"/>
      <c r="R18" s="24"/>
      <c r="S18" s="91"/>
      <c r="T18" s="24"/>
      <c r="U18" s="24"/>
      <c r="V18" s="24"/>
      <c r="W18" s="24">
        <f>618649330-645000000</f>
        <v>-26350670</v>
      </c>
    </row>
    <row r="19" spans="1:23">
      <c r="A19" s="24">
        <v>12</v>
      </c>
      <c r="B19" s="24"/>
      <c r="C19" s="24" t="s">
        <v>36</v>
      </c>
      <c r="D19" s="24"/>
      <c r="E19" s="24">
        <f t="shared" si="5"/>
        <v>0</v>
      </c>
      <c r="F19" s="24"/>
      <c r="G19" s="24"/>
      <c r="H19" s="24"/>
      <c r="I19" s="24"/>
      <c r="J19" s="24"/>
      <c r="K19" s="24"/>
      <c r="L19" s="24"/>
      <c r="M19" s="24"/>
      <c r="N19" s="24"/>
      <c r="O19" s="24"/>
      <c r="P19" s="24"/>
      <c r="Q19" s="24"/>
      <c r="R19" s="24"/>
      <c r="S19" s="24"/>
      <c r="T19" s="24"/>
      <c r="U19" s="24"/>
      <c r="V19" s="24"/>
      <c r="W19" s="24"/>
    </row>
    <row r="20" spans="1:23">
      <c r="A20" s="24">
        <v>13</v>
      </c>
      <c r="B20" s="24"/>
      <c r="C20" s="24" t="s">
        <v>37</v>
      </c>
      <c r="D20" s="24"/>
      <c r="E20" s="24">
        <f t="shared" si="5"/>
        <v>-57232.365519999999</v>
      </c>
      <c r="F20" s="24"/>
      <c r="G20" s="24"/>
      <c r="H20" s="24"/>
      <c r="I20" s="24"/>
      <c r="J20" s="24"/>
      <c r="K20" s="24"/>
      <c r="L20" s="24"/>
      <c r="M20" s="24"/>
      <c r="N20" s="24"/>
      <c r="O20" s="24"/>
      <c r="P20" s="24"/>
      <c r="Q20" s="24"/>
      <c r="R20" s="24">
        <f>'3.15'!O19+'3.15'!O21</f>
        <v>-57232.365519999999</v>
      </c>
      <c r="S20" s="24"/>
      <c r="T20" s="24"/>
      <c r="U20" s="24"/>
      <c r="V20" s="24"/>
      <c r="W20" s="24"/>
    </row>
    <row r="21" spans="1:23">
      <c r="A21" s="24">
        <v>14</v>
      </c>
      <c r="B21" s="24"/>
      <c r="C21" s="24" t="s">
        <v>38</v>
      </c>
      <c r="D21" s="24"/>
      <c r="E21" s="24">
        <f t="shared" si="5"/>
        <v>-706026.97672999999</v>
      </c>
      <c r="F21" s="24"/>
      <c r="G21" s="24"/>
      <c r="H21" s="24"/>
      <c r="I21" s="24"/>
      <c r="J21" s="24"/>
      <c r="K21" s="24"/>
      <c r="L21" s="24"/>
      <c r="M21" s="24"/>
      <c r="N21" s="24"/>
      <c r="O21" s="24"/>
      <c r="P21" s="24"/>
      <c r="Q21" s="24"/>
      <c r="R21" s="24">
        <f>'3.15'!O13+'3.15'!O15</f>
        <v>-706026.97672999999</v>
      </c>
      <c r="S21" s="24"/>
      <c r="T21" s="24"/>
      <c r="U21" s="24"/>
      <c r="V21" s="24"/>
      <c r="W21" s="24"/>
    </row>
    <row r="22" spans="1:23">
      <c r="A22" s="24">
        <v>15</v>
      </c>
      <c r="B22" s="24"/>
      <c r="C22" s="24" t="s">
        <v>39</v>
      </c>
      <c r="D22" s="24"/>
      <c r="E22" s="24">
        <f t="shared" si="5"/>
        <v>0</v>
      </c>
      <c r="F22" s="24"/>
      <c r="G22" s="24"/>
      <c r="H22" s="24"/>
      <c r="I22" s="24"/>
      <c r="J22" s="24"/>
      <c r="K22" s="24"/>
      <c r="L22" s="24"/>
      <c r="M22" s="24"/>
      <c r="N22" s="24"/>
      <c r="O22" s="24"/>
      <c r="P22" s="24"/>
      <c r="Q22" s="24"/>
      <c r="R22" s="24"/>
      <c r="S22" s="24"/>
      <c r="T22" s="24"/>
      <c r="U22" s="24"/>
      <c r="V22" s="24"/>
      <c r="W22" s="24"/>
    </row>
    <row r="23" spans="1:23">
      <c r="A23" s="24">
        <v>16</v>
      </c>
      <c r="B23" s="24"/>
      <c r="C23" s="24" t="s">
        <v>40</v>
      </c>
      <c r="D23" s="24"/>
      <c r="E23" s="24">
        <f t="shared" si="5"/>
        <v>0</v>
      </c>
      <c r="F23" s="24"/>
      <c r="G23" s="24"/>
      <c r="H23" s="24"/>
      <c r="I23" s="24"/>
      <c r="J23" s="24"/>
      <c r="K23" s="24"/>
      <c r="L23" s="24"/>
      <c r="M23" s="24"/>
      <c r="N23" s="24"/>
      <c r="O23" s="24"/>
      <c r="P23" s="24"/>
      <c r="Q23" s="24"/>
      <c r="R23" s="24"/>
      <c r="S23" s="24"/>
      <c r="T23" s="24"/>
      <c r="U23" s="24"/>
      <c r="V23" s="24"/>
      <c r="W23" s="24"/>
    </row>
    <row r="24" spans="1:23">
      <c r="A24" s="24">
        <v>17</v>
      </c>
      <c r="B24" s="24"/>
      <c r="C24" s="24" t="s">
        <v>41</v>
      </c>
      <c r="D24" s="24"/>
      <c r="E24" s="34">
        <f t="shared" si="5"/>
        <v>-1504519.837267061</v>
      </c>
      <c r="F24" s="34"/>
      <c r="G24" s="34"/>
      <c r="H24" s="34"/>
      <c r="I24" s="34"/>
      <c r="J24" s="34"/>
      <c r="K24" s="101"/>
      <c r="L24" s="101">
        <f>'3.9'!M11</f>
        <v>-959412.32204999996</v>
      </c>
      <c r="M24" s="34"/>
      <c r="N24" s="101"/>
      <c r="O24" s="101"/>
      <c r="P24" s="101"/>
      <c r="Q24" s="101">
        <f>'3.14'!O13</f>
        <v>-531262.99822752702</v>
      </c>
      <c r="R24" s="101">
        <f>'3.15'!O17</f>
        <v>-13844.516989534</v>
      </c>
      <c r="S24" s="128" t="s">
        <v>640</v>
      </c>
      <c r="T24" s="101"/>
      <c r="U24" s="128" t="s">
        <v>640</v>
      </c>
      <c r="V24" s="101"/>
      <c r="W24" s="34"/>
    </row>
    <row r="25" spans="1:23">
      <c r="A25" s="24">
        <v>18</v>
      </c>
      <c r="B25" s="24"/>
      <c r="C25" s="27" t="s">
        <v>42</v>
      </c>
      <c r="D25" s="24"/>
      <c r="E25" s="24">
        <f>SUM(E15:E24)</f>
        <v>-40765511.706990778</v>
      </c>
      <c r="F25" s="24"/>
      <c r="G25" s="24">
        <f t="shared" ref="G25:Q25" si="6">SUM(G15:G24)</f>
        <v>0</v>
      </c>
      <c r="H25" s="24">
        <f t="shared" ref="H25" si="7">SUM(H15:H24)</f>
        <v>0</v>
      </c>
      <c r="I25" s="24">
        <f t="shared" ref="I25" si="8">SUM(I15:I24)</f>
        <v>0</v>
      </c>
      <c r="J25" s="24">
        <f t="shared" si="6"/>
        <v>-9057323.066399999</v>
      </c>
      <c r="K25" s="24">
        <f t="shared" ref="K25" si="9">SUM(K15:K24)</f>
        <v>0</v>
      </c>
      <c r="L25" s="24">
        <f t="shared" si="6"/>
        <v>-1103262.3220500001</v>
      </c>
      <c r="M25" s="24">
        <f>SUM(M15:M24)</f>
        <v>-401249.1483</v>
      </c>
      <c r="N25" s="24">
        <f t="shared" ref="N25" si="10">SUM(N15:N24)</f>
        <v>-230967.2862</v>
      </c>
      <c r="O25" s="24">
        <f t="shared" si="6"/>
        <v>-875758.79999999993</v>
      </c>
      <c r="P25" s="24">
        <f>SUM(P15:P24)</f>
        <v>-245130.78343824003</v>
      </c>
      <c r="Q25" s="24">
        <f t="shared" si="6"/>
        <v>-531262.99822752702</v>
      </c>
      <c r="R25" s="24">
        <f>SUM(R15:R24)</f>
        <v>-777103.85923953401</v>
      </c>
      <c r="S25" s="24">
        <f t="shared" ref="S25:W25" si="11">SUM(S15:S24)</f>
        <v>0</v>
      </c>
      <c r="T25" s="24">
        <f t="shared" si="11"/>
        <v>-1192783.4431354799</v>
      </c>
      <c r="U25" s="24">
        <f t="shared" si="11"/>
        <v>0</v>
      </c>
      <c r="V25" s="24">
        <f t="shared" ref="V25" si="12">SUM(V15:V24)</f>
        <v>0</v>
      </c>
      <c r="W25" s="24">
        <f t="shared" si="11"/>
        <v>-26350670</v>
      </c>
    </row>
    <row r="26" spans="1:23">
      <c r="A26" s="24">
        <v>19</v>
      </c>
      <c r="B26" s="24"/>
      <c r="C26" s="24" t="s">
        <v>43</v>
      </c>
      <c r="D26" s="24"/>
      <c r="E26" s="24">
        <f t="shared" ref="E26:E33" si="13">SUM(G26:W26)</f>
        <v>-2542847.9975230363</v>
      </c>
      <c r="F26" s="24"/>
      <c r="G26" s="24">
        <f>'3.3'!M17</f>
        <v>-81414.02919999999</v>
      </c>
      <c r="H26" s="91">
        <f>'3.4'!M17</f>
        <v>-6537.1193999999996</v>
      </c>
      <c r="I26" s="24"/>
      <c r="J26" s="24">
        <f>'3.6'!M19+'3.6'!M21</f>
        <v>-2454896.8489230364</v>
      </c>
      <c r="K26" s="24"/>
      <c r="L26" s="24"/>
      <c r="M26" s="24"/>
      <c r="N26" s="24"/>
      <c r="O26" s="24"/>
      <c r="P26" s="24"/>
      <c r="Q26" s="24"/>
      <c r="R26" s="24"/>
      <c r="S26" s="24"/>
      <c r="T26" s="24"/>
      <c r="U26" s="24"/>
      <c r="V26" s="24"/>
      <c r="W26" s="24"/>
    </row>
    <row r="27" spans="1:23">
      <c r="A27" s="24">
        <v>20</v>
      </c>
      <c r="B27" s="24"/>
      <c r="C27" s="24" t="s">
        <v>44</v>
      </c>
      <c r="D27" s="24"/>
      <c r="E27" s="24">
        <f t="shared" si="13"/>
        <v>-4655870.8213499999</v>
      </c>
      <c r="F27" s="24"/>
      <c r="G27" s="24"/>
      <c r="H27" s="91"/>
      <c r="I27" s="24"/>
      <c r="J27" s="24">
        <f>'3.6'!M23</f>
        <v>-4655870.8213499999</v>
      </c>
      <c r="K27" s="24"/>
      <c r="L27" s="24"/>
      <c r="M27" s="24"/>
      <c r="N27" s="24"/>
      <c r="O27" s="24"/>
      <c r="P27" s="24"/>
      <c r="Q27" s="24"/>
      <c r="R27" s="24"/>
      <c r="S27" s="24"/>
      <c r="T27" s="24"/>
      <c r="U27" s="24"/>
      <c r="V27" s="24"/>
      <c r="W27" s="24"/>
    </row>
    <row r="28" spans="1:23">
      <c r="A28" s="24">
        <v>21</v>
      </c>
      <c r="B28" s="24"/>
      <c r="C28" s="24" t="s">
        <v>45</v>
      </c>
      <c r="D28" s="24"/>
      <c r="E28" s="24">
        <f t="shared" si="13"/>
        <v>-3571593.7781999996</v>
      </c>
      <c r="F28" s="24"/>
      <c r="G28" s="24"/>
      <c r="H28" s="24"/>
      <c r="I28" s="24"/>
      <c r="J28" s="24"/>
      <c r="K28" s="24">
        <f>'3.8'!M11</f>
        <v>-3571593.7781999996</v>
      </c>
      <c r="L28" s="24"/>
      <c r="M28" s="24"/>
      <c r="N28" s="24"/>
      <c r="O28" s="24"/>
      <c r="P28" s="24"/>
      <c r="Q28" s="24"/>
      <c r="R28" s="24"/>
      <c r="S28" s="24"/>
      <c r="T28" s="24"/>
      <c r="U28" s="24"/>
      <c r="V28" s="24"/>
      <c r="W28" s="24"/>
    </row>
    <row r="29" spans="1:23">
      <c r="A29" s="24">
        <v>22</v>
      </c>
      <c r="B29" s="24"/>
      <c r="C29" s="24" t="s">
        <v>46</v>
      </c>
      <c r="D29" s="24"/>
      <c r="E29" s="24">
        <f t="shared" si="13"/>
        <v>17218634.258230761</v>
      </c>
      <c r="F29" s="24"/>
      <c r="G29" s="24">
        <f t="shared" ref="G29:W29" si="14">(G13-G25-G33-G30-SUM(G26:G28))*$G$2</f>
        <v>27201.241296011998</v>
      </c>
      <c r="H29" s="24">
        <f t="shared" si="14"/>
        <v>2184.1169627339996</v>
      </c>
      <c r="I29" s="24">
        <f t="shared" si="14"/>
        <v>0</v>
      </c>
      <c r="J29" s="24">
        <f t="shared" si="14"/>
        <v>5401920.7960298276</v>
      </c>
      <c r="K29" s="24">
        <f t="shared" si="14"/>
        <v>1193305.1972344017</v>
      </c>
      <c r="L29" s="24">
        <f t="shared" si="14"/>
        <v>368610.97442012554</v>
      </c>
      <c r="M29" s="24">
        <f t="shared" si="14"/>
        <v>134061.35293851298</v>
      </c>
      <c r="N29" s="24">
        <f t="shared" si="14"/>
        <v>77168.479992281995</v>
      </c>
      <c r="O29" s="24">
        <f t="shared" si="14"/>
        <v>292599.77266799996</v>
      </c>
      <c r="P29" s="24">
        <f t="shared" si="14"/>
        <v>81900.64605455038</v>
      </c>
      <c r="Q29" s="24">
        <f t="shared" si="14"/>
        <v>177500.28033779902</v>
      </c>
      <c r="R29" s="24">
        <f t="shared" si="14"/>
        <v>259638.17041052069</v>
      </c>
      <c r="S29" s="24">
        <f t="shared" si="14"/>
        <v>0</v>
      </c>
      <c r="T29" s="24">
        <f t="shared" si="14"/>
        <v>398520.87618599518</v>
      </c>
      <c r="U29" s="24">
        <f t="shared" si="14"/>
        <v>0</v>
      </c>
      <c r="V29" s="24">
        <f t="shared" ref="V29" si="15">(V13-V25-V33-V30-SUM(V26:V28))*$G$2</f>
        <v>0</v>
      </c>
      <c r="W29" s="24">
        <f t="shared" si="14"/>
        <v>8804022.3536999989</v>
      </c>
    </row>
    <row r="30" spans="1:23">
      <c r="A30" s="24">
        <v>23</v>
      </c>
      <c r="B30" s="24"/>
      <c r="C30" s="24" t="s">
        <v>47</v>
      </c>
      <c r="D30" s="24"/>
      <c r="E30" s="24">
        <f t="shared" si="13"/>
        <v>2339726.4234044971</v>
      </c>
      <c r="F30" s="24"/>
      <c r="G30" s="24">
        <f t="shared" ref="G30:W30" si="16">(G13-G25-SUM(G26:G28)-G33)*$G$1</f>
        <v>3696.1969256799998</v>
      </c>
      <c r="H30" s="24">
        <f t="shared" si="16"/>
        <v>296.78522076000002</v>
      </c>
      <c r="I30" s="24">
        <f t="shared" si="16"/>
        <v>0</v>
      </c>
      <c r="J30" s="24">
        <f t="shared" si="16"/>
        <v>734031.31944495579</v>
      </c>
      <c r="K30" s="24">
        <f t="shared" si="16"/>
        <v>162150.35753027999</v>
      </c>
      <c r="L30" s="24">
        <f t="shared" si="16"/>
        <v>50088.109421070003</v>
      </c>
      <c r="M30" s="24">
        <f t="shared" si="16"/>
        <v>18216.711332819999</v>
      </c>
      <c r="N30" s="24">
        <f t="shared" si="16"/>
        <v>10485.91479348</v>
      </c>
      <c r="O30" s="24">
        <f t="shared" si="16"/>
        <v>39759.449520000002</v>
      </c>
      <c r="P30" s="24">
        <f t="shared" si="16"/>
        <v>11128.937568096098</v>
      </c>
      <c r="Q30" s="24">
        <f t="shared" si="16"/>
        <v>24119.340119529727</v>
      </c>
      <c r="R30" s="24">
        <f t="shared" si="16"/>
        <v>35280.515209474848</v>
      </c>
      <c r="S30" s="24">
        <f t="shared" si="16"/>
        <v>0</v>
      </c>
      <c r="T30" s="24">
        <f t="shared" si="16"/>
        <v>54152.368318350789</v>
      </c>
      <c r="U30" s="24">
        <f t="shared" si="16"/>
        <v>0</v>
      </c>
      <c r="V30" s="24">
        <f t="shared" ref="V30" si="17">(V13-V25-SUM(V26:V28)-V33)*$G$1</f>
        <v>0</v>
      </c>
      <c r="W30" s="24">
        <f t="shared" si="16"/>
        <v>1196320.4180000001</v>
      </c>
    </row>
    <row r="31" spans="1:23">
      <c r="A31" s="24">
        <v>24</v>
      </c>
      <c r="B31" s="24"/>
      <c r="C31" s="24" t="s">
        <v>48</v>
      </c>
      <c r="D31" s="24"/>
      <c r="E31" s="24">
        <f t="shared" si="13"/>
        <v>0</v>
      </c>
      <c r="F31" s="24"/>
      <c r="G31" s="24"/>
      <c r="H31" s="24"/>
      <c r="I31" s="24"/>
      <c r="J31" s="24"/>
      <c r="K31" s="24"/>
      <c r="L31" s="24"/>
      <c r="M31" s="24"/>
      <c r="N31" s="24"/>
      <c r="O31" s="24"/>
      <c r="P31" s="24"/>
      <c r="Q31" s="24"/>
      <c r="R31" s="24"/>
      <c r="S31" s="24"/>
      <c r="T31" s="24"/>
      <c r="U31" s="24"/>
      <c r="V31" s="24"/>
      <c r="W31" s="24"/>
    </row>
    <row r="32" spans="1:23">
      <c r="A32" s="24">
        <v>25</v>
      </c>
      <c r="B32" s="24"/>
      <c r="C32" s="91" t="s">
        <v>358</v>
      </c>
      <c r="D32" s="24"/>
      <c r="E32" s="24">
        <f t="shared" si="13"/>
        <v>0</v>
      </c>
      <c r="F32" s="24"/>
      <c r="G32" s="24"/>
      <c r="H32" s="24"/>
      <c r="I32" s="24"/>
      <c r="J32" s="24"/>
      <c r="K32" s="24"/>
      <c r="L32" s="24"/>
      <c r="M32" s="24"/>
      <c r="N32" s="24"/>
      <c r="O32" s="24"/>
      <c r="P32" s="24"/>
      <c r="Q32" s="24"/>
      <c r="R32" s="24"/>
      <c r="S32" s="24"/>
      <c r="T32" s="24"/>
      <c r="U32" s="24"/>
      <c r="V32" s="24"/>
      <c r="W32" s="24"/>
    </row>
    <row r="33" spans="1:23">
      <c r="A33" s="24">
        <v>26</v>
      </c>
      <c r="B33" s="24"/>
      <c r="C33" s="24" t="s">
        <v>49</v>
      </c>
      <c r="D33" s="24"/>
      <c r="E33" s="34">
        <f t="shared" si="13"/>
        <v>0</v>
      </c>
      <c r="F33" s="34"/>
      <c r="G33" s="34"/>
      <c r="H33" s="34"/>
      <c r="I33" s="34"/>
      <c r="J33" s="34"/>
      <c r="K33" s="34"/>
      <c r="L33" s="34"/>
      <c r="M33" s="34"/>
      <c r="N33" s="34"/>
      <c r="O33" s="34"/>
      <c r="P33" s="34"/>
      <c r="Q33" s="34"/>
      <c r="R33" s="34"/>
      <c r="S33" s="34"/>
      <c r="T33" s="34"/>
      <c r="U33" s="34"/>
      <c r="V33" s="34"/>
      <c r="W33" s="34"/>
    </row>
    <row r="34" spans="1:23">
      <c r="A34" s="24">
        <v>27</v>
      </c>
      <c r="B34" s="24"/>
      <c r="C34" s="27" t="s">
        <v>50</v>
      </c>
      <c r="D34" s="24"/>
      <c r="E34" s="34">
        <f>SUM(E25:E33)</f>
        <v>-31977463.622428562</v>
      </c>
      <c r="F34" s="34"/>
      <c r="G34" s="34">
        <f t="shared" ref="G34:Q34" si="18">SUM(G25:G33)</f>
        <v>-50516.590978307991</v>
      </c>
      <c r="H34" s="34">
        <f t="shared" ref="H34" si="19">SUM(H25:H33)</f>
        <v>-4056.2172165060001</v>
      </c>
      <c r="I34" s="34">
        <f t="shared" ref="I34" si="20">SUM(I25:I33)</f>
        <v>0</v>
      </c>
      <c r="J34" s="34">
        <f t="shared" si="18"/>
        <v>-10032138.62119825</v>
      </c>
      <c r="K34" s="34">
        <f t="shared" ref="K34" si="21">SUM(K25:K33)</f>
        <v>-2216138.2234353181</v>
      </c>
      <c r="L34" s="34">
        <f t="shared" si="18"/>
        <v>-684563.23820880451</v>
      </c>
      <c r="M34" s="34">
        <f>SUM(M25:M33)</f>
        <v>-248971.08402866701</v>
      </c>
      <c r="N34" s="34">
        <f t="shared" ref="N34" si="22">SUM(N25:N33)</f>
        <v>-143312.89141423799</v>
      </c>
      <c r="O34" s="34">
        <f t="shared" si="18"/>
        <v>-543399.57781199994</v>
      </c>
      <c r="P34" s="34">
        <f>SUM(P25:P33)</f>
        <v>-152101.19981559354</v>
      </c>
      <c r="Q34" s="34">
        <f t="shared" si="18"/>
        <v>-329643.37777019828</v>
      </c>
      <c r="R34" s="34">
        <f>SUM(R25:R33)</f>
        <v>-482185.17361953849</v>
      </c>
      <c r="S34" s="34">
        <f t="shared" ref="S34:W34" si="23">SUM(S25:S33)</f>
        <v>0</v>
      </c>
      <c r="T34" s="34">
        <f t="shared" si="23"/>
        <v>-740110.198631134</v>
      </c>
      <c r="U34" s="34">
        <f t="shared" si="23"/>
        <v>0</v>
      </c>
      <c r="V34" s="34">
        <f t="shared" ref="V34" si="24">SUM(V25:V33)</f>
        <v>0</v>
      </c>
      <c r="W34" s="34">
        <f t="shared" si="23"/>
        <v>-16350327.228300003</v>
      </c>
    </row>
    <row r="35" spans="1:23" ht="16.5" thickBot="1">
      <c r="A35" s="24">
        <v>28</v>
      </c>
      <c r="B35" s="24"/>
      <c r="C35" s="53" t="s">
        <v>51</v>
      </c>
      <c r="D35" s="24"/>
      <c r="E35" s="35">
        <f>E13-E34</f>
        <v>31977463.622428562</v>
      </c>
      <c r="F35" s="35"/>
      <c r="G35" s="35">
        <f t="shared" ref="G35:Q35" si="25">G13-G34</f>
        <v>50516.590978307991</v>
      </c>
      <c r="H35" s="35">
        <f t="shared" ref="H35" si="26">H13-H34</f>
        <v>4056.2172165060001</v>
      </c>
      <c r="I35" s="35">
        <f t="shared" ref="I35" si="27">I13-I34</f>
        <v>0</v>
      </c>
      <c r="J35" s="35">
        <f t="shared" si="25"/>
        <v>10032138.62119825</v>
      </c>
      <c r="K35" s="35">
        <f t="shared" ref="K35" si="28">K13-K34</f>
        <v>2216138.2234353181</v>
      </c>
      <c r="L35" s="35">
        <f t="shared" si="25"/>
        <v>684563.23820880451</v>
      </c>
      <c r="M35" s="35">
        <f>M13-M34</f>
        <v>248971.08402866701</v>
      </c>
      <c r="N35" s="35">
        <f t="shared" ref="N35" si="29">N13-N34</f>
        <v>143312.89141423799</v>
      </c>
      <c r="O35" s="35">
        <f t="shared" si="25"/>
        <v>543399.57781199994</v>
      </c>
      <c r="P35" s="35">
        <f>P13-P34</f>
        <v>152101.19981559354</v>
      </c>
      <c r="Q35" s="35">
        <f t="shared" si="25"/>
        <v>329643.37777019828</v>
      </c>
      <c r="R35" s="35">
        <f>R13-R34</f>
        <v>482185.17361953849</v>
      </c>
      <c r="S35" s="35">
        <f t="shared" ref="S35:W35" si="30">S13-S34</f>
        <v>0</v>
      </c>
      <c r="T35" s="35">
        <f t="shared" si="30"/>
        <v>740110.198631134</v>
      </c>
      <c r="U35" s="35">
        <f t="shared" si="30"/>
        <v>0</v>
      </c>
      <c r="V35" s="35">
        <f t="shared" ref="V35" si="31">V13-V34</f>
        <v>0</v>
      </c>
      <c r="W35" s="35">
        <f t="shared" si="30"/>
        <v>16350327.228300003</v>
      </c>
    </row>
    <row r="36" spans="1:23" ht="16.5" thickTop="1">
      <c r="A36" s="24">
        <v>29</v>
      </c>
      <c r="B36" s="24"/>
      <c r="C36" s="53" t="s">
        <v>52</v>
      </c>
      <c r="D36" s="24"/>
      <c r="E36" s="24"/>
      <c r="F36" s="24"/>
      <c r="G36" s="24"/>
      <c r="H36" s="24"/>
      <c r="I36" s="24"/>
      <c r="J36" s="24"/>
      <c r="K36" s="24"/>
      <c r="L36" s="24"/>
      <c r="M36" s="24"/>
      <c r="N36" s="24"/>
      <c r="O36" s="24"/>
      <c r="P36" s="24"/>
      <c r="Q36" s="24"/>
      <c r="R36" s="24"/>
      <c r="S36" s="24"/>
      <c r="T36" s="24"/>
      <c r="U36" s="24"/>
      <c r="V36" s="24"/>
      <c r="W36" s="24"/>
    </row>
    <row r="37" spans="1:23">
      <c r="A37" s="24">
        <v>30</v>
      </c>
      <c r="B37" s="24"/>
      <c r="C37" s="24" t="s">
        <v>53</v>
      </c>
      <c r="D37" s="24"/>
      <c r="E37" s="24">
        <f t="shared" ref="E37:E47" si="32">SUM(G37:W37)</f>
        <v>-38917724.120450005</v>
      </c>
      <c r="F37" s="24"/>
      <c r="G37" s="91">
        <f>'3.3'!M11</f>
        <v>-1264193</v>
      </c>
      <c r="H37" s="24">
        <f>'3.4'!M11</f>
        <v>-638472.18330000003</v>
      </c>
      <c r="I37" s="91"/>
      <c r="J37" s="24">
        <f>'3.6'!M17</f>
        <v>-37015058.937150002</v>
      </c>
      <c r="K37" s="24"/>
      <c r="L37" s="24"/>
      <c r="M37" s="24"/>
      <c r="N37" s="24"/>
      <c r="O37" s="24"/>
      <c r="P37" s="24"/>
      <c r="Q37" s="24"/>
      <c r="R37" s="24"/>
      <c r="S37" s="24"/>
      <c r="T37" s="24"/>
      <c r="U37" s="24"/>
      <c r="V37" s="24"/>
      <c r="W37" s="24"/>
    </row>
    <row r="38" spans="1:23">
      <c r="A38" s="24">
        <v>31</v>
      </c>
      <c r="B38" s="24"/>
      <c r="C38" s="24" t="s">
        <v>54</v>
      </c>
      <c r="D38" s="24"/>
      <c r="E38" s="24">
        <f t="shared" si="32"/>
        <v>0</v>
      </c>
      <c r="F38" s="24"/>
      <c r="G38" s="24"/>
      <c r="H38" s="24"/>
      <c r="I38" s="24"/>
      <c r="J38" s="24"/>
      <c r="K38" s="24"/>
      <c r="L38" s="24"/>
      <c r="M38" s="24"/>
      <c r="N38" s="24"/>
      <c r="O38" s="24"/>
      <c r="P38" s="24"/>
      <c r="Q38" s="24"/>
      <c r="R38" s="24"/>
      <c r="S38" s="24"/>
      <c r="T38" s="24"/>
      <c r="U38" s="24"/>
      <c r="V38" s="24"/>
      <c r="W38" s="24"/>
    </row>
    <row r="39" spans="1:23">
      <c r="A39" s="24">
        <v>32</v>
      </c>
      <c r="B39" s="24"/>
      <c r="C39" s="24" t="s">
        <v>55</v>
      </c>
      <c r="D39" s="24"/>
      <c r="E39" s="24">
        <f t="shared" si="32"/>
        <v>0</v>
      </c>
      <c r="F39" s="24"/>
      <c r="G39" s="24"/>
      <c r="H39" s="24"/>
      <c r="I39" s="24"/>
      <c r="J39" s="24"/>
      <c r="K39" s="24"/>
      <c r="L39" s="24"/>
      <c r="M39" s="24"/>
      <c r="N39" s="24"/>
      <c r="O39" s="24"/>
      <c r="P39" s="24"/>
      <c r="Q39" s="24"/>
      <c r="R39" s="24"/>
      <c r="S39" s="24"/>
      <c r="T39" s="24"/>
      <c r="U39" s="24"/>
      <c r="V39" s="24"/>
      <c r="W39" s="24"/>
    </row>
    <row r="40" spans="1:23">
      <c r="A40" s="24">
        <v>33</v>
      </c>
      <c r="B40" s="24"/>
      <c r="C40" s="24" t="s">
        <v>56</v>
      </c>
      <c r="D40" s="24"/>
      <c r="E40" s="24">
        <f t="shared" si="32"/>
        <v>0</v>
      </c>
      <c r="F40" s="24"/>
      <c r="G40" s="24"/>
      <c r="H40" s="24"/>
      <c r="I40" s="24"/>
      <c r="J40" s="24"/>
      <c r="K40" s="24"/>
      <c r="L40" s="24"/>
      <c r="M40" s="24"/>
      <c r="N40" s="24"/>
      <c r="O40" s="24"/>
      <c r="P40" s="24"/>
      <c r="Q40" s="24"/>
      <c r="R40" s="24"/>
      <c r="S40" s="24"/>
      <c r="T40" s="24"/>
      <c r="U40" s="24"/>
      <c r="V40" s="24"/>
      <c r="W40" s="24"/>
    </row>
    <row r="41" spans="1:23">
      <c r="A41" s="24">
        <v>34</v>
      </c>
      <c r="B41" s="24"/>
      <c r="C41" s="24" t="s">
        <v>57</v>
      </c>
      <c r="D41" s="24"/>
      <c r="E41" s="24">
        <f t="shared" si="32"/>
        <v>0</v>
      </c>
      <c r="F41" s="24"/>
      <c r="G41" s="24"/>
      <c r="H41" s="24"/>
      <c r="I41" s="24"/>
      <c r="J41" s="24"/>
      <c r="K41" s="24"/>
      <c r="L41" s="24"/>
      <c r="M41" s="24"/>
      <c r="N41" s="24"/>
      <c r="O41" s="24"/>
      <c r="P41" s="24"/>
      <c r="Q41" s="24"/>
      <c r="R41" s="24"/>
      <c r="S41" s="24"/>
      <c r="T41" s="24"/>
      <c r="U41" s="24"/>
      <c r="V41" s="24"/>
      <c r="W41" s="24"/>
    </row>
    <row r="42" spans="1:23">
      <c r="A42" s="24">
        <v>35</v>
      </c>
      <c r="B42" s="24"/>
      <c r="C42" s="24" t="s">
        <v>58</v>
      </c>
      <c r="D42" s="24"/>
      <c r="E42" s="24">
        <f t="shared" si="32"/>
        <v>0</v>
      </c>
      <c r="F42" s="24"/>
      <c r="G42" s="24"/>
      <c r="H42" s="24"/>
      <c r="I42" s="24"/>
      <c r="J42" s="24"/>
      <c r="K42" s="24"/>
      <c r="L42" s="24"/>
      <c r="M42" s="24"/>
      <c r="N42" s="24"/>
      <c r="O42" s="24"/>
      <c r="P42" s="24"/>
      <c r="Q42" s="24"/>
      <c r="R42" s="24"/>
      <c r="S42" s="24"/>
      <c r="T42" s="24"/>
      <c r="U42" s="24"/>
      <c r="V42" s="24"/>
      <c r="W42" s="24"/>
    </row>
    <row r="43" spans="1:23">
      <c r="A43" s="24">
        <v>36</v>
      </c>
      <c r="B43" s="24"/>
      <c r="C43" s="24" t="s">
        <v>59</v>
      </c>
      <c r="D43" s="24"/>
      <c r="E43" s="24">
        <f t="shared" si="32"/>
        <v>0</v>
      </c>
      <c r="F43" s="24"/>
      <c r="G43" s="24"/>
      <c r="H43" s="24"/>
      <c r="I43" s="24"/>
      <c r="J43" s="24"/>
      <c r="K43" s="24"/>
      <c r="L43" s="24"/>
      <c r="M43" s="24"/>
      <c r="N43" s="24"/>
      <c r="O43" s="24"/>
      <c r="P43" s="24"/>
      <c r="Q43" s="24"/>
      <c r="R43" s="24"/>
      <c r="S43" s="24"/>
      <c r="T43" s="24"/>
      <c r="U43" s="24"/>
      <c r="V43" s="24"/>
      <c r="W43" s="24"/>
    </row>
    <row r="44" spans="1:23">
      <c r="A44" s="24">
        <v>37</v>
      </c>
      <c r="B44" s="24"/>
      <c r="C44" s="24" t="s">
        <v>60</v>
      </c>
      <c r="D44" s="24"/>
      <c r="E44" s="24">
        <f t="shared" si="32"/>
        <v>0</v>
      </c>
      <c r="F44" s="24"/>
      <c r="G44" s="24"/>
      <c r="H44" s="24"/>
      <c r="I44" s="24"/>
      <c r="J44" s="24"/>
      <c r="K44" s="24"/>
      <c r="L44" s="24"/>
      <c r="M44" s="24"/>
      <c r="N44" s="24"/>
      <c r="O44" s="24"/>
      <c r="P44" s="24"/>
      <c r="Q44" s="24"/>
      <c r="R44" s="24"/>
      <c r="S44" s="24"/>
      <c r="T44" s="24"/>
      <c r="U44" s="24"/>
      <c r="V44" s="24"/>
      <c r="W44" s="24"/>
    </row>
    <row r="45" spans="1:23">
      <c r="A45" s="24">
        <v>38</v>
      </c>
      <c r="B45" s="24"/>
      <c r="C45" s="91" t="s">
        <v>359</v>
      </c>
      <c r="D45" s="24"/>
      <c r="E45" s="24">
        <f t="shared" si="32"/>
        <v>-13144229.701104954</v>
      </c>
      <c r="F45" s="24"/>
      <c r="G45" s="24"/>
      <c r="H45" s="24"/>
      <c r="I45" s="24">
        <f>'3.5'!M11</f>
        <v>-13144229.701104954</v>
      </c>
      <c r="J45" s="24"/>
      <c r="K45" s="24"/>
      <c r="L45" s="24"/>
      <c r="M45" s="24"/>
      <c r="N45" s="24"/>
      <c r="O45" s="24"/>
      <c r="P45" s="24"/>
      <c r="Q45" s="24"/>
      <c r="R45" s="24"/>
      <c r="S45" s="24"/>
      <c r="T45" s="24"/>
      <c r="U45" s="24"/>
      <c r="V45" s="24"/>
      <c r="W45" s="24"/>
    </row>
    <row r="46" spans="1:23">
      <c r="A46" s="24">
        <v>39</v>
      </c>
      <c r="B46" s="24"/>
      <c r="C46" s="24" t="s">
        <v>61</v>
      </c>
      <c r="D46" s="24"/>
      <c r="E46" s="24">
        <f t="shared" si="32"/>
        <v>0</v>
      </c>
      <c r="F46" s="24"/>
      <c r="G46" s="24"/>
      <c r="H46" s="24"/>
      <c r="I46" s="24"/>
      <c r="J46" s="24"/>
      <c r="K46" s="24"/>
      <c r="L46" s="24"/>
      <c r="M46" s="24"/>
      <c r="N46" s="24"/>
      <c r="O46" s="24"/>
      <c r="P46" s="24"/>
      <c r="Q46" s="24"/>
      <c r="R46" s="24"/>
      <c r="S46" s="24"/>
      <c r="T46" s="24"/>
      <c r="U46" s="24"/>
      <c r="V46" s="24"/>
      <c r="W46" s="24"/>
    </row>
    <row r="47" spans="1:23">
      <c r="A47" s="24">
        <v>40</v>
      </c>
      <c r="B47" s="24"/>
      <c r="C47" s="91" t="s">
        <v>360</v>
      </c>
      <c r="D47" s="24"/>
      <c r="E47" s="34">
        <f t="shared" si="32"/>
        <v>0</v>
      </c>
      <c r="F47" s="34"/>
      <c r="G47" s="34"/>
      <c r="H47" s="34"/>
      <c r="I47" s="34"/>
      <c r="J47" s="34"/>
      <c r="K47" s="34"/>
      <c r="L47" s="34"/>
      <c r="M47" s="34"/>
      <c r="N47" s="34"/>
      <c r="O47" s="34"/>
      <c r="P47" s="34"/>
      <c r="Q47" s="34"/>
      <c r="R47" s="34"/>
      <c r="S47" s="34"/>
      <c r="T47" s="34"/>
      <c r="U47" s="34"/>
      <c r="V47" s="34"/>
      <c r="W47" s="34"/>
    </row>
    <row r="48" spans="1:23">
      <c r="A48" s="24">
        <v>41</v>
      </c>
      <c r="B48" s="24"/>
      <c r="C48" s="24" t="s">
        <v>62</v>
      </c>
      <c r="D48" s="24"/>
      <c r="E48" s="34">
        <f>SUM(E37:E47)</f>
        <v>-52061953.821554959</v>
      </c>
      <c r="F48" s="34"/>
      <c r="G48" s="34">
        <f t="shared" ref="G48:Q48" si="33">SUM(G37:G47)</f>
        <v>-1264193</v>
      </c>
      <c r="H48" s="34">
        <f t="shared" ref="H48" si="34">SUM(H37:H47)</f>
        <v>-638472.18330000003</v>
      </c>
      <c r="I48" s="34">
        <f t="shared" ref="I48" si="35">SUM(I37:I47)</f>
        <v>-13144229.701104954</v>
      </c>
      <c r="J48" s="34">
        <f t="shared" si="33"/>
        <v>-37015058.937150002</v>
      </c>
      <c r="K48" s="34">
        <f t="shared" ref="K48" si="36">SUM(K37:K47)</f>
        <v>0</v>
      </c>
      <c r="L48" s="34">
        <f t="shared" si="33"/>
        <v>0</v>
      </c>
      <c r="M48" s="34">
        <f>SUM(M37:M47)</f>
        <v>0</v>
      </c>
      <c r="N48" s="34">
        <f t="shared" ref="N48" si="37">SUM(N37:N47)</f>
        <v>0</v>
      </c>
      <c r="O48" s="34">
        <f t="shared" si="33"/>
        <v>0</v>
      </c>
      <c r="P48" s="34">
        <f>SUM(P37:P47)</f>
        <v>0</v>
      </c>
      <c r="Q48" s="34">
        <f t="shared" si="33"/>
        <v>0</v>
      </c>
      <c r="R48" s="34">
        <f>SUM(R37:R47)</f>
        <v>0</v>
      </c>
      <c r="S48" s="34"/>
      <c r="T48" s="34">
        <f t="shared" ref="T48:U48" si="38">SUM(T37:T47)</f>
        <v>0</v>
      </c>
      <c r="U48" s="34">
        <f t="shared" si="38"/>
        <v>0</v>
      </c>
      <c r="V48" s="34">
        <f t="shared" ref="V48" si="39">SUM(V37:V47)</f>
        <v>0</v>
      </c>
      <c r="W48" s="34"/>
    </row>
    <row r="49" spans="1:23">
      <c r="A49" s="24">
        <v>42</v>
      </c>
      <c r="B49" s="24"/>
      <c r="C49" s="53" t="s">
        <v>63</v>
      </c>
      <c r="D49" s="24"/>
      <c r="E49" s="24"/>
      <c r="F49" s="24"/>
      <c r="G49" s="24"/>
      <c r="H49" s="24"/>
      <c r="I49" s="24"/>
      <c r="J49" s="24"/>
      <c r="K49" s="24"/>
      <c r="L49" s="24"/>
      <c r="M49" s="24"/>
      <c r="N49" s="24"/>
      <c r="O49" s="24"/>
      <c r="P49" s="24"/>
      <c r="Q49" s="24"/>
      <c r="R49" s="24"/>
      <c r="S49" s="24"/>
      <c r="T49" s="24"/>
      <c r="U49" s="24"/>
      <c r="V49" s="24"/>
      <c r="W49" s="24"/>
    </row>
    <row r="50" spans="1:23">
      <c r="A50" s="24">
        <v>43</v>
      </c>
      <c r="B50" s="24"/>
      <c r="C50" s="91" t="s">
        <v>361</v>
      </c>
      <c r="D50" s="24"/>
      <c r="E50" s="24">
        <f t="shared" ref="E50:E56" si="40">SUM(G50:W50)</f>
        <v>2534729.8627430359</v>
      </c>
      <c r="F50" s="24"/>
      <c r="G50" s="24">
        <f>'3.3'!M14</f>
        <v>74629.383919999993</v>
      </c>
      <c r="H50" s="24">
        <f>'3.4'!M14</f>
        <v>502.75574999999998</v>
      </c>
      <c r="I50" s="24"/>
      <c r="J50" s="24">
        <f>'3.6'!M27+'3.6'!M29</f>
        <v>2459597.7230730359</v>
      </c>
      <c r="K50" s="24"/>
      <c r="L50" s="24"/>
      <c r="M50" s="24"/>
      <c r="N50" s="24"/>
      <c r="O50" s="24"/>
      <c r="P50" s="24"/>
      <c r="Q50" s="24"/>
      <c r="R50" s="24"/>
      <c r="S50" s="24"/>
      <c r="T50" s="24"/>
      <c r="U50" s="24"/>
      <c r="V50" s="24"/>
      <c r="W50" s="24"/>
    </row>
    <row r="51" spans="1:23">
      <c r="A51" s="24">
        <v>44</v>
      </c>
      <c r="B51" s="24"/>
      <c r="C51" s="91" t="s">
        <v>362</v>
      </c>
      <c r="D51" s="24"/>
      <c r="E51" s="24">
        <f t="shared" si="40"/>
        <v>2327935.1949</v>
      </c>
      <c r="F51" s="24"/>
      <c r="G51" s="24"/>
      <c r="H51" s="24"/>
      <c r="I51" s="24"/>
      <c r="J51" s="24">
        <f>'3.6'!M31</f>
        <v>2327935.1949</v>
      </c>
      <c r="K51" s="24"/>
      <c r="L51" s="24"/>
      <c r="M51" s="24"/>
      <c r="N51" s="24"/>
      <c r="O51" s="24"/>
      <c r="P51" s="24"/>
      <c r="Q51" s="24"/>
      <c r="R51" s="24"/>
      <c r="S51" s="24"/>
      <c r="T51" s="24"/>
      <c r="U51" s="24"/>
      <c r="V51" s="24"/>
      <c r="W51" s="24"/>
    </row>
    <row r="52" spans="1:23">
      <c r="A52" s="24">
        <v>45</v>
      </c>
      <c r="B52" s="24"/>
      <c r="C52" s="24" t="s">
        <v>64</v>
      </c>
      <c r="D52" s="24"/>
      <c r="E52" s="24">
        <f t="shared" si="40"/>
        <v>-14953.63905</v>
      </c>
      <c r="F52" s="24"/>
      <c r="G52" s="24"/>
      <c r="H52" s="24">
        <f>'3.4'!M20</f>
        <v>-14953.63905</v>
      </c>
      <c r="I52" s="24"/>
      <c r="J52" s="24"/>
      <c r="K52" s="24"/>
      <c r="L52" s="24"/>
      <c r="M52" s="24"/>
      <c r="N52" s="24"/>
      <c r="O52" s="24"/>
      <c r="P52" s="24"/>
      <c r="Q52" s="24"/>
      <c r="R52" s="24"/>
      <c r="S52" s="24"/>
      <c r="T52" s="24"/>
      <c r="U52" s="24"/>
      <c r="V52" s="207" t="s">
        <v>640</v>
      </c>
      <c r="W52" s="24"/>
    </row>
    <row r="53" spans="1:23">
      <c r="A53" s="24">
        <v>46</v>
      </c>
      <c r="B53" s="24"/>
      <c r="C53" s="24" t="s">
        <v>65</v>
      </c>
      <c r="D53" s="24"/>
      <c r="E53" s="24">
        <f t="shared" si="40"/>
        <v>0</v>
      </c>
      <c r="F53" s="24"/>
      <c r="G53" s="24"/>
      <c r="H53" s="24"/>
      <c r="I53" s="24"/>
      <c r="J53" s="24"/>
      <c r="K53" s="24"/>
      <c r="L53" s="24"/>
      <c r="M53" s="24"/>
      <c r="N53" s="24"/>
      <c r="O53" s="24"/>
      <c r="P53" s="24"/>
      <c r="Q53" s="24"/>
      <c r="R53" s="24"/>
      <c r="S53" s="24"/>
      <c r="T53" s="24"/>
      <c r="U53" s="24"/>
      <c r="V53" s="24"/>
      <c r="W53" s="24"/>
    </row>
    <row r="54" spans="1:23">
      <c r="A54" s="24">
        <v>47</v>
      </c>
      <c r="B54" s="24"/>
      <c r="C54" s="91" t="s">
        <v>363</v>
      </c>
      <c r="D54" s="24"/>
      <c r="E54" s="24">
        <f t="shared" si="40"/>
        <v>0</v>
      </c>
      <c r="F54" s="24"/>
      <c r="G54" s="24"/>
      <c r="H54" s="24"/>
      <c r="I54" s="24"/>
      <c r="J54" s="24"/>
      <c r="K54" s="24"/>
      <c r="L54" s="24"/>
      <c r="M54" s="24"/>
      <c r="N54" s="24"/>
      <c r="O54" s="24"/>
      <c r="P54" s="24"/>
      <c r="Q54" s="24"/>
      <c r="R54" s="24"/>
      <c r="S54" s="24"/>
      <c r="T54" s="24"/>
      <c r="U54" s="24"/>
      <c r="V54" s="24"/>
      <c r="W54" s="24"/>
    </row>
    <row r="55" spans="1:23">
      <c r="A55" s="24">
        <v>48</v>
      </c>
      <c r="B55" s="24"/>
      <c r="C55" s="24" t="s">
        <v>66</v>
      </c>
      <c r="D55" s="24"/>
      <c r="E55" s="24">
        <f t="shared" si="40"/>
        <v>0</v>
      </c>
      <c r="F55" s="24"/>
      <c r="G55" s="24"/>
      <c r="H55" s="24"/>
      <c r="I55" s="24"/>
      <c r="J55" s="24"/>
      <c r="K55" s="24"/>
      <c r="L55" s="24"/>
      <c r="M55" s="24"/>
      <c r="N55" s="24"/>
      <c r="O55" s="24"/>
      <c r="P55" s="24"/>
      <c r="Q55" s="24"/>
      <c r="R55" s="24"/>
      <c r="S55" s="24"/>
      <c r="T55" s="24"/>
      <c r="U55" s="24"/>
      <c r="V55" s="24"/>
      <c r="W55" s="24"/>
    </row>
    <row r="56" spans="1:23">
      <c r="A56" s="24">
        <v>49</v>
      </c>
      <c r="B56" s="24"/>
      <c r="C56" s="91" t="s">
        <v>364</v>
      </c>
      <c r="D56" s="24"/>
      <c r="E56" s="34">
        <f t="shared" si="40"/>
        <v>0</v>
      </c>
      <c r="F56" s="34"/>
      <c r="G56" s="34"/>
      <c r="H56" s="34"/>
      <c r="I56" s="34"/>
      <c r="J56" s="34"/>
      <c r="K56" s="34"/>
      <c r="L56" s="34"/>
      <c r="M56" s="34"/>
      <c r="N56" s="34"/>
      <c r="O56" s="34"/>
      <c r="P56" s="34"/>
      <c r="Q56" s="34"/>
      <c r="R56" s="34"/>
      <c r="S56" s="34"/>
      <c r="T56" s="34"/>
      <c r="U56" s="34"/>
      <c r="V56" s="34"/>
      <c r="W56" s="34"/>
    </row>
    <row r="57" spans="1:23">
      <c r="A57" s="24">
        <v>50</v>
      </c>
      <c r="B57" s="24"/>
      <c r="C57" s="24" t="s">
        <v>67</v>
      </c>
      <c r="D57" s="24"/>
      <c r="E57" s="34">
        <f>SUM(E50:E56)</f>
        <v>4847711.4185930351</v>
      </c>
      <c r="F57" s="34"/>
      <c r="G57" s="34">
        <f t="shared" ref="G57:Q57" si="41">SUM(G50:G56)</f>
        <v>74629.383919999993</v>
      </c>
      <c r="H57" s="34">
        <f t="shared" ref="H57" si="42">SUM(H50:H56)</f>
        <v>-14450.8833</v>
      </c>
      <c r="I57" s="34">
        <f t="shared" ref="I57" si="43">SUM(I50:I56)</f>
        <v>0</v>
      </c>
      <c r="J57" s="34">
        <f t="shared" si="41"/>
        <v>4787532.9179730359</v>
      </c>
      <c r="K57" s="34">
        <f t="shared" ref="K57" si="44">SUM(K50:K56)</f>
        <v>0</v>
      </c>
      <c r="L57" s="34">
        <f t="shared" si="41"/>
        <v>0</v>
      </c>
      <c r="M57" s="34">
        <f>SUM(M50:M56)</f>
        <v>0</v>
      </c>
      <c r="N57" s="34">
        <f t="shared" ref="N57" si="45">SUM(N50:N56)</f>
        <v>0</v>
      </c>
      <c r="O57" s="34">
        <f t="shared" si="41"/>
        <v>0</v>
      </c>
      <c r="P57" s="34">
        <f>SUM(P50:P56)</f>
        <v>0</v>
      </c>
      <c r="Q57" s="34">
        <f t="shared" si="41"/>
        <v>0</v>
      </c>
      <c r="R57" s="34">
        <f>SUM(R50:R56)</f>
        <v>0</v>
      </c>
      <c r="S57" s="34"/>
      <c r="T57" s="34">
        <f t="shared" ref="T57:U57" si="46">SUM(T50:T56)</f>
        <v>0</v>
      </c>
      <c r="U57" s="34">
        <f t="shared" si="46"/>
        <v>0</v>
      </c>
      <c r="V57" s="34">
        <f t="shared" ref="V57" si="47">SUM(V50:V56)</f>
        <v>0</v>
      </c>
      <c r="W57" s="34"/>
    </row>
    <row r="58" spans="1:23" ht="16.5" thickBot="1">
      <c r="A58" s="24">
        <v>51</v>
      </c>
      <c r="B58" s="24"/>
      <c r="C58" s="53" t="s">
        <v>238</v>
      </c>
      <c r="D58" s="24"/>
      <c r="E58" s="35">
        <f>E48+E57</f>
        <v>-47214242.402961925</v>
      </c>
      <c r="F58" s="35"/>
      <c r="G58" s="35">
        <f t="shared" ref="G58:Q58" si="48">G48+G57</f>
        <v>-1189563.6160800001</v>
      </c>
      <c r="H58" s="35">
        <f t="shared" ref="H58" si="49">H48+H57</f>
        <v>-652923.06660000002</v>
      </c>
      <c r="I58" s="35">
        <f t="shared" ref="I58" si="50">I48+I57</f>
        <v>-13144229.701104954</v>
      </c>
      <c r="J58" s="35">
        <f t="shared" si="48"/>
        <v>-32227526.019176967</v>
      </c>
      <c r="K58" s="35">
        <f t="shared" ref="K58" si="51">K48+K57</f>
        <v>0</v>
      </c>
      <c r="L58" s="35">
        <f t="shared" si="48"/>
        <v>0</v>
      </c>
      <c r="M58" s="35">
        <f>M48+M57</f>
        <v>0</v>
      </c>
      <c r="N58" s="35">
        <f t="shared" ref="N58" si="52">N48+N57</f>
        <v>0</v>
      </c>
      <c r="O58" s="35">
        <f t="shared" si="48"/>
        <v>0</v>
      </c>
      <c r="P58" s="35">
        <f>P48+P57</f>
        <v>0</v>
      </c>
      <c r="Q58" s="35">
        <f t="shared" si="48"/>
        <v>0</v>
      </c>
      <c r="R58" s="35">
        <f>R48+R57</f>
        <v>0</v>
      </c>
      <c r="S58" s="35"/>
      <c r="T58" s="35">
        <f t="shared" ref="T58:U58" si="53">T48+T57</f>
        <v>0</v>
      </c>
      <c r="U58" s="35">
        <f t="shared" si="53"/>
        <v>0</v>
      </c>
      <c r="V58" s="35">
        <f t="shared" ref="V58" si="54">V48+V57</f>
        <v>0</v>
      </c>
      <c r="W58" s="35"/>
    </row>
    <row r="59" spans="1:23" ht="16.5" thickTop="1">
      <c r="A59" s="24"/>
      <c r="B59" s="24"/>
      <c r="C59" s="24"/>
      <c r="D59" s="24"/>
      <c r="E59" s="32"/>
      <c r="F59" s="32"/>
      <c r="G59" s="32"/>
      <c r="H59" s="32"/>
      <c r="I59" s="32"/>
      <c r="J59" s="32"/>
      <c r="K59" s="32"/>
      <c r="L59" s="32"/>
      <c r="M59" s="32"/>
      <c r="N59" s="32"/>
      <c r="O59" s="32"/>
      <c r="P59" s="32"/>
      <c r="Q59" s="32"/>
      <c r="R59" s="32"/>
      <c r="S59" s="32"/>
      <c r="T59" s="32"/>
      <c r="U59" s="32"/>
      <c r="V59" s="32"/>
      <c r="W59" s="32"/>
    </row>
    <row r="60" spans="1:23">
      <c r="A60" s="24"/>
      <c r="B60" s="24"/>
      <c r="D60" s="24"/>
      <c r="E60" s="91" t="s">
        <v>356</v>
      </c>
      <c r="F60" s="24"/>
      <c r="L60" s="32"/>
      <c r="M60" s="32"/>
      <c r="N60" s="32"/>
      <c r="O60" s="24"/>
      <c r="P60" s="24"/>
      <c r="Q60" s="24"/>
      <c r="R60" s="24"/>
      <c r="S60" s="24"/>
      <c r="T60" s="24"/>
      <c r="U60" s="24"/>
      <c r="V60" s="24"/>
      <c r="W60" s="24"/>
    </row>
    <row r="61" spans="1:23">
      <c r="A61" s="24"/>
      <c r="B61" s="24"/>
      <c r="C61" s="54"/>
      <c r="D61" s="32"/>
      <c r="E61" s="92"/>
      <c r="F61" s="32"/>
      <c r="G61" s="4"/>
      <c r="H61" s="4"/>
      <c r="I61" s="4"/>
      <c r="J61" s="32"/>
      <c r="K61" s="32"/>
      <c r="L61" s="24"/>
      <c r="M61" s="24"/>
      <c r="N61" s="24"/>
      <c r="O61" s="24"/>
      <c r="P61" s="24"/>
      <c r="Q61" s="24"/>
      <c r="R61" s="24"/>
      <c r="S61" s="24"/>
      <c r="T61" s="24"/>
      <c r="U61" s="24"/>
      <c r="V61" s="24"/>
      <c r="W61" s="24"/>
    </row>
    <row r="62" spans="1:23">
      <c r="A62" s="24"/>
      <c r="B62" s="24"/>
      <c r="E62" s="92"/>
      <c r="L62" s="24"/>
      <c r="M62" s="24"/>
      <c r="N62" s="24"/>
      <c r="O62" s="24"/>
      <c r="P62" s="24"/>
      <c r="Q62" s="24"/>
      <c r="R62" s="24"/>
      <c r="S62" s="24"/>
      <c r="T62" s="24"/>
      <c r="U62" s="24"/>
      <c r="V62" s="24"/>
      <c r="W62" s="24"/>
    </row>
    <row r="63" spans="1:23">
      <c r="A63" s="24"/>
      <c r="B63" s="24"/>
      <c r="C63" s="27"/>
      <c r="D63" s="24"/>
      <c r="E63" s="24"/>
      <c r="F63" s="24"/>
      <c r="G63" s="24"/>
      <c r="H63" s="24"/>
      <c r="I63" s="24"/>
      <c r="J63" s="24"/>
      <c r="K63" s="24"/>
      <c r="L63" s="24"/>
      <c r="M63" s="24"/>
      <c r="N63" s="24"/>
      <c r="O63" s="24"/>
      <c r="P63" s="24"/>
      <c r="Q63" s="24"/>
      <c r="R63" s="24"/>
      <c r="S63" s="24"/>
      <c r="T63" s="24"/>
      <c r="U63" s="24"/>
      <c r="V63" s="24"/>
      <c r="W63" s="24"/>
    </row>
    <row r="64" spans="1:23">
      <c r="A64" s="24"/>
      <c r="B64" s="24"/>
      <c r="C64" s="24"/>
      <c r="D64" s="24"/>
      <c r="E64" s="24"/>
      <c r="F64" s="24"/>
      <c r="G64" s="24"/>
      <c r="H64" s="24"/>
      <c r="I64" s="24"/>
      <c r="J64" s="24"/>
      <c r="K64" s="24"/>
      <c r="L64" s="24"/>
      <c r="M64" s="24"/>
      <c r="N64" s="24"/>
      <c r="O64" s="24"/>
      <c r="P64" s="24"/>
      <c r="Q64" s="24"/>
      <c r="R64" s="24"/>
      <c r="S64" s="24"/>
      <c r="T64" s="24"/>
      <c r="U64" s="24"/>
      <c r="V64" s="24"/>
      <c r="W64" s="24"/>
    </row>
    <row r="65" spans="1:23">
      <c r="A65" s="24"/>
      <c r="B65" s="24"/>
      <c r="C65" s="24"/>
      <c r="D65" s="24"/>
      <c r="E65" s="24"/>
      <c r="F65" s="24"/>
      <c r="G65" s="24"/>
      <c r="H65" s="24"/>
      <c r="I65" s="24"/>
      <c r="J65" s="24"/>
      <c r="K65" s="24"/>
      <c r="L65" s="24"/>
      <c r="M65" s="24"/>
      <c r="N65" s="24"/>
      <c r="O65" s="24"/>
      <c r="P65" s="24"/>
      <c r="Q65" s="24"/>
      <c r="R65" s="24"/>
      <c r="S65" s="24"/>
      <c r="T65" s="24"/>
      <c r="U65" s="24"/>
      <c r="V65" s="24"/>
      <c r="W65" s="24"/>
    </row>
    <row r="66" spans="1:23">
      <c r="A66" s="24"/>
      <c r="B66" s="24"/>
      <c r="C66" s="24"/>
      <c r="D66" s="24"/>
      <c r="E66" s="24"/>
      <c r="F66" s="24"/>
      <c r="G66" s="24"/>
      <c r="H66" s="24"/>
      <c r="I66" s="24"/>
      <c r="J66" s="24"/>
      <c r="K66" s="24"/>
      <c r="L66" s="24"/>
      <c r="M66" s="24"/>
      <c r="N66" s="24"/>
      <c r="O66" s="24"/>
      <c r="P66" s="24"/>
      <c r="Q66" s="24"/>
      <c r="R66" s="24"/>
      <c r="S66" s="24"/>
      <c r="T66" s="24"/>
      <c r="U66" s="24"/>
      <c r="V66" s="24"/>
      <c r="W66" s="24"/>
    </row>
    <row r="67" spans="1:23">
      <c r="A67" s="24"/>
      <c r="B67" s="24"/>
      <c r="C67" s="24"/>
      <c r="D67" s="24"/>
      <c r="E67" s="24"/>
      <c r="F67" s="24"/>
      <c r="G67" s="24"/>
      <c r="H67" s="24"/>
      <c r="I67" s="24"/>
      <c r="J67" s="24"/>
      <c r="K67" s="24"/>
      <c r="L67" s="24"/>
      <c r="M67" s="24"/>
      <c r="N67" s="24"/>
      <c r="O67" s="24"/>
      <c r="P67" s="24"/>
      <c r="Q67" s="24"/>
      <c r="R67" s="24"/>
      <c r="S67" s="24"/>
      <c r="T67" s="24"/>
      <c r="U67" s="24"/>
      <c r="V67" s="24"/>
      <c r="W67" s="24"/>
    </row>
    <row r="68" spans="1:23">
      <c r="A68" s="24"/>
      <c r="B68" s="24"/>
      <c r="C68" s="24"/>
      <c r="D68" s="24"/>
      <c r="E68" s="24"/>
      <c r="F68" s="24"/>
      <c r="G68" s="24"/>
      <c r="H68" s="24"/>
      <c r="I68" s="24"/>
      <c r="J68" s="24"/>
      <c r="K68" s="24"/>
      <c r="L68" s="24"/>
      <c r="M68" s="24"/>
      <c r="N68" s="24"/>
      <c r="O68" s="24"/>
      <c r="P68" s="24"/>
      <c r="Q68" s="24"/>
      <c r="R68" s="24"/>
      <c r="S68" s="24"/>
      <c r="T68" s="24"/>
      <c r="U68" s="24"/>
      <c r="V68" s="24"/>
      <c r="W68" s="24"/>
    </row>
    <row r="69" spans="1:23">
      <c r="A69" s="24"/>
      <c r="B69" s="24"/>
      <c r="C69" s="24"/>
      <c r="D69" s="24"/>
      <c r="E69" s="24"/>
      <c r="F69" s="24"/>
      <c r="G69" s="24"/>
      <c r="H69" s="24"/>
      <c r="I69" s="24"/>
      <c r="J69" s="24"/>
      <c r="K69" s="24"/>
      <c r="L69" s="24"/>
      <c r="M69" s="24"/>
      <c r="N69" s="24"/>
      <c r="O69" s="24"/>
      <c r="P69" s="24"/>
      <c r="Q69" s="24"/>
      <c r="R69" s="24"/>
      <c r="S69" s="24"/>
      <c r="T69" s="24"/>
      <c r="U69" s="24"/>
      <c r="V69" s="24"/>
      <c r="W69" s="24"/>
    </row>
    <row r="70" spans="1:23">
      <c r="A70" s="24"/>
      <c r="B70" s="24"/>
      <c r="C70" s="24"/>
      <c r="D70" s="24"/>
      <c r="E70" s="24"/>
      <c r="F70" s="24"/>
      <c r="G70" s="24"/>
      <c r="H70" s="24"/>
      <c r="I70" s="24"/>
      <c r="J70" s="24"/>
      <c r="K70" s="24"/>
      <c r="L70" s="24"/>
      <c r="M70" s="24"/>
      <c r="N70" s="24"/>
      <c r="O70" s="24"/>
      <c r="P70" s="24"/>
      <c r="Q70" s="24"/>
      <c r="R70" s="24"/>
      <c r="S70" s="24"/>
      <c r="T70" s="24"/>
      <c r="U70" s="24"/>
      <c r="V70" s="24"/>
      <c r="W70" s="24"/>
    </row>
    <row r="71" spans="1:23">
      <c r="A71" s="24"/>
      <c r="B71" s="24"/>
      <c r="C71" s="24"/>
      <c r="D71" s="24"/>
      <c r="E71" s="24"/>
      <c r="F71" s="24"/>
      <c r="G71" s="24"/>
      <c r="H71" s="24"/>
      <c r="I71" s="24"/>
      <c r="J71" s="24"/>
      <c r="K71" s="24"/>
      <c r="L71" s="24"/>
      <c r="M71" s="24"/>
      <c r="N71" s="24"/>
      <c r="O71" s="24"/>
      <c r="P71" s="24"/>
      <c r="Q71" s="24"/>
      <c r="R71" s="24"/>
      <c r="S71" s="24"/>
      <c r="T71" s="24"/>
      <c r="U71" s="24"/>
      <c r="V71" s="24"/>
      <c r="W71" s="24"/>
    </row>
    <row r="72" spans="1:23">
      <c r="A72" s="24"/>
      <c r="B72" s="24"/>
      <c r="C72" s="24"/>
      <c r="D72" s="24"/>
      <c r="E72" s="24"/>
      <c r="F72" s="24"/>
      <c r="G72" s="24"/>
      <c r="H72" s="24"/>
      <c r="I72" s="24"/>
      <c r="J72" s="24"/>
      <c r="K72" s="24"/>
      <c r="L72" s="24"/>
      <c r="M72" s="24"/>
      <c r="N72" s="24"/>
      <c r="O72" s="24"/>
      <c r="P72" s="24"/>
      <c r="Q72" s="24"/>
      <c r="R72" s="24"/>
      <c r="S72" s="24"/>
      <c r="T72" s="24"/>
      <c r="U72" s="24"/>
      <c r="V72" s="24"/>
      <c r="W72" s="24"/>
    </row>
    <row r="73" spans="1:23">
      <c r="A73" s="24"/>
      <c r="B73" s="24"/>
      <c r="C73" s="24"/>
      <c r="D73" s="24"/>
      <c r="E73" s="24"/>
      <c r="F73" s="24"/>
      <c r="G73" s="24"/>
      <c r="H73" s="24"/>
      <c r="I73" s="24"/>
      <c r="J73" s="24"/>
      <c r="K73" s="24"/>
      <c r="L73" s="24"/>
      <c r="M73" s="24"/>
      <c r="N73" s="24"/>
      <c r="O73" s="24"/>
      <c r="P73" s="24"/>
      <c r="Q73" s="24"/>
      <c r="R73" s="24"/>
      <c r="S73" s="24"/>
      <c r="T73" s="24"/>
      <c r="U73" s="24"/>
      <c r="V73" s="24"/>
      <c r="W73" s="24"/>
    </row>
    <row r="74" spans="1:23">
      <c r="A74" s="24"/>
      <c r="B74" s="24"/>
      <c r="C74" s="24"/>
      <c r="D74" s="24"/>
      <c r="E74" s="24"/>
      <c r="F74" s="24"/>
      <c r="G74" s="24"/>
      <c r="H74" s="24"/>
      <c r="I74" s="24"/>
      <c r="J74" s="24"/>
      <c r="K74" s="24"/>
      <c r="L74" s="24"/>
      <c r="M74" s="24"/>
      <c r="N74" s="24"/>
      <c r="O74" s="24"/>
      <c r="P74" s="24"/>
      <c r="Q74" s="24"/>
      <c r="R74" s="24"/>
      <c r="S74" s="24"/>
      <c r="T74" s="24"/>
      <c r="U74" s="24"/>
      <c r="V74" s="24"/>
      <c r="W74" s="24"/>
    </row>
    <row r="75" spans="1:23">
      <c r="A75" s="24"/>
      <c r="B75" s="24"/>
      <c r="C75" s="24"/>
      <c r="D75" s="24"/>
      <c r="E75" s="24"/>
      <c r="F75" s="24"/>
      <c r="G75" s="24"/>
      <c r="H75" s="24"/>
      <c r="I75" s="24"/>
      <c r="J75" s="24"/>
      <c r="K75" s="24"/>
      <c r="L75" s="24"/>
      <c r="M75" s="24"/>
      <c r="N75" s="24"/>
      <c r="O75" s="24"/>
      <c r="P75" s="24"/>
      <c r="Q75" s="24"/>
      <c r="R75" s="24"/>
      <c r="S75" s="24"/>
      <c r="T75" s="24"/>
      <c r="U75" s="24"/>
      <c r="V75" s="24"/>
      <c r="W75" s="24"/>
    </row>
    <row r="76" spans="1:23">
      <c r="A76" s="24"/>
      <c r="B76" s="24"/>
      <c r="C76" s="24"/>
      <c r="D76" s="24"/>
      <c r="E76" s="24"/>
      <c r="F76" s="24"/>
      <c r="G76" s="24"/>
      <c r="H76" s="24"/>
      <c r="I76" s="24"/>
      <c r="J76" s="24"/>
      <c r="K76" s="24"/>
      <c r="L76" s="24"/>
      <c r="M76" s="24"/>
      <c r="N76" s="24"/>
      <c r="O76" s="24"/>
      <c r="P76" s="24"/>
      <c r="Q76" s="24"/>
      <c r="R76" s="24"/>
      <c r="S76" s="24"/>
      <c r="T76" s="24"/>
      <c r="U76" s="24"/>
      <c r="V76" s="24"/>
      <c r="W76" s="24"/>
    </row>
  </sheetData>
  <phoneticPr fontId="8" type="noConversion"/>
  <pageMargins left="0.75" right="0.75" top="1" bottom="1" header="0.5" footer="0.5"/>
  <pageSetup scale="62" fitToWidth="3" orientation="portrait" r:id="rId1"/>
  <headerFooter alignWithMargins="0">
    <oddHeader>&amp;LRocky Mountain Power
- Utah Operations
&amp;11SUMMARY OF ADJUSTMENTS
Test Year Ending May 31, 2013
2010 Protocal - Utah Amounts&amp;12
&amp;ROffice of Consumer Services
Docket No. 11-035-200
Exhibit OCS 3.2D
Pages &amp;P of 3
Witness:  Donna Ramas</oddHead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sheetPr>
    <pageSetUpPr fitToPage="1"/>
  </sheetPr>
  <dimension ref="A1:P33"/>
  <sheetViews>
    <sheetView workbookViewId="0">
      <selection activeCell="K4" sqref="K4"/>
    </sheetView>
  </sheetViews>
  <sheetFormatPr defaultRowHeight="15.75"/>
  <cols>
    <col min="1" max="1" width="3.875" customWidth="1"/>
    <col min="2" max="2" width="1.625" customWidth="1"/>
    <col min="3" max="3" width="31.2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 min="14" max="14" width="1.625" customWidth="1"/>
  </cols>
  <sheetData>
    <row r="1" spans="1:16">
      <c r="A1" s="7" t="s">
        <v>15</v>
      </c>
      <c r="K1" s="7" t="s">
        <v>244</v>
      </c>
    </row>
    <row r="2" spans="1:16">
      <c r="A2" s="17" t="s">
        <v>13</v>
      </c>
      <c r="K2" t="s">
        <v>365</v>
      </c>
    </row>
    <row r="3" spans="1:16">
      <c r="A3" s="5" t="s">
        <v>646</v>
      </c>
      <c r="K3" t="s">
        <v>382</v>
      </c>
    </row>
    <row r="4" spans="1:16">
      <c r="A4" t="s">
        <v>357</v>
      </c>
      <c r="K4" t="s">
        <v>649</v>
      </c>
    </row>
    <row r="7" spans="1:16">
      <c r="A7" t="s">
        <v>0</v>
      </c>
      <c r="E7" s="1"/>
      <c r="F7" s="1"/>
      <c r="G7" s="1" t="s">
        <v>4</v>
      </c>
      <c r="H7" s="1"/>
      <c r="I7" s="1"/>
      <c r="J7" s="1"/>
      <c r="K7" s="1"/>
      <c r="L7" s="1"/>
      <c r="M7" s="1" t="s">
        <v>9</v>
      </c>
    </row>
    <row r="8" spans="1:16">
      <c r="A8" s="2" t="s">
        <v>3</v>
      </c>
      <c r="C8" s="2" t="s">
        <v>1</v>
      </c>
      <c r="E8" s="10" t="s">
        <v>70</v>
      </c>
      <c r="F8" s="1"/>
      <c r="G8" s="10" t="s">
        <v>6</v>
      </c>
      <c r="H8" s="1"/>
      <c r="I8" s="10" t="s">
        <v>7</v>
      </c>
      <c r="J8" s="1"/>
      <c r="K8" s="11" t="s">
        <v>10</v>
      </c>
      <c r="L8" s="1"/>
      <c r="M8" s="10" t="s">
        <v>8</v>
      </c>
    </row>
    <row r="10" spans="1:16">
      <c r="C10" s="3" t="s">
        <v>12</v>
      </c>
    </row>
    <row r="11" spans="1:16">
      <c r="A11" s="43">
        <v>1</v>
      </c>
      <c r="B11" s="23"/>
      <c r="C11" t="s">
        <v>388</v>
      </c>
      <c r="D11" s="23"/>
      <c r="E11" s="43">
        <v>408</v>
      </c>
      <c r="F11" s="23"/>
      <c r="G11" s="44">
        <f>G23</f>
        <v>-8334330</v>
      </c>
      <c r="H11" s="41"/>
      <c r="I11" s="8" t="s">
        <v>389</v>
      </c>
      <c r="J11" s="42"/>
      <c r="K11" s="51">
        <v>0.42853999999999998</v>
      </c>
      <c r="L11" s="41"/>
      <c r="M11" s="45">
        <f>G11*K11</f>
        <v>-3571593.7781999996</v>
      </c>
    </row>
    <row r="12" spans="1:16">
      <c r="A12" s="8"/>
      <c r="B12" s="4"/>
      <c r="C12" s="4"/>
      <c r="D12" s="41"/>
      <c r="E12" s="42"/>
      <c r="F12" s="41"/>
      <c r="G12" s="44"/>
      <c r="H12" s="41"/>
      <c r="I12" s="8"/>
      <c r="J12" s="42"/>
      <c r="K12" s="51"/>
      <c r="L12" s="41"/>
      <c r="M12" s="44"/>
      <c r="N12" s="4"/>
      <c r="O12" s="4"/>
      <c r="P12" s="4"/>
    </row>
    <row r="13" spans="1:16">
      <c r="A13" s="8"/>
      <c r="B13" s="4"/>
      <c r="C13" s="4"/>
      <c r="D13" s="4"/>
      <c r="E13" s="4"/>
      <c r="F13" s="4"/>
      <c r="G13" s="4"/>
      <c r="H13" s="4"/>
      <c r="I13" s="4"/>
      <c r="J13" s="4"/>
      <c r="K13" s="4"/>
      <c r="L13" s="4"/>
      <c r="M13" s="4"/>
      <c r="N13" s="4"/>
      <c r="O13" s="4"/>
      <c r="P13" s="4"/>
    </row>
    <row r="14" spans="1:16">
      <c r="A14" s="8"/>
      <c r="B14" s="4"/>
      <c r="C14" s="4"/>
      <c r="D14" s="4"/>
      <c r="E14" s="4"/>
      <c r="F14" s="4"/>
      <c r="G14" s="12"/>
      <c r="H14" s="4"/>
      <c r="I14" s="4"/>
      <c r="J14" s="4"/>
      <c r="K14" s="4"/>
      <c r="L14" s="4"/>
      <c r="M14" s="12"/>
      <c r="N14" s="4"/>
      <c r="O14" s="4"/>
      <c r="P14" s="4"/>
    </row>
    <row r="15" spans="1:16">
      <c r="A15" s="8"/>
      <c r="B15" s="4"/>
      <c r="C15" s="4"/>
      <c r="D15" s="4"/>
      <c r="E15" s="4"/>
      <c r="F15" s="4"/>
      <c r="G15" s="4"/>
      <c r="H15" s="4"/>
      <c r="I15" s="4"/>
      <c r="J15" s="4"/>
      <c r="K15" s="4"/>
      <c r="L15" s="4"/>
      <c r="M15" s="4"/>
      <c r="N15" s="4"/>
      <c r="O15" s="4"/>
      <c r="P15" s="4"/>
    </row>
    <row r="16" spans="1:16">
      <c r="A16" s="1"/>
    </row>
    <row r="17" spans="1:13">
      <c r="A17" s="1"/>
    </row>
    <row r="18" spans="1:13">
      <c r="A18" s="1"/>
    </row>
    <row r="19" spans="1:13">
      <c r="A19" s="1"/>
    </row>
    <row r="20" spans="1:13">
      <c r="A20" s="1"/>
      <c r="C20" s="3" t="s">
        <v>335</v>
      </c>
    </row>
    <row r="21" spans="1:13">
      <c r="A21" s="1" t="s">
        <v>267</v>
      </c>
      <c r="C21" t="s">
        <v>383</v>
      </c>
      <c r="G21" s="44">
        <f>13763109</f>
        <v>13763109</v>
      </c>
      <c r="I21" t="s">
        <v>385</v>
      </c>
    </row>
    <row r="22" spans="1:13">
      <c r="A22" s="1" t="s">
        <v>268</v>
      </c>
      <c r="C22" t="s">
        <v>384</v>
      </c>
      <c r="G22" s="52">
        <v>22097439</v>
      </c>
      <c r="I22" t="s">
        <v>386</v>
      </c>
    </row>
    <row r="23" spans="1:13">
      <c r="A23" s="1" t="s">
        <v>269</v>
      </c>
      <c r="C23" t="s">
        <v>387</v>
      </c>
      <c r="G23" s="93">
        <f>G21-G22</f>
        <v>-8334330</v>
      </c>
    </row>
    <row r="29" spans="1:13">
      <c r="C29" t="s">
        <v>5</v>
      </c>
    </row>
    <row r="31" spans="1:13">
      <c r="C31" s="209" t="s">
        <v>390</v>
      </c>
      <c r="D31" s="210"/>
      <c r="E31" s="210"/>
      <c r="F31" s="210"/>
      <c r="G31" s="210"/>
      <c r="H31" s="210"/>
      <c r="I31" s="210"/>
      <c r="J31" s="210"/>
      <c r="K31" s="210"/>
      <c r="L31" s="210"/>
      <c r="M31" s="211"/>
    </row>
    <row r="32" spans="1:13">
      <c r="C32" s="212"/>
      <c r="D32" s="213"/>
      <c r="E32" s="213"/>
      <c r="F32" s="213"/>
      <c r="G32" s="213"/>
      <c r="H32" s="213"/>
      <c r="I32" s="213"/>
      <c r="J32" s="213"/>
      <c r="K32" s="213"/>
      <c r="L32" s="213"/>
      <c r="M32" s="214"/>
    </row>
    <row r="33" spans="3:13">
      <c r="C33" s="215"/>
      <c r="D33" s="216"/>
      <c r="E33" s="216"/>
      <c r="F33" s="216"/>
      <c r="G33" s="216"/>
      <c r="H33" s="216"/>
      <c r="I33" s="216"/>
      <c r="J33" s="216"/>
      <c r="K33" s="216"/>
      <c r="L33" s="216"/>
      <c r="M33" s="217"/>
    </row>
  </sheetData>
  <mergeCells count="1">
    <mergeCell ref="C31:M33"/>
  </mergeCells>
  <pageMargins left="0.7" right="0.7" top="0.75" bottom="0.75" header="0.3" footer="0.3"/>
  <pageSetup scale="8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M36"/>
  <sheetViews>
    <sheetView topLeftCell="A4" workbookViewId="0">
      <selection activeCell="C13" sqref="C13"/>
    </sheetView>
  </sheetViews>
  <sheetFormatPr defaultRowHeight="15.75"/>
  <cols>
    <col min="1" max="1" width="4.625" customWidth="1"/>
    <col min="2" max="2" width="1.625" customWidth="1"/>
    <col min="3" max="3" width="31.2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 min="14" max="14" width="1.625" customWidth="1"/>
    <col min="15" max="15" width="11.5" customWidth="1"/>
  </cols>
  <sheetData>
    <row r="1" spans="1:13">
      <c r="A1" s="7" t="s">
        <v>15</v>
      </c>
      <c r="K1" s="7" t="s">
        <v>244</v>
      </c>
    </row>
    <row r="2" spans="1:13">
      <c r="A2" s="17" t="s">
        <v>13</v>
      </c>
      <c r="K2" t="s">
        <v>365</v>
      </c>
    </row>
    <row r="3" spans="1:13">
      <c r="A3" s="5" t="s">
        <v>279</v>
      </c>
      <c r="K3" t="s">
        <v>624</v>
      </c>
    </row>
    <row r="4" spans="1:13">
      <c r="A4" t="s">
        <v>357</v>
      </c>
      <c r="K4" t="s">
        <v>649</v>
      </c>
    </row>
    <row r="7" spans="1:13">
      <c r="A7" t="s">
        <v>0</v>
      </c>
      <c r="E7" s="1"/>
      <c r="F7" s="1"/>
      <c r="G7" s="1" t="s">
        <v>4</v>
      </c>
      <c r="H7" s="1"/>
      <c r="I7" s="1"/>
      <c r="J7" s="1"/>
      <c r="K7" s="1"/>
      <c r="L7" s="1"/>
      <c r="M7" s="1" t="s">
        <v>9</v>
      </c>
    </row>
    <row r="8" spans="1:13">
      <c r="A8" s="2" t="s">
        <v>3</v>
      </c>
      <c r="C8" s="2" t="s">
        <v>1</v>
      </c>
      <c r="E8" s="10" t="s">
        <v>70</v>
      </c>
      <c r="F8" s="1"/>
      <c r="G8" s="10" t="s">
        <v>6</v>
      </c>
      <c r="H8" s="1"/>
      <c r="I8" s="10" t="s">
        <v>7</v>
      </c>
      <c r="J8" s="1"/>
      <c r="K8" s="11" t="s">
        <v>10</v>
      </c>
      <c r="L8" s="1"/>
      <c r="M8" s="10" t="s">
        <v>8</v>
      </c>
    </row>
    <row r="10" spans="1:13">
      <c r="C10" s="3" t="s">
        <v>12</v>
      </c>
    </row>
    <row r="11" spans="1:13">
      <c r="A11" s="23">
        <v>1</v>
      </c>
      <c r="B11" s="23"/>
      <c r="C11" t="s">
        <v>651</v>
      </c>
      <c r="D11" s="23"/>
      <c r="E11" s="43">
        <v>924</v>
      </c>
      <c r="F11" s="23"/>
      <c r="G11" s="44">
        <f>'3.9.1'!G18</f>
        <v>-2223177.6666666665</v>
      </c>
      <c r="H11" s="41"/>
      <c r="I11" s="8" t="s">
        <v>14</v>
      </c>
      <c r="J11" s="42"/>
      <c r="K11" s="51">
        <v>0.43154999999999999</v>
      </c>
      <c r="L11" s="41"/>
      <c r="M11" s="45">
        <f>G11*K11</f>
        <v>-959412.32204999996</v>
      </c>
    </row>
    <row r="12" spans="1:13">
      <c r="A12">
        <v>2</v>
      </c>
      <c r="C12" t="s">
        <v>652</v>
      </c>
      <c r="D12" s="23"/>
      <c r="E12" s="43">
        <v>553</v>
      </c>
      <c r="F12" s="23"/>
      <c r="G12" s="52">
        <f>'3.9.1'!I18</f>
        <v>-333333.33333333331</v>
      </c>
      <c r="H12" s="41"/>
      <c r="I12" s="8" t="s">
        <v>14</v>
      </c>
      <c r="J12" s="42"/>
      <c r="K12" s="51">
        <v>0.43154999999999999</v>
      </c>
      <c r="L12" s="41"/>
      <c r="M12" s="52">
        <f>G12*K12</f>
        <v>-143850</v>
      </c>
    </row>
    <row r="14" spans="1:13">
      <c r="A14">
        <v>3</v>
      </c>
      <c r="C14" t="s">
        <v>325</v>
      </c>
      <c r="G14" s="6">
        <f>SUM(G11:G13)</f>
        <v>-2556511</v>
      </c>
      <c r="M14" s="6">
        <f>SUM(M11:M13)</f>
        <v>-1103262.3220500001</v>
      </c>
    </row>
    <row r="29" spans="3:13">
      <c r="C29" t="s">
        <v>5</v>
      </c>
    </row>
    <row r="31" spans="3:13">
      <c r="C31" s="209" t="s">
        <v>466</v>
      </c>
      <c r="D31" s="210"/>
      <c r="E31" s="210"/>
      <c r="F31" s="210"/>
      <c r="G31" s="210"/>
      <c r="H31" s="210"/>
      <c r="I31" s="210"/>
      <c r="J31" s="210"/>
      <c r="K31" s="210"/>
      <c r="L31" s="210"/>
      <c r="M31" s="211"/>
    </row>
    <row r="32" spans="3:13">
      <c r="C32" s="212"/>
      <c r="D32" s="213"/>
      <c r="E32" s="213"/>
      <c r="F32" s="213"/>
      <c r="G32" s="213"/>
      <c r="H32" s="213"/>
      <c r="I32" s="213"/>
      <c r="J32" s="213"/>
      <c r="K32" s="213"/>
      <c r="L32" s="213"/>
      <c r="M32" s="214"/>
    </row>
    <row r="33" spans="3:13">
      <c r="C33" s="212"/>
      <c r="D33" s="213"/>
      <c r="E33" s="213"/>
      <c r="F33" s="213"/>
      <c r="G33" s="213"/>
      <c r="H33" s="213"/>
      <c r="I33" s="213"/>
      <c r="J33" s="213"/>
      <c r="K33" s="213"/>
      <c r="L33" s="213"/>
      <c r="M33" s="214"/>
    </row>
    <row r="34" spans="3:13">
      <c r="C34" s="212"/>
      <c r="D34" s="213"/>
      <c r="E34" s="213"/>
      <c r="F34" s="213"/>
      <c r="G34" s="213"/>
      <c r="H34" s="213"/>
      <c r="I34" s="213"/>
      <c r="J34" s="213"/>
      <c r="K34" s="213"/>
      <c r="L34" s="213"/>
      <c r="M34" s="214"/>
    </row>
    <row r="35" spans="3:13">
      <c r="C35" s="212"/>
      <c r="D35" s="213"/>
      <c r="E35" s="213"/>
      <c r="F35" s="213"/>
      <c r="G35" s="213"/>
      <c r="H35" s="213"/>
      <c r="I35" s="213"/>
      <c r="J35" s="213"/>
      <c r="K35" s="213"/>
      <c r="L35" s="213"/>
      <c r="M35" s="214"/>
    </row>
    <row r="36" spans="3:13">
      <c r="C36" s="215"/>
      <c r="D36" s="216"/>
      <c r="E36" s="216"/>
      <c r="F36" s="216"/>
      <c r="G36" s="216"/>
      <c r="H36" s="216"/>
      <c r="I36" s="216"/>
      <c r="J36" s="216"/>
      <c r="K36" s="216"/>
      <c r="L36" s="216"/>
      <c r="M36" s="217"/>
    </row>
  </sheetData>
  <mergeCells count="1">
    <mergeCell ref="C31:M36"/>
  </mergeCells>
  <pageMargins left="0.7" right="0.7" top="0.75" bottom="0.75" header="0.3" footer="0.3"/>
  <pageSetup scale="88"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K26"/>
  <sheetViews>
    <sheetView tabSelected="1" workbookViewId="0">
      <selection activeCell="H5" sqref="H5"/>
    </sheetView>
  </sheetViews>
  <sheetFormatPr defaultRowHeight="15.75"/>
  <cols>
    <col min="1" max="1" width="4.625" customWidth="1"/>
    <col min="2" max="2" width="1.625" customWidth="1"/>
    <col min="3" max="3" width="38.125" customWidth="1"/>
    <col min="4" max="4" width="3.75" customWidth="1"/>
    <col min="5" max="5" width="15.875" customWidth="1"/>
    <col min="6" max="6" width="1" customWidth="1"/>
    <col min="7" max="7" width="16.375" customWidth="1"/>
    <col min="8" max="8" width="0.875" customWidth="1"/>
    <col min="9" max="9" width="15.125" customWidth="1"/>
    <col min="10" max="10" width="1" customWidth="1"/>
    <col min="11" max="11" width="11.5" customWidth="1"/>
  </cols>
  <sheetData>
    <row r="1" spans="1:11">
      <c r="A1" s="7" t="s">
        <v>15</v>
      </c>
      <c r="H1" s="7" t="s">
        <v>244</v>
      </c>
    </row>
    <row r="2" spans="1:11">
      <c r="A2" s="17" t="s">
        <v>13</v>
      </c>
      <c r="H2" t="s">
        <v>365</v>
      </c>
    </row>
    <row r="3" spans="1:11">
      <c r="A3" s="5" t="s">
        <v>279</v>
      </c>
      <c r="H3" t="s">
        <v>649</v>
      </c>
    </row>
    <row r="4" spans="1:11">
      <c r="A4" t="s">
        <v>357</v>
      </c>
      <c r="H4" t="s">
        <v>666</v>
      </c>
    </row>
    <row r="6" spans="1:11">
      <c r="A6" t="s">
        <v>326</v>
      </c>
    </row>
    <row r="8" spans="1:11">
      <c r="G8" s="56" t="s">
        <v>333</v>
      </c>
      <c r="H8" s="1"/>
      <c r="I8" s="1" t="s">
        <v>277</v>
      </c>
    </row>
    <row r="9" spans="1:11">
      <c r="G9" s="10" t="s">
        <v>334</v>
      </c>
      <c r="H9" s="1"/>
      <c r="I9" s="10" t="s">
        <v>330</v>
      </c>
    </row>
    <row r="10" spans="1:11">
      <c r="A10" s="3" t="s">
        <v>327</v>
      </c>
    </row>
    <row r="12" spans="1:11">
      <c r="C12" t="s">
        <v>328</v>
      </c>
      <c r="G12" s="46">
        <v>5410474</v>
      </c>
      <c r="H12" s="46"/>
      <c r="I12" s="46">
        <v>1000000</v>
      </c>
      <c r="J12" s="46"/>
      <c r="K12" s="46"/>
    </row>
    <row r="13" spans="1:11">
      <c r="C13" t="s">
        <v>329</v>
      </c>
      <c r="G13" s="46">
        <v>847444</v>
      </c>
      <c r="H13" s="46"/>
      <c r="I13" s="46">
        <v>0</v>
      </c>
      <c r="J13" s="46"/>
      <c r="K13" s="46"/>
    </row>
    <row r="14" spans="1:11">
      <c r="C14" t="s">
        <v>463</v>
      </c>
      <c r="G14" s="47">
        <v>411615</v>
      </c>
      <c r="H14" s="46"/>
      <c r="I14" s="47">
        <v>0</v>
      </c>
      <c r="J14" s="46"/>
      <c r="K14" s="46"/>
    </row>
    <row r="15" spans="1:11">
      <c r="G15" s="46"/>
      <c r="H15" s="46"/>
      <c r="I15" s="46"/>
      <c r="J15" s="46"/>
      <c r="K15" s="46"/>
    </row>
    <row r="16" spans="1:11">
      <c r="A16" t="s">
        <v>331</v>
      </c>
      <c r="G16" s="46">
        <f>AVERAGE(G12:G14)</f>
        <v>2223177.6666666665</v>
      </c>
      <c r="H16" s="46"/>
      <c r="I16" s="46">
        <f>AVERAGE(I12:I14)</f>
        <v>333333.33333333331</v>
      </c>
      <c r="J16" s="46"/>
      <c r="K16" s="46"/>
    </row>
    <row r="17" spans="1:11">
      <c r="G17" s="46"/>
      <c r="H17" s="46"/>
      <c r="I17" s="46"/>
      <c r="J17" s="46"/>
      <c r="K17" s="46"/>
    </row>
    <row r="18" spans="1:11">
      <c r="A18" t="s">
        <v>332</v>
      </c>
      <c r="G18" s="46">
        <f>-G16</f>
        <v>-2223177.6666666665</v>
      </c>
      <c r="H18" s="46"/>
      <c r="I18" s="46">
        <f>-I16</f>
        <v>-333333.33333333331</v>
      </c>
      <c r="J18" s="46"/>
      <c r="K18" s="46"/>
    </row>
    <row r="19" spans="1:11">
      <c r="A19" s="4"/>
      <c r="B19" s="4"/>
      <c r="C19" s="4"/>
      <c r="D19" s="4"/>
      <c r="E19" s="4"/>
      <c r="F19" s="4"/>
      <c r="G19" s="50"/>
      <c r="H19" s="50"/>
      <c r="I19" s="50"/>
      <c r="J19" s="46"/>
      <c r="K19" s="46"/>
    </row>
    <row r="20" spans="1:11">
      <c r="A20" s="4"/>
      <c r="B20" s="4"/>
      <c r="C20" s="4"/>
      <c r="D20" s="4"/>
      <c r="E20" s="4"/>
      <c r="F20" s="4"/>
      <c r="G20" s="50"/>
      <c r="H20" s="50"/>
      <c r="I20" s="50"/>
      <c r="J20" s="46"/>
      <c r="K20" s="46"/>
    </row>
    <row r="21" spans="1:11">
      <c r="A21" s="4"/>
      <c r="B21" s="4"/>
      <c r="C21" s="4"/>
      <c r="D21" s="4"/>
      <c r="E21" s="4"/>
      <c r="F21" s="4"/>
      <c r="G21" s="50"/>
      <c r="H21" s="50"/>
      <c r="I21" s="50"/>
      <c r="J21" s="46"/>
      <c r="K21" s="46"/>
    </row>
    <row r="22" spans="1:11">
      <c r="A22" s="4"/>
      <c r="B22" s="4"/>
      <c r="C22" s="4"/>
      <c r="D22" s="4"/>
      <c r="E22" s="4"/>
      <c r="F22" s="4"/>
      <c r="G22" s="4"/>
      <c r="H22" s="4"/>
      <c r="I22" s="4"/>
    </row>
    <row r="24" spans="1:11">
      <c r="A24" s="3" t="s">
        <v>16</v>
      </c>
    </row>
    <row r="25" spans="1:11">
      <c r="A25" t="s">
        <v>464</v>
      </c>
    </row>
    <row r="26" spans="1:11">
      <c r="A26" t="s">
        <v>465</v>
      </c>
    </row>
  </sheetData>
  <pageMargins left="0.7" right="0.7" top="0.75" bottom="0.75" header="0.3" footer="0.3"/>
  <pageSetup scale="77"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O52"/>
  <sheetViews>
    <sheetView workbookViewId="0">
      <selection activeCell="E5" sqref="E5"/>
    </sheetView>
  </sheetViews>
  <sheetFormatPr defaultRowHeight="15.75"/>
  <cols>
    <col min="1" max="1" width="24.375" customWidth="1"/>
    <col min="2" max="2" width="21.25" customWidth="1"/>
    <col min="3" max="3" width="33.625" customWidth="1"/>
    <col min="4" max="4" width="13.75" customWidth="1"/>
    <col min="5" max="5" width="13.875" customWidth="1"/>
    <col min="6" max="6" width="14.25" bestFit="1" customWidth="1"/>
    <col min="7" max="7" width="7.75" customWidth="1"/>
    <col min="8" max="8" width="1.25" customWidth="1"/>
    <col min="9" max="9" width="11.25" customWidth="1"/>
    <col min="10" max="10" width="1.75" customWidth="1"/>
    <col min="11" max="11" width="9.375" customWidth="1"/>
    <col min="12" max="12" width="1.875" customWidth="1"/>
    <col min="13" max="13" width="8.625" customWidth="1"/>
    <col min="14" max="14" width="1.625" customWidth="1"/>
    <col min="15" max="15" width="11.5" customWidth="1"/>
  </cols>
  <sheetData>
    <row r="1" spans="1:15">
      <c r="A1" s="7" t="s">
        <v>15</v>
      </c>
      <c r="E1" s="7" t="s">
        <v>244</v>
      </c>
      <c r="M1" s="18"/>
      <c r="N1" s="18"/>
      <c r="O1" s="18"/>
    </row>
    <row r="2" spans="1:15">
      <c r="A2" s="17" t="s">
        <v>13</v>
      </c>
      <c r="E2" t="s">
        <v>365</v>
      </c>
      <c r="M2" s="18"/>
      <c r="N2" s="18"/>
      <c r="O2" s="18"/>
    </row>
    <row r="3" spans="1:15">
      <c r="A3" s="5" t="s">
        <v>279</v>
      </c>
      <c r="E3" t="s">
        <v>649</v>
      </c>
      <c r="M3" s="18"/>
      <c r="N3" s="18"/>
      <c r="O3" s="18"/>
    </row>
    <row r="4" spans="1:15">
      <c r="A4" t="s">
        <v>357</v>
      </c>
      <c r="E4" t="s">
        <v>667</v>
      </c>
      <c r="K4" s="5"/>
      <c r="M4" s="18"/>
      <c r="N4" s="18"/>
      <c r="O4" s="18"/>
    </row>
    <row r="5" spans="1:15">
      <c r="M5" s="18"/>
      <c r="N5" s="18"/>
      <c r="O5" s="18"/>
    </row>
    <row r="6" spans="1:15">
      <c r="A6" s="89" t="s">
        <v>324</v>
      </c>
      <c r="B6" s="18"/>
      <c r="C6" s="18"/>
      <c r="D6" s="18"/>
      <c r="E6" s="18"/>
      <c r="F6" s="18"/>
      <c r="G6" s="18"/>
      <c r="H6" s="18"/>
      <c r="I6" s="18"/>
      <c r="J6" s="18"/>
      <c r="K6" s="18"/>
      <c r="L6" s="18"/>
      <c r="M6" s="18"/>
      <c r="N6" s="18"/>
      <c r="O6" s="18"/>
    </row>
    <row r="7" spans="1:15">
      <c r="A7" s="18"/>
      <c r="B7" s="18"/>
      <c r="C7" s="18"/>
      <c r="D7" s="18"/>
      <c r="E7" s="18"/>
      <c r="F7" s="18"/>
      <c r="G7" s="18"/>
      <c r="H7" s="18"/>
      <c r="I7" s="18"/>
      <c r="J7" s="18"/>
      <c r="K7" s="18"/>
      <c r="L7" s="18"/>
      <c r="M7" s="18"/>
      <c r="N7" s="18"/>
      <c r="O7" s="18"/>
    </row>
    <row r="8" spans="1:15">
      <c r="G8" s="1"/>
      <c r="H8" s="1"/>
      <c r="I8" s="1"/>
      <c r="J8" s="1"/>
      <c r="K8" s="1"/>
      <c r="L8" s="1"/>
      <c r="M8" s="1"/>
      <c r="N8" s="1"/>
      <c r="O8" s="1"/>
    </row>
    <row r="10" spans="1:15">
      <c r="A10" s="71"/>
      <c r="B10" s="72"/>
      <c r="C10" s="72"/>
      <c r="D10" s="73"/>
      <c r="E10" s="77" t="s">
        <v>280</v>
      </c>
      <c r="F10" s="78" t="s">
        <v>281</v>
      </c>
    </row>
    <row r="11" spans="1:15">
      <c r="A11" s="74" t="s">
        <v>282</v>
      </c>
      <c r="B11" s="75" t="s">
        <v>283</v>
      </c>
      <c r="C11" s="75" t="s">
        <v>284</v>
      </c>
      <c r="D11" s="76" t="s">
        <v>4</v>
      </c>
      <c r="E11" s="79" t="s">
        <v>285</v>
      </c>
      <c r="F11" s="80" t="s">
        <v>285</v>
      </c>
    </row>
    <row r="12" spans="1:15">
      <c r="A12" s="82"/>
      <c r="B12" s="83"/>
      <c r="C12" s="83"/>
      <c r="D12" s="84"/>
      <c r="E12" s="85"/>
      <c r="F12" s="85"/>
    </row>
    <row r="13" spans="1:15">
      <c r="A13" s="3" t="s">
        <v>318</v>
      </c>
    </row>
    <row r="14" spans="1:15">
      <c r="A14" s="4" t="s">
        <v>286</v>
      </c>
      <c r="B14" s="81" t="s">
        <v>287</v>
      </c>
      <c r="C14" s="20" t="s">
        <v>288</v>
      </c>
      <c r="D14" s="86">
        <v>138.56</v>
      </c>
      <c r="E14" s="86"/>
      <c r="F14" s="86"/>
      <c r="G14" s="4"/>
    </row>
    <row r="15" spans="1:15">
      <c r="A15" s="4" t="s">
        <v>286</v>
      </c>
      <c r="B15" s="81" t="s">
        <v>289</v>
      </c>
      <c r="C15" s="20" t="s">
        <v>290</v>
      </c>
      <c r="D15" s="86">
        <v>157311.76</v>
      </c>
      <c r="E15" s="86"/>
      <c r="F15" s="86"/>
      <c r="G15" s="4"/>
    </row>
    <row r="16" spans="1:15">
      <c r="A16" s="4" t="s">
        <v>286</v>
      </c>
      <c r="B16" s="81" t="s">
        <v>291</v>
      </c>
      <c r="C16" s="20" t="s">
        <v>292</v>
      </c>
      <c r="D16" s="86">
        <v>26032.71</v>
      </c>
      <c r="E16" s="86"/>
      <c r="F16" s="86"/>
      <c r="G16" s="4"/>
    </row>
    <row r="17" spans="1:7">
      <c r="A17" s="4" t="s">
        <v>286</v>
      </c>
      <c r="B17" s="8" t="s">
        <v>293</v>
      </c>
      <c r="C17" s="4" t="s">
        <v>294</v>
      </c>
      <c r="D17" s="86">
        <v>307206.03000000003</v>
      </c>
      <c r="E17" s="86"/>
      <c r="F17" s="86"/>
      <c r="G17" s="4"/>
    </row>
    <row r="18" spans="1:7">
      <c r="A18" s="4" t="s">
        <v>286</v>
      </c>
      <c r="B18" s="8" t="s">
        <v>295</v>
      </c>
      <c r="C18" s="4" t="s">
        <v>296</v>
      </c>
      <c r="D18" s="86">
        <v>64552.800000000003</v>
      </c>
      <c r="E18" s="86"/>
      <c r="F18" s="86"/>
      <c r="G18" s="4"/>
    </row>
    <row r="19" spans="1:7">
      <c r="A19" s="4" t="s">
        <v>286</v>
      </c>
      <c r="B19" s="8" t="s">
        <v>297</v>
      </c>
      <c r="C19" s="4" t="s">
        <v>298</v>
      </c>
      <c r="D19" s="86">
        <v>6335.23</v>
      </c>
      <c r="E19" s="86"/>
      <c r="F19" s="86"/>
      <c r="G19" s="4"/>
    </row>
    <row r="20" spans="1:7">
      <c r="A20" s="4" t="s">
        <v>286</v>
      </c>
      <c r="B20" s="8" t="s">
        <v>299</v>
      </c>
      <c r="C20" s="4" t="s">
        <v>300</v>
      </c>
      <c r="D20" s="86">
        <v>76253.929999999993</v>
      </c>
      <c r="E20" s="86"/>
      <c r="F20" s="86"/>
      <c r="G20" s="4"/>
    </row>
    <row r="21" spans="1:7">
      <c r="A21" s="4" t="s">
        <v>286</v>
      </c>
      <c r="B21" s="8" t="s">
        <v>301</v>
      </c>
      <c r="C21" s="4" t="s">
        <v>302</v>
      </c>
      <c r="D21" s="86">
        <v>8085.45</v>
      </c>
      <c r="E21" s="86"/>
      <c r="F21" s="86"/>
      <c r="G21" s="4"/>
    </row>
    <row r="22" spans="1:7">
      <c r="A22" s="4" t="s">
        <v>286</v>
      </c>
      <c r="B22" s="8" t="s">
        <v>303</v>
      </c>
      <c r="C22" s="4" t="s">
        <v>304</v>
      </c>
      <c r="D22" s="86">
        <v>55316.63</v>
      </c>
      <c r="E22" s="86"/>
      <c r="F22" s="86"/>
      <c r="G22" s="4"/>
    </row>
    <row r="23" spans="1:7">
      <c r="A23" s="4" t="s">
        <v>286</v>
      </c>
      <c r="B23" s="8" t="s">
        <v>305</v>
      </c>
      <c r="C23" s="4" t="s">
        <v>306</v>
      </c>
      <c r="D23" s="86">
        <v>859119.69</v>
      </c>
      <c r="E23" s="86"/>
      <c r="F23" s="86"/>
      <c r="G23" s="4"/>
    </row>
    <row r="24" spans="1:7">
      <c r="A24" s="4" t="s">
        <v>286</v>
      </c>
      <c r="B24" s="8" t="s">
        <v>307</v>
      </c>
      <c r="C24" s="4" t="s">
        <v>308</v>
      </c>
      <c r="D24" s="86">
        <v>5278.24</v>
      </c>
      <c r="E24" s="86"/>
      <c r="F24" s="86"/>
      <c r="G24" s="4"/>
    </row>
    <row r="25" spans="1:7">
      <c r="A25" s="4" t="s">
        <v>286</v>
      </c>
      <c r="B25" s="8" t="s">
        <v>309</v>
      </c>
      <c r="C25" s="4" t="s">
        <v>310</v>
      </c>
      <c r="D25" s="86">
        <v>15255</v>
      </c>
      <c r="E25" s="86"/>
      <c r="F25" s="86"/>
      <c r="G25" s="4"/>
    </row>
    <row r="26" spans="1:7">
      <c r="A26" s="4" t="s">
        <v>286</v>
      </c>
      <c r="B26" s="8" t="s">
        <v>311</v>
      </c>
      <c r="C26" s="4" t="s">
        <v>312</v>
      </c>
      <c r="D26" s="86">
        <v>4571.5200000000004</v>
      </c>
      <c r="E26" s="86"/>
      <c r="F26" s="86"/>
      <c r="G26" s="4"/>
    </row>
    <row r="27" spans="1:7">
      <c r="A27" s="4" t="s">
        <v>286</v>
      </c>
      <c r="B27" s="8" t="s">
        <v>313</v>
      </c>
      <c r="C27" s="4" t="s">
        <v>314</v>
      </c>
      <c r="D27" s="86">
        <v>4816032.41</v>
      </c>
      <c r="E27" s="86"/>
      <c r="F27" s="86"/>
      <c r="G27" s="4"/>
    </row>
    <row r="28" spans="1:7">
      <c r="A28" s="4" t="s">
        <v>286</v>
      </c>
      <c r="B28" s="8" t="s">
        <v>315</v>
      </c>
      <c r="C28" s="4" t="s">
        <v>316</v>
      </c>
      <c r="D28" s="87">
        <v>8984.1</v>
      </c>
      <c r="E28" s="86"/>
      <c r="F28" s="86"/>
      <c r="G28" s="4"/>
    </row>
    <row r="29" spans="1:7">
      <c r="A29" s="82" t="s">
        <v>317</v>
      </c>
      <c r="B29" s="4"/>
      <c r="C29" s="4"/>
      <c r="D29" s="86">
        <f>SUBTOTAL(9,D14:D28)</f>
        <v>6410474.0599999996</v>
      </c>
      <c r="E29" s="86">
        <v>6410474.0599999996</v>
      </c>
      <c r="F29" s="86">
        <v>5410474.0599999996</v>
      </c>
      <c r="G29" s="4"/>
    </row>
    <row r="30" spans="1:7">
      <c r="A30" s="4"/>
      <c r="B30" s="4"/>
      <c r="C30" s="4"/>
      <c r="D30" s="4"/>
      <c r="E30" s="4"/>
      <c r="F30" s="4"/>
      <c r="G30" s="4"/>
    </row>
    <row r="31" spans="1:7">
      <c r="A31" s="39" t="s">
        <v>319</v>
      </c>
      <c r="B31" s="4"/>
      <c r="C31" s="4"/>
      <c r="D31" s="4"/>
      <c r="E31" s="4"/>
      <c r="F31" s="4"/>
      <c r="G31" s="4"/>
    </row>
    <row r="32" spans="1:7">
      <c r="A32" s="4" t="s">
        <v>286</v>
      </c>
      <c r="B32" s="81" t="s">
        <v>320</v>
      </c>
      <c r="C32" s="20" t="s">
        <v>304</v>
      </c>
      <c r="D32" s="86">
        <v>-2268</v>
      </c>
      <c r="E32" s="86"/>
      <c r="F32" s="86"/>
      <c r="G32" s="4"/>
    </row>
    <row r="33" spans="1:7">
      <c r="A33" s="4" t="s">
        <v>286</v>
      </c>
      <c r="B33" s="81" t="s">
        <v>287</v>
      </c>
      <c r="C33" s="20" t="s">
        <v>288</v>
      </c>
      <c r="D33" s="86">
        <v>207.84</v>
      </c>
      <c r="E33" s="86"/>
      <c r="F33" s="86"/>
      <c r="G33" s="4"/>
    </row>
    <row r="34" spans="1:7">
      <c r="A34" s="4" t="s">
        <v>286</v>
      </c>
      <c r="B34" s="81" t="s">
        <v>289</v>
      </c>
      <c r="C34" s="20" t="s">
        <v>290</v>
      </c>
      <c r="D34" s="86">
        <v>328680.25</v>
      </c>
      <c r="E34" s="86"/>
      <c r="F34" s="86"/>
      <c r="G34" s="4"/>
    </row>
    <row r="35" spans="1:7">
      <c r="A35" s="4" t="s">
        <v>286</v>
      </c>
      <c r="B35" s="81" t="s">
        <v>291</v>
      </c>
      <c r="C35" s="20" t="s">
        <v>292</v>
      </c>
      <c r="D35" s="86">
        <v>1309.56</v>
      </c>
      <c r="E35" s="86"/>
      <c r="F35" s="86"/>
      <c r="G35" s="4"/>
    </row>
    <row r="36" spans="1:7">
      <c r="A36" s="4" t="s">
        <v>286</v>
      </c>
      <c r="B36" s="81" t="s">
        <v>293</v>
      </c>
      <c r="C36" s="20" t="s">
        <v>294</v>
      </c>
      <c r="D36" s="86">
        <v>7890.3</v>
      </c>
      <c r="E36" s="86"/>
      <c r="F36" s="86"/>
      <c r="G36" s="4"/>
    </row>
    <row r="37" spans="1:7">
      <c r="A37" s="4" t="s">
        <v>286</v>
      </c>
      <c r="B37" s="81" t="s">
        <v>321</v>
      </c>
      <c r="C37" s="20" t="s">
        <v>322</v>
      </c>
      <c r="D37" s="86">
        <v>31459.759999999998</v>
      </c>
      <c r="E37" s="86"/>
      <c r="F37" s="86"/>
      <c r="G37" s="4"/>
    </row>
    <row r="38" spans="1:7">
      <c r="A38" s="4" t="s">
        <v>286</v>
      </c>
      <c r="B38" s="81" t="s">
        <v>299</v>
      </c>
      <c r="C38" s="20" t="s">
        <v>300</v>
      </c>
      <c r="D38" s="86">
        <v>-72783.039999999994</v>
      </c>
      <c r="E38" s="86"/>
      <c r="F38" s="86"/>
      <c r="G38" s="4"/>
    </row>
    <row r="39" spans="1:7">
      <c r="A39" s="4" t="s">
        <v>286</v>
      </c>
      <c r="B39" s="81" t="s">
        <v>305</v>
      </c>
      <c r="C39" s="20" t="s">
        <v>306</v>
      </c>
      <c r="D39" s="86">
        <v>180027.9</v>
      </c>
      <c r="E39" s="86"/>
      <c r="F39" s="86"/>
      <c r="G39" s="4"/>
    </row>
    <row r="40" spans="1:7">
      <c r="A40" s="4" t="s">
        <v>286</v>
      </c>
      <c r="B40" s="81" t="s">
        <v>311</v>
      </c>
      <c r="C40" s="20" t="s">
        <v>312</v>
      </c>
      <c r="D40" s="86">
        <v>-4571.5200000000004</v>
      </c>
      <c r="E40" s="86"/>
      <c r="F40" s="86"/>
      <c r="G40" s="4"/>
    </row>
    <row r="41" spans="1:7">
      <c r="A41" s="4" t="s">
        <v>286</v>
      </c>
      <c r="B41" s="81" t="s">
        <v>313</v>
      </c>
      <c r="C41" s="20" t="s">
        <v>314</v>
      </c>
      <c r="D41" s="87">
        <v>377492.09</v>
      </c>
      <c r="E41" s="86"/>
      <c r="F41" s="86"/>
      <c r="G41" s="4"/>
    </row>
    <row r="42" spans="1:7">
      <c r="A42" s="82" t="s">
        <v>317</v>
      </c>
      <c r="B42" s="81"/>
      <c r="C42" s="20"/>
      <c r="D42" s="86">
        <f>SUBTOTAL(9,D32:D41)</f>
        <v>847445.14000000013</v>
      </c>
      <c r="E42" s="86">
        <v>847445.14000000013</v>
      </c>
      <c r="F42" s="86">
        <v>847445.14000000013</v>
      </c>
      <c r="G42" s="4"/>
    </row>
    <row r="43" spans="1:7">
      <c r="A43" s="4"/>
      <c r="B43" s="4"/>
      <c r="C43" s="4"/>
      <c r="D43" s="4"/>
      <c r="E43" s="86"/>
      <c r="F43" s="86"/>
      <c r="G43" s="4"/>
    </row>
    <row r="44" spans="1:7">
      <c r="A44" s="20" t="s">
        <v>462</v>
      </c>
      <c r="D44" s="87">
        <v>411615</v>
      </c>
      <c r="E44" s="87">
        <v>411615</v>
      </c>
      <c r="F44" s="87">
        <v>411615</v>
      </c>
      <c r="G44" s="4"/>
    </row>
    <row r="45" spans="1:7">
      <c r="G45" s="4"/>
    </row>
    <row r="47" spans="1:7">
      <c r="A47" s="20" t="s">
        <v>323</v>
      </c>
      <c r="B47" s="4"/>
      <c r="C47" s="4"/>
      <c r="D47" s="88">
        <f>D29+D42+D44</f>
        <v>7669534.1999999993</v>
      </c>
      <c r="E47" s="88">
        <f t="shared" ref="E47:F47" si="0">E29+E42+E44</f>
        <v>7669534.1999999993</v>
      </c>
      <c r="F47" s="88">
        <f t="shared" si="0"/>
        <v>6669534.1999999993</v>
      </c>
    </row>
    <row r="48" spans="1:7">
      <c r="A48" s="4"/>
      <c r="B48" s="4"/>
      <c r="C48" s="4"/>
      <c r="D48" s="4"/>
      <c r="E48" s="4"/>
      <c r="F48" s="4"/>
    </row>
    <row r="50" spans="1:1">
      <c r="A50" s="3" t="s">
        <v>16</v>
      </c>
    </row>
    <row r="51" spans="1:1">
      <c r="A51" t="s">
        <v>460</v>
      </c>
    </row>
    <row r="52" spans="1:1">
      <c r="A52" t="s">
        <v>461</v>
      </c>
    </row>
  </sheetData>
  <pageMargins left="0.7" right="0.7" top="0.75" bottom="0.75" header="0.3" footer="0.3"/>
  <pageSetup scale="7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M31"/>
  <sheetViews>
    <sheetView workbookViewId="0">
      <selection activeCell="C18" sqref="C18"/>
    </sheetView>
  </sheetViews>
  <sheetFormatPr defaultRowHeight="15.7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3">
      <c r="A1" s="7" t="s">
        <v>15</v>
      </c>
      <c r="B1" s="7"/>
      <c r="C1" s="7"/>
      <c r="D1" s="7"/>
      <c r="E1" s="7"/>
      <c r="F1" s="7"/>
      <c r="G1" s="7"/>
      <c r="H1" s="7"/>
      <c r="I1" s="7" t="s">
        <v>244</v>
      </c>
      <c r="J1" s="7"/>
      <c r="K1" s="7"/>
      <c r="L1" s="7"/>
      <c r="M1" s="7"/>
    </row>
    <row r="2" spans="1:13">
      <c r="A2" s="17" t="s">
        <v>13</v>
      </c>
      <c r="B2" s="7"/>
      <c r="C2" s="7"/>
      <c r="D2" s="7"/>
      <c r="E2" s="7"/>
      <c r="F2" s="7"/>
      <c r="G2" s="7"/>
      <c r="H2" s="7"/>
      <c r="I2" t="s">
        <v>365</v>
      </c>
      <c r="J2" s="7"/>
      <c r="K2" s="7"/>
      <c r="L2" s="7"/>
      <c r="M2" s="7"/>
    </row>
    <row r="3" spans="1:13">
      <c r="A3" s="5" t="s">
        <v>407</v>
      </c>
      <c r="B3" s="7"/>
      <c r="C3" s="7"/>
      <c r="D3" s="7"/>
      <c r="E3" s="7"/>
      <c r="F3" s="7"/>
      <c r="G3" s="7"/>
      <c r="H3" s="7"/>
      <c r="I3" t="s">
        <v>625</v>
      </c>
      <c r="J3" s="7"/>
      <c r="K3" s="7"/>
      <c r="L3" s="7"/>
      <c r="M3" s="7"/>
    </row>
    <row r="4" spans="1:13">
      <c r="A4" t="s">
        <v>357</v>
      </c>
      <c r="B4" s="7"/>
      <c r="C4" s="7"/>
      <c r="D4" s="7"/>
      <c r="E4" s="7"/>
      <c r="F4" s="7"/>
      <c r="G4" s="7"/>
      <c r="H4" s="7"/>
      <c r="I4" t="s">
        <v>649</v>
      </c>
      <c r="J4" s="7"/>
      <c r="K4" s="9"/>
      <c r="L4" s="7"/>
      <c r="M4" s="7"/>
    </row>
    <row r="5" spans="1:13">
      <c r="B5" s="7"/>
      <c r="C5" s="7"/>
      <c r="D5" s="7"/>
      <c r="E5" s="7"/>
      <c r="F5" s="7"/>
      <c r="G5" s="7"/>
      <c r="H5" s="7"/>
      <c r="I5" s="7"/>
      <c r="J5" s="7"/>
      <c r="K5" s="7"/>
      <c r="L5" s="7"/>
      <c r="M5" s="7"/>
    </row>
    <row r="6" spans="1:13">
      <c r="A6" s="7"/>
      <c r="B6" s="7"/>
      <c r="C6" s="7"/>
      <c r="D6" s="16"/>
      <c r="E6" s="7"/>
      <c r="F6" s="7"/>
      <c r="G6" s="7"/>
      <c r="H6" s="7"/>
      <c r="I6" s="7"/>
      <c r="J6" s="7"/>
      <c r="K6" s="7"/>
      <c r="L6" s="7"/>
      <c r="M6" s="23"/>
    </row>
    <row r="7" spans="1:13">
      <c r="A7" s="7"/>
      <c r="B7" s="7"/>
      <c r="C7" s="7"/>
      <c r="D7" s="7"/>
      <c r="E7" s="7"/>
      <c r="F7" s="7"/>
      <c r="G7" s="37"/>
      <c r="H7" s="37"/>
      <c r="I7" s="37"/>
      <c r="J7" s="37"/>
      <c r="K7" s="37"/>
      <c r="L7" s="38"/>
      <c r="M7" s="23"/>
    </row>
    <row r="8" spans="1:13">
      <c r="A8" s="7"/>
      <c r="B8" s="7"/>
      <c r="C8" s="7"/>
      <c r="D8" s="7"/>
      <c r="E8" s="7"/>
      <c r="F8" s="7"/>
      <c r="G8" s="38"/>
      <c r="H8" s="38"/>
      <c r="I8" s="38"/>
      <c r="J8" s="38"/>
      <c r="K8" s="38"/>
      <c r="L8" s="38"/>
      <c r="M8" s="23"/>
    </row>
    <row r="9" spans="1:13">
      <c r="A9" t="s">
        <v>0</v>
      </c>
      <c r="E9" s="1"/>
      <c r="F9" s="1"/>
      <c r="G9" s="1" t="s">
        <v>4</v>
      </c>
      <c r="H9" s="1"/>
      <c r="I9" s="1"/>
      <c r="J9" s="1"/>
      <c r="K9" s="1"/>
      <c r="L9" s="1"/>
      <c r="M9" s="1" t="s">
        <v>9</v>
      </c>
    </row>
    <row r="10" spans="1:13">
      <c r="A10" s="2" t="s">
        <v>3</v>
      </c>
      <c r="C10" s="2" t="s">
        <v>1</v>
      </c>
      <c r="E10" s="10" t="s">
        <v>70</v>
      </c>
      <c r="F10" s="1"/>
      <c r="G10" s="10" t="s">
        <v>6</v>
      </c>
      <c r="H10" s="1"/>
      <c r="I10" s="10" t="s">
        <v>7</v>
      </c>
      <c r="J10" s="1"/>
      <c r="K10" s="11" t="s">
        <v>10</v>
      </c>
      <c r="L10" s="1"/>
      <c r="M10" s="10" t="s">
        <v>8</v>
      </c>
    </row>
    <row r="12" spans="1:13">
      <c r="C12" s="3" t="s">
        <v>12</v>
      </c>
    </row>
    <row r="13" spans="1:13">
      <c r="A13" s="23">
        <v>1</v>
      </c>
      <c r="B13" s="23"/>
      <c r="C13" s="23" t="s">
        <v>240</v>
      </c>
      <c r="D13" s="23"/>
      <c r="E13" s="43">
        <v>510</v>
      </c>
      <c r="F13" s="23"/>
      <c r="G13" s="44">
        <f>'3.10.1'!H14</f>
        <v>-639717</v>
      </c>
      <c r="H13" s="41"/>
      <c r="I13" s="42" t="s">
        <v>14</v>
      </c>
      <c r="J13" s="42"/>
      <c r="K13" s="51">
        <v>0.43154999999999999</v>
      </c>
      <c r="L13" s="41"/>
      <c r="M13" s="45">
        <f>G13*K13</f>
        <v>-276069.87134999997</v>
      </c>
    </row>
    <row r="14" spans="1:13">
      <c r="A14" s="23">
        <v>2</v>
      </c>
      <c r="B14" s="23"/>
      <c r="C14" t="s">
        <v>406</v>
      </c>
      <c r="D14" s="23"/>
      <c r="E14" s="43">
        <v>510</v>
      </c>
      <c r="F14" s="23"/>
      <c r="G14" s="44">
        <f>'3.10.1'!H20</f>
        <v>-132303</v>
      </c>
      <c r="H14" s="41"/>
      <c r="I14" s="42" t="s">
        <v>14</v>
      </c>
      <c r="J14" s="42"/>
      <c r="K14" s="51">
        <v>0.43154999999999999</v>
      </c>
      <c r="L14" s="41"/>
      <c r="M14" s="45">
        <f t="shared" ref="M14:M15" si="0">G14*K14</f>
        <v>-57095.359649999999</v>
      </c>
    </row>
    <row r="15" spans="1:13">
      <c r="A15">
        <v>3</v>
      </c>
      <c r="C15" t="s">
        <v>241</v>
      </c>
      <c r="E15" s="43">
        <v>553</v>
      </c>
      <c r="G15" s="52">
        <f>'3.10.1'!H28</f>
        <v>-157766</v>
      </c>
      <c r="H15" s="41"/>
      <c r="I15" s="42" t="s">
        <v>14</v>
      </c>
      <c r="J15" s="42"/>
      <c r="K15" s="51">
        <v>0.43154999999999999</v>
      </c>
      <c r="L15" s="41"/>
      <c r="M15" s="52">
        <f t="shared" si="0"/>
        <v>-68083.917300000001</v>
      </c>
    </row>
    <row r="17" spans="1:13">
      <c r="A17">
        <v>4</v>
      </c>
      <c r="C17" t="s">
        <v>654</v>
      </c>
      <c r="G17" s="40">
        <f>SUM(G13:G16)</f>
        <v>-929786</v>
      </c>
      <c r="M17" s="40">
        <f>SUM(M13:M16)</f>
        <v>-401249.1483</v>
      </c>
    </row>
    <row r="27" spans="1:13">
      <c r="C27" t="s">
        <v>5</v>
      </c>
    </row>
    <row r="29" spans="1:13">
      <c r="C29" s="209" t="s">
        <v>653</v>
      </c>
      <c r="D29" s="210"/>
      <c r="E29" s="210"/>
      <c r="F29" s="210"/>
      <c r="G29" s="210"/>
      <c r="H29" s="210"/>
      <c r="I29" s="210"/>
      <c r="J29" s="210"/>
      <c r="K29" s="210"/>
      <c r="L29" s="210"/>
      <c r="M29" s="211"/>
    </row>
    <row r="30" spans="1:13">
      <c r="C30" s="212"/>
      <c r="D30" s="213"/>
      <c r="E30" s="213"/>
      <c r="F30" s="213"/>
      <c r="G30" s="213"/>
      <c r="H30" s="213"/>
      <c r="I30" s="213"/>
      <c r="J30" s="213"/>
      <c r="K30" s="213"/>
      <c r="L30" s="213"/>
      <c r="M30" s="214"/>
    </row>
    <row r="31" spans="1:13">
      <c r="C31" s="215"/>
      <c r="D31" s="216"/>
      <c r="E31" s="216"/>
      <c r="F31" s="216"/>
      <c r="G31" s="216"/>
      <c r="H31" s="216"/>
      <c r="I31" s="216"/>
      <c r="J31" s="216"/>
      <c r="K31" s="216"/>
      <c r="L31" s="216"/>
      <c r="M31" s="217"/>
    </row>
  </sheetData>
  <mergeCells count="1">
    <mergeCell ref="C29:M31"/>
  </mergeCells>
  <phoneticPr fontId="8" type="noConversion"/>
  <pageMargins left="0.75" right="0.75" top="1" bottom="1" header="0.5" footer="0.5"/>
  <pageSetup scale="91"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L33"/>
  <sheetViews>
    <sheetView workbookViewId="0">
      <selection activeCell="G5" sqref="G5"/>
    </sheetView>
  </sheetViews>
  <sheetFormatPr defaultRowHeight="15.75"/>
  <cols>
    <col min="1" max="1" width="4" customWidth="1"/>
    <col min="2" max="2" width="1.75" customWidth="1"/>
    <col min="3" max="3" width="28.25" customWidth="1"/>
    <col min="8" max="8" width="11.125" bestFit="1" customWidth="1"/>
  </cols>
  <sheetData>
    <row r="1" spans="1:12">
      <c r="A1" s="7" t="s">
        <v>15</v>
      </c>
      <c r="B1" s="7"/>
      <c r="C1" s="7"/>
      <c r="D1" s="7"/>
      <c r="E1" s="7"/>
      <c r="F1" s="7"/>
      <c r="G1" s="7" t="s">
        <v>244</v>
      </c>
      <c r="H1" s="7"/>
      <c r="J1" s="7"/>
      <c r="K1" s="7"/>
      <c r="L1" s="7"/>
    </row>
    <row r="2" spans="1:12">
      <c r="A2" s="17" t="s">
        <v>13</v>
      </c>
      <c r="B2" s="7"/>
      <c r="C2" s="7"/>
      <c r="D2" s="7"/>
      <c r="E2" s="7"/>
      <c r="F2" s="7"/>
      <c r="G2" t="s">
        <v>365</v>
      </c>
      <c r="H2" s="7"/>
      <c r="J2" s="7"/>
      <c r="K2" s="7"/>
      <c r="L2" s="7"/>
    </row>
    <row r="3" spans="1:12">
      <c r="A3" s="9" t="s">
        <v>239</v>
      </c>
      <c r="B3" s="7"/>
      <c r="C3" s="7"/>
      <c r="D3" s="7"/>
      <c r="E3" s="7"/>
      <c r="F3" s="7"/>
      <c r="G3" t="s">
        <v>649</v>
      </c>
      <c r="H3" s="7"/>
      <c r="J3" s="7"/>
      <c r="K3" s="7"/>
      <c r="L3" s="7"/>
    </row>
    <row r="4" spans="1:12">
      <c r="A4" t="s">
        <v>357</v>
      </c>
      <c r="B4" s="7"/>
      <c r="C4" s="7"/>
      <c r="D4" s="7"/>
      <c r="E4" s="7"/>
      <c r="F4" s="7"/>
      <c r="G4" t="s">
        <v>668</v>
      </c>
      <c r="H4" s="7"/>
      <c r="J4" s="7"/>
      <c r="K4" s="9"/>
      <c r="L4" s="7"/>
    </row>
    <row r="5" spans="1:12">
      <c r="B5" s="7"/>
      <c r="C5" s="7"/>
      <c r="D5" s="7"/>
      <c r="E5" s="7"/>
      <c r="F5" s="7"/>
      <c r="G5" s="7"/>
      <c r="H5" s="7"/>
      <c r="I5" s="7"/>
      <c r="J5" s="7"/>
      <c r="K5" s="7"/>
      <c r="L5" s="7"/>
    </row>
    <row r="9" spans="1:12">
      <c r="H9" s="10" t="s">
        <v>2</v>
      </c>
    </row>
    <row r="10" spans="1:12">
      <c r="A10" s="3" t="s">
        <v>395</v>
      </c>
      <c r="H10" s="46"/>
      <c r="I10" s="46"/>
      <c r="J10" s="46"/>
      <c r="K10" s="46"/>
    </row>
    <row r="11" spans="1:12">
      <c r="A11" t="s">
        <v>393</v>
      </c>
      <c r="H11" s="46">
        <v>23246317</v>
      </c>
      <c r="I11" s="46"/>
      <c r="J11" s="46"/>
      <c r="K11" s="46"/>
    </row>
    <row r="12" spans="1:12">
      <c r="A12" t="s">
        <v>399</v>
      </c>
      <c r="H12" s="47">
        <v>23886034</v>
      </c>
      <c r="I12" s="46"/>
      <c r="J12" s="46"/>
      <c r="K12" s="46"/>
    </row>
    <row r="13" spans="1:12">
      <c r="H13" s="46"/>
      <c r="I13" s="46"/>
      <c r="J13" s="46"/>
      <c r="K13" s="46"/>
    </row>
    <row r="14" spans="1:12" ht="16.5" thickBot="1">
      <c r="A14" t="s">
        <v>394</v>
      </c>
      <c r="H14" s="48">
        <f>H11-H12</f>
        <v>-639717</v>
      </c>
      <c r="I14" s="46"/>
      <c r="J14" s="46"/>
      <c r="K14" s="46"/>
    </row>
    <row r="15" spans="1:12" ht="16.5" thickTop="1">
      <c r="H15" s="46"/>
      <c r="I15" s="46"/>
      <c r="J15" s="46"/>
      <c r="K15" s="46"/>
    </row>
    <row r="16" spans="1:12">
      <c r="A16" s="3" t="s">
        <v>396</v>
      </c>
      <c r="H16" s="46"/>
      <c r="I16" s="46"/>
      <c r="J16" s="46"/>
      <c r="K16" s="46"/>
    </row>
    <row r="17" spans="1:11">
      <c r="A17" t="s">
        <v>397</v>
      </c>
      <c r="H17" s="46">
        <v>1750500</v>
      </c>
      <c r="I17" s="46"/>
      <c r="J17" s="46"/>
      <c r="K17" s="46"/>
    </row>
    <row r="18" spans="1:11">
      <c r="A18" t="s">
        <v>398</v>
      </c>
      <c r="H18" s="47">
        <v>1882803</v>
      </c>
      <c r="I18" s="46"/>
      <c r="J18" s="46"/>
      <c r="K18" s="46"/>
    </row>
    <row r="19" spans="1:11">
      <c r="H19" s="46"/>
      <c r="I19" s="46"/>
      <c r="J19" s="46"/>
      <c r="K19" s="46"/>
    </row>
    <row r="20" spans="1:11" ht="16.5" thickBot="1">
      <c r="A20" t="s">
        <v>400</v>
      </c>
      <c r="H20" s="48">
        <f>H17-H18</f>
        <v>-132303</v>
      </c>
      <c r="I20" s="46"/>
      <c r="J20" s="46"/>
      <c r="K20" s="46"/>
    </row>
    <row r="21" spans="1:11" ht="16.5" thickTop="1">
      <c r="H21" s="50"/>
      <c r="I21" s="46"/>
      <c r="J21" s="46"/>
      <c r="K21" s="46"/>
    </row>
    <row r="22" spans="1:11">
      <c r="H22" s="46"/>
      <c r="I22" s="46"/>
      <c r="J22" s="46"/>
      <c r="K22" s="46"/>
    </row>
    <row r="23" spans="1:11">
      <c r="A23" t="s">
        <v>404</v>
      </c>
      <c r="H23" s="46">
        <v>3843841</v>
      </c>
      <c r="I23" s="46"/>
      <c r="J23" s="46"/>
      <c r="K23" s="46"/>
    </row>
    <row r="24" spans="1:11">
      <c r="A24" t="s">
        <v>405</v>
      </c>
      <c r="H24" s="47">
        <v>2197010</v>
      </c>
      <c r="I24" s="46"/>
      <c r="J24" s="46"/>
      <c r="K24" s="46"/>
    </row>
    <row r="25" spans="1:11">
      <c r="A25" t="s">
        <v>401</v>
      </c>
      <c r="H25" s="46">
        <f>SUM(H23:H24)</f>
        <v>6040851</v>
      </c>
      <c r="I25" s="46"/>
      <c r="J25" s="46"/>
      <c r="K25" s="46"/>
    </row>
    <row r="26" spans="1:11">
      <c r="A26" t="s">
        <v>402</v>
      </c>
      <c r="H26" s="47">
        <v>6198617</v>
      </c>
      <c r="I26" s="46"/>
      <c r="J26" s="46"/>
      <c r="K26" s="46"/>
    </row>
    <row r="27" spans="1:11">
      <c r="H27" s="46"/>
      <c r="I27" s="46"/>
      <c r="J27" s="46"/>
      <c r="K27" s="46"/>
    </row>
    <row r="28" spans="1:11" ht="16.5" thickBot="1">
      <c r="A28" t="s">
        <v>403</v>
      </c>
      <c r="H28" s="48">
        <f>H25-H26</f>
        <v>-157766</v>
      </c>
      <c r="I28" s="46"/>
      <c r="J28" s="46"/>
      <c r="K28" s="46"/>
    </row>
    <row r="29" spans="1:11" ht="16.5" thickTop="1">
      <c r="H29" s="46"/>
      <c r="I29" s="46"/>
      <c r="J29" s="46"/>
      <c r="K29" s="46"/>
    </row>
    <row r="30" spans="1:11">
      <c r="H30" s="46"/>
      <c r="I30" s="46"/>
      <c r="J30" s="46"/>
      <c r="K30" s="46"/>
    </row>
    <row r="31" spans="1:11">
      <c r="A31" t="s">
        <v>16</v>
      </c>
      <c r="H31" s="46"/>
      <c r="I31" s="46"/>
      <c r="J31" s="46"/>
      <c r="K31" s="46"/>
    </row>
    <row r="32" spans="1:11">
      <c r="A32" t="s">
        <v>655</v>
      </c>
      <c r="H32" s="46"/>
      <c r="I32" s="46"/>
      <c r="J32" s="46"/>
      <c r="K32" s="46"/>
    </row>
    <row r="33" spans="8:11">
      <c r="H33" s="46"/>
      <c r="I33" s="46"/>
      <c r="J33" s="46"/>
      <c r="K33" s="46"/>
    </row>
  </sheetData>
  <pageMargins left="0.7" right="0.7" top="0.75" bottom="0.75" header="0.3" footer="0.3"/>
  <pageSetup scale="94"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N34"/>
  <sheetViews>
    <sheetView workbookViewId="0">
      <selection activeCell="I4" sqref="I4"/>
    </sheetView>
  </sheetViews>
  <sheetFormatPr defaultRowHeight="15.75"/>
  <cols>
    <col min="1" max="1" width="4.625" customWidth="1"/>
    <col min="2" max="2" width="1.625" customWidth="1"/>
    <col min="3" max="3" width="31.87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4">
      <c r="A1" s="7" t="s">
        <v>15</v>
      </c>
      <c r="B1" s="7"/>
      <c r="C1" s="7"/>
      <c r="D1" s="7"/>
      <c r="E1" s="7"/>
      <c r="F1" s="7"/>
      <c r="G1" s="7"/>
      <c r="H1" s="7"/>
      <c r="I1" s="7" t="s">
        <v>244</v>
      </c>
      <c r="J1" s="7"/>
      <c r="K1" s="7"/>
      <c r="L1" s="7"/>
      <c r="M1" s="7"/>
    </row>
    <row r="2" spans="1:14">
      <c r="A2" s="17" t="s">
        <v>13</v>
      </c>
      <c r="B2" s="7"/>
      <c r="C2" s="7"/>
      <c r="D2" s="7"/>
      <c r="E2" s="7"/>
      <c r="F2" s="7"/>
      <c r="G2" s="7"/>
      <c r="H2" s="7"/>
      <c r="I2" t="s">
        <v>365</v>
      </c>
      <c r="J2" s="7"/>
      <c r="K2" s="7"/>
      <c r="L2" s="7"/>
      <c r="M2" s="7"/>
    </row>
    <row r="3" spans="1:14">
      <c r="A3" s="5" t="s">
        <v>525</v>
      </c>
      <c r="B3" s="7"/>
      <c r="C3" s="7"/>
      <c r="D3" s="7"/>
      <c r="E3" s="7"/>
      <c r="F3" s="7"/>
      <c r="G3" s="7"/>
      <c r="H3" s="7"/>
      <c r="I3" t="s">
        <v>626</v>
      </c>
      <c r="J3" s="7"/>
      <c r="K3" s="7"/>
      <c r="L3" s="7"/>
      <c r="M3" s="7"/>
    </row>
    <row r="4" spans="1:14">
      <c r="A4" t="s">
        <v>357</v>
      </c>
      <c r="B4" s="7"/>
      <c r="C4" s="7"/>
      <c r="D4" s="7"/>
      <c r="E4" s="7"/>
      <c r="F4" s="7"/>
      <c r="G4" s="7"/>
      <c r="H4" s="7"/>
      <c r="I4" t="s">
        <v>649</v>
      </c>
      <c r="J4" s="7"/>
      <c r="K4" s="9"/>
      <c r="L4" s="7"/>
      <c r="M4" s="7"/>
    </row>
    <row r="5" spans="1:14">
      <c r="B5" s="7"/>
      <c r="C5" s="7"/>
      <c r="D5" s="7"/>
      <c r="E5" s="7"/>
      <c r="F5" s="7"/>
      <c r="G5" s="7"/>
      <c r="H5" s="7"/>
      <c r="I5" s="7"/>
      <c r="J5" s="7"/>
      <c r="K5" s="7"/>
      <c r="L5" s="7"/>
      <c r="M5" s="7"/>
    </row>
    <row r="6" spans="1:14">
      <c r="A6" s="7"/>
      <c r="B6" s="7"/>
      <c r="C6" s="7"/>
      <c r="D6" s="16"/>
      <c r="F6" s="7"/>
      <c r="G6" s="7"/>
      <c r="H6" s="7"/>
      <c r="I6" s="7"/>
      <c r="J6" s="7"/>
      <c r="K6" s="7"/>
      <c r="L6" s="7"/>
      <c r="M6" s="23"/>
    </row>
    <row r="7" spans="1:14">
      <c r="A7" s="7"/>
      <c r="B7" s="7"/>
      <c r="C7" s="7"/>
      <c r="D7" s="7"/>
      <c r="E7" s="7"/>
      <c r="F7" s="7"/>
      <c r="G7" s="37"/>
      <c r="H7" s="37"/>
      <c r="I7" s="37"/>
      <c r="J7" s="37"/>
      <c r="K7" s="37"/>
      <c r="L7" s="38"/>
      <c r="M7" s="23"/>
    </row>
    <row r="8" spans="1:14">
      <c r="A8" s="7"/>
      <c r="B8" s="7"/>
      <c r="C8" s="7"/>
      <c r="D8" s="7"/>
      <c r="E8" s="7"/>
      <c r="F8" s="7"/>
      <c r="G8" s="38"/>
      <c r="H8" s="38"/>
      <c r="I8" s="38"/>
      <c r="J8" s="38"/>
      <c r="K8" s="38"/>
      <c r="L8" s="38"/>
      <c r="M8" s="23"/>
    </row>
    <row r="9" spans="1:14">
      <c r="A9" t="s">
        <v>0</v>
      </c>
      <c r="E9" s="1"/>
      <c r="F9" s="1"/>
      <c r="G9" s="1" t="s">
        <v>4</v>
      </c>
      <c r="H9" s="1"/>
      <c r="I9" s="1"/>
      <c r="J9" s="1"/>
      <c r="K9" s="1"/>
      <c r="L9" s="1"/>
      <c r="M9" s="1" t="s">
        <v>9</v>
      </c>
    </row>
    <row r="10" spans="1:14">
      <c r="A10" s="2" t="s">
        <v>3</v>
      </c>
      <c r="C10" s="2" t="s">
        <v>1</v>
      </c>
      <c r="E10" s="10" t="s">
        <v>70</v>
      </c>
      <c r="F10" s="1"/>
      <c r="G10" s="10" t="s">
        <v>6</v>
      </c>
      <c r="H10" s="1"/>
      <c r="I10" s="10" t="s">
        <v>7</v>
      </c>
      <c r="J10" s="1"/>
      <c r="K10" s="11" t="s">
        <v>10</v>
      </c>
      <c r="L10" s="1"/>
      <c r="M10" s="10" t="s">
        <v>8</v>
      </c>
    </row>
    <row r="12" spans="1:14">
      <c r="C12" s="3" t="s">
        <v>12</v>
      </c>
    </row>
    <row r="13" spans="1:14">
      <c r="C13" s="3"/>
    </row>
    <row r="14" spans="1:14">
      <c r="A14" s="23">
        <v>1</v>
      </c>
      <c r="B14" s="23"/>
      <c r="C14" t="s">
        <v>529</v>
      </c>
      <c r="D14" s="23"/>
      <c r="E14" s="43">
        <v>535</v>
      </c>
      <c r="F14" s="23"/>
      <c r="G14" s="44">
        <f>G23</f>
        <v>-535204</v>
      </c>
      <c r="H14" s="41"/>
      <c r="I14" s="8" t="s">
        <v>14</v>
      </c>
      <c r="J14" s="42"/>
      <c r="K14" s="51">
        <v>0.43154999999999999</v>
      </c>
      <c r="L14" s="41"/>
      <c r="M14" s="44">
        <f>G14*K14</f>
        <v>-230967.2862</v>
      </c>
    </row>
    <row r="15" spans="1:14">
      <c r="A15" s="41"/>
      <c r="B15" s="41"/>
      <c r="C15" s="4"/>
      <c r="D15" s="41"/>
      <c r="E15" s="43"/>
      <c r="F15" s="41"/>
      <c r="G15" s="44"/>
      <c r="H15" s="41"/>
      <c r="I15" s="8"/>
      <c r="J15" s="42"/>
      <c r="K15" s="51"/>
      <c r="L15" s="41"/>
      <c r="M15" s="44"/>
      <c r="N15" s="4"/>
    </row>
    <row r="16" spans="1:14">
      <c r="A16" s="4"/>
      <c r="B16" s="4"/>
      <c r="C16" s="20"/>
      <c r="D16" s="4"/>
      <c r="E16" s="4"/>
      <c r="F16" s="4"/>
      <c r="G16" s="12"/>
      <c r="H16" s="4"/>
      <c r="I16" s="4"/>
      <c r="J16" s="4"/>
      <c r="K16" s="4"/>
      <c r="L16" s="4"/>
      <c r="M16" s="12"/>
      <c r="N16" s="4"/>
    </row>
    <row r="17" spans="1:13">
      <c r="A17" s="4"/>
      <c r="B17" s="4"/>
      <c r="C17" s="4"/>
      <c r="D17" s="4"/>
      <c r="E17" s="4"/>
      <c r="F17" s="4"/>
      <c r="G17" s="4"/>
      <c r="H17" s="4"/>
      <c r="I17" s="4"/>
      <c r="J17" s="4"/>
      <c r="K17" s="4"/>
      <c r="L17" s="4"/>
      <c r="M17" s="4"/>
    </row>
    <row r="20" spans="1:13">
      <c r="C20" s="3" t="s">
        <v>335</v>
      </c>
    </row>
    <row r="21" spans="1:13">
      <c r="A21" t="s">
        <v>267</v>
      </c>
      <c r="C21" t="s">
        <v>526</v>
      </c>
      <c r="G21" s="44">
        <v>717319</v>
      </c>
      <c r="I21" t="s">
        <v>527</v>
      </c>
    </row>
    <row r="22" spans="1:13">
      <c r="A22" t="s">
        <v>268</v>
      </c>
      <c r="C22" t="s">
        <v>528</v>
      </c>
      <c r="G22" s="52">
        <v>182115</v>
      </c>
      <c r="I22" t="s">
        <v>630</v>
      </c>
    </row>
    <row r="23" spans="1:13">
      <c r="A23" t="s">
        <v>269</v>
      </c>
      <c r="C23" t="s">
        <v>530</v>
      </c>
      <c r="G23" s="44">
        <f>G22-G21</f>
        <v>-535204</v>
      </c>
    </row>
    <row r="28" spans="1:13">
      <c r="C28" t="s">
        <v>5</v>
      </c>
    </row>
    <row r="30" spans="1:13">
      <c r="C30" s="209" t="s">
        <v>629</v>
      </c>
      <c r="D30" s="210"/>
      <c r="E30" s="210"/>
      <c r="F30" s="210"/>
      <c r="G30" s="210"/>
      <c r="H30" s="210"/>
      <c r="I30" s="210"/>
      <c r="J30" s="210"/>
      <c r="K30" s="210"/>
      <c r="L30" s="210"/>
      <c r="M30" s="211"/>
    </row>
    <row r="31" spans="1:13">
      <c r="C31" s="212"/>
      <c r="D31" s="213"/>
      <c r="E31" s="213"/>
      <c r="F31" s="213"/>
      <c r="G31" s="213"/>
      <c r="H31" s="213"/>
      <c r="I31" s="213"/>
      <c r="J31" s="213"/>
      <c r="K31" s="213"/>
      <c r="L31" s="213"/>
      <c r="M31" s="214"/>
    </row>
    <row r="32" spans="1:13">
      <c r="C32" s="212"/>
      <c r="D32" s="213"/>
      <c r="E32" s="213"/>
      <c r="F32" s="213"/>
      <c r="G32" s="213"/>
      <c r="H32" s="213"/>
      <c r="I32" s="213"/>
      <c r="J32" s="213"/>
      <c r="K32" s="213"/>
      <c r="L32" s="213"/>
      <c r="M32" s="214"/>
    </row>
    <row r="33" spans="3:13">
      <c r="C33" s="212"/>
      <c r="D33" s="213"/>
      <c r="E33" s="213"/>
      <c r="F33" s="213"/>
      <c r="G33" s="213"/>
      <c r="H33" s="213"/>
      <c r="I33" s="213"/>
      <c r="J33" s="213"/>
      <c r="K33" s="213"/>
      <c r="L33" s="213"/>
      <c r="M33" s="214"/>
    </row>
    <row r="34" spans="3:13">
      <c r="C34" s="215"/>
      <c r="D34" s="216"/>
      <c r="E34" s="216"/>
      <c r="F34" s="216"/>
      <c r="G34" s="216"/>
      <c r="H34" s="216"/>
      <c r="I34" s="216"/>
      <c r="J34" s="216"/>
      <c r="K34" s="216"/>
      <c r="L34" s="216"/>
      <c r="M34" s="217"/>
    </row>
  </sheetData>
  <mergeCells count="1">
    <mergeCell ref="C30:M34"/>
  </mergeCells>
  <phoneticPr fontId="8" type="noConversion"/>
  <pageMargins left="0.75" right="0.75" top="1" bottom="1" header="0.5" footer="0.5"/>
  <pageSetup scale="88"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N34"/>
  <sheetViews>
    <sheetView workbookViewId="0">
      <selection activeCell="I4" sqref="I4"/>
    </sheetView>
  </sheetViews>
  <sheetFormatPr defaultRowHeight="15.75"/>
  <cols>
    <col min="1" max="1" width="4.625" customWidth="1"/>
    <col min="2" max="2" width="1.625" customWidth="1"/>
    <col min="3" max="3" width="35.7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4">
      <c r="A1" s="7" t="s">
        <v>15</v>
      </c>
      <c r="B1" s="7"/>
      <c r="C1" s="7"/>
      <c r="D1" s="7"/>
      <c r="E1" s="7"/>
      <c r="F1" s="7"/>
      <c r="G1" s="7"/>
      <c r="H1" s="7"/>
      <c r="I1" s="7" t="s">
        <v>244</v>
      </c>
      <c r="J1" s="7"/>
      <c r="K1" s="7"/>
      <c r="L1" s="7"/>
      <c r="M1" s="7"/>
    </row>
    <row r="2" spans="1:14">
      <c r="A2" s="17" t="s">
        <v>13</v>
      </c>
      <c r="B2" s="7"/>
      <c r="C2" s="7"/>
      <c r="D2" s="7"/>
      <c r="E2" s="7"/>
      <c r="F2" s="7"/>
      <c r="G2" s="7"/>
      <c r="H2" s="7"/>
      <c r="I2" t="s">
        <v>365</v>
      </c>
      <c r="J2" s="7"/>
      <c r="K2" s="7"/>
      <c r="L2" s="7"/>
      <c r="M2" s="7"/>
    </row>
    <row r="3" spans="1:14">
      <c r="A3" s="5" t="s">
        <v>531</v>
      </c>
      <c r="B3" s="7"/>
      <c r="C3" s="7"/>
      <c r="D3" s="7"/>
      <c r="E3" s="7"/>
      <c r="F3" s="7"/>
      <c r="G3" s="7"/>
      <c r="H3" s="7"/>
      <c r="I3" t="s">
        <v>627</v>
      </c>
      <c r="J3" s="7"/>
      <c r="K3" s="7"/>
      <c r="L3" s="7"/>
      <c r="M3" s="7"/>
    </row>
    <row r="4" spans="1:14">
      <c r="A4" t="s">
        <v>357</v>
      </c>
      <c r="B4" s="7"/>
      <c r="C4" s="7"/>
      <c r="D4" s="7"/>
      <c r="E4" s="7"/>
      <c r="F4" s="7"/>
      <c r="G4" s="7"/>
      <c r="H4" s="7"/>
      <c r="I4" t="s">
        <v>649</v>
      </c>
      <c r="J4" s="7"/>
      <c r="K4" s="9"/>
      <c r="L4" s="7"/>
      <c r="M4" s="7"/>
    </row>
    <row r="5" spans="1:14">
      <c r="B5" s="7"/>
      <c r="C5" s="7"/>
      <c r="D5" s="7"/>
      <c r="E5" s="7"/>
      <c r="F5" s="7"/>
      <c r="G5" s="7"/>
      <c r="H5" s="7"/>
      <c r="I5" s="7"/>
      <c r="J5" s="7"/>
      <c r="K5" s="7"/>
      <c r="L5" s="7"/>
      <c r="M5" s="7"/>
    </row>
    <row r="6" spans="1:14">
      <c r="A6" s="7"/>
      <c r="B6" s="7"/>
      <c r="C6" s="7"/>
      <c r="D6" s="16"/>
      <c r="F6" s="7"/>
      <c r="G6" s="7"/>
      <c r="H6" s="7"/>
      <c r="I6" s="7"/>
      <c r="J6" s="7"/>
      <c r="K6" s="7"/>
      <c r="L6" s="7"/>
      <c r="M6" s="23"/>
    </row>
    <row r="7" spans="1:14">
      <c r="A7" s="7"/>
      <c r="B7" s="7"/>
      <c r="C7" s="7"/>
      <c r="D7" s="7"/>
      <c r="E7" s="7"/>
      <c r="F7" s="7"/>
      <c r="G7" s="37"/>
      <c r="H7" s="37"/>
      <c r="I7" s="37"/>
      <c r="J7" s="37"/>
      <c r="K7" s="37"/>
      <c r="L7" s="38"/>
      <c r="M7" s="23"/>
    </row>
    <row r="8" spans="1:14">
      <c r="A8" s="7"/>
      <c r="B8" s="7"/>
      <c r="C8" s="7"/>
      <c r="D8" s="7"/>
      <c r="E8" s="7"/>
      <c r="F8" s="7"/>
      <c r="G8" s="38"/>
      <c r="H8" s="38"/>
      <c r="I8" s="38"/>
      <c r="J8" s="38"/>
      <c r="K8" s="38"/>
      <c r="L8" s="38"/>
      <c r="M8" s="23"/>
    </row>
    <row r="9" spans="1:14">
      <c r="A9" t="s">
        <v>0</v>
      </c>
      <c r="E9" s="1"/>
      <c r="F9" s="1"/>
      <c r="G9" s="1" t="s">
        <v>4</v>
      </c>
      <c r="H9" s="1"/>
      <c r="I9" s="1"/>
      <c r="J9" s="1"/>
      <c r="K9" s="1"/>
      <c r="L9" s="1"/>
      <c r="M9" s="1" t="s">
        <v>9</v>
      </c>
    </row>
    <row r="10" spans="1:14">
      <c r="A10" s="2" t="s">
        <v>3</v>
      </c>
      <c r="C10" s="2" t="s">
        <v>1</v>
      </c>
      <c r="E10" s="10" t="s">
        <v>70</v>
      </c>
      <c r="F10" s="1"/>
      <c r="G10" s="10" t="s">
        <v>6</v>
      </c>
      <c r="H10" s="1"/>
      <c r="I10" s="10" t="s">
        <v>7</v>
      </c>
      <c r="J10" s="1"/>
      <c r="K10" s="11" t="s">
        <v>10</v>
      </c>
      <c r="L10" s="1"/>
      <c r="M10" s="10" t="s">
        <v>8</v>
      </c>
    </row>
    <row r="12" spans="1:14">
      <c r="C12" s="3" t="s">
        <v>12</v>
      </c>
    </row>
    <row r="13" spans="1:14">
      <c r="C13" s="3"/>
    </row>
    <row r="14" spans="1:14">
      <c r="A14" s="23">
        <v>1</v>
      </c>
      <c r="B14" s="23"/>
      <c r="C14" t="s">
        <v>532</v>
      </c>
      <c r="D14" s="23"/>
      <c r="E14" s="43">
        <v>549</v>
      </c>
      <c r="F14" s="23"/>
      <c r="G14" s="44">
        <f>G23</f>
        <v>-2029333.3333333333</v>
      </c>
      <c r="H14" s="41"/>
      <c r="I14" s="8" t="s">
        <v>14</v>
      </c>
      <c r="J14" s="42"/>
      <c r="K14" s="51">
        <v>0.43154999999999999</v>
      </c>
      <c r="L14" s="41"/>
      <c r="M14" s="44">
        <f>G14*K14</f>
        <v>-875758.79999999993</v>
      </c>
    </row>
    <row r="15" spans="1:14">
      <c r="A15" s="41"/>
      <c r="B15" s="41"/>
      <c r="C15" s="4"/>
      <c r="D15" s="41"/>
      <c r="E15" s="43"/>
      <c r="F15" s="41"/>
      <c r="G15" s="44"/>
      <c r="H15" s="41"/>
      <c r="I15" s="8"/>
      <c r="J15" s="42"/>
      <c r="K15" s="51"/>
      <c r="L15" s="41"/>
      <c r="M15" s="44"/>
      <c r="N15" s="4"/>
    </row>
    <row r="16" spans="1:14">
      <c r="A16" s="4"/>
      <c r="B16" s="4"/>
      <c r="C16" s="20"/>
      <c r="D16" s="4"/>
      <c r="E16" s="4"/>
      <c r="F16" s="4"/>
      <c r="G16" s="12"/>
      <c r="H16" s="4"/>
      <c r="I16" s="4"/>
      <c r="J16" s="4"/>
      <c r="K16" s="4"/>
      <c r="L16" s="4"/>
      <c r="M16" s="12"/>
      <c r="N16" s="4"/>
    </row>
    <row r="17" spans="1:13">
      <c r="A17" s="4"/>
      <c r="B17" s="4"/>
      <c r="C17" s="4"/>
      <c r="D17" s="4"/>
      <c r="E17" s="4"/>
      <c r="F17" s="4"/>
      <c r="G17" s="4"/>
      <c r="H17" s="4"/>
      <c r="I17" s="4"/>
      <c r="J17" s="4"/>
      <c r="K17" s="4"/>
      <c r="L17" s="4"/>
      <c r="M17" s="4"/>
    </row>
    <row r="20" spans="1:13">
      <c r="C20" s="3" t="s">
        <v>335</v>
      </c>
    </row>
    <row r="21" spans="1:13">
      <c r="A21" t="s">
        <v>267</v>
      </c>
      <c r="C21" t="s">
        <v>533</v>
      </c>
      <c r="G21" s="44">
        <v>3044000</v>
      </c>
      <c r="I21" t="s">
        <v>527</v>
      </c>
    </row>
    <row r="22" spans="1:13">
      <c r="A22" t="s">
        <v>268</v>
      </c>
      <c r="C22" t="s">
        <v>534</v>
      </c>
      <c r="G22" s="126">
        <f>2/3</f>
        <v>0.66666666666666663</v>
      </c>
    </row>
    <row r="23" spans="1:13">
      <c r="A23" t="s">
        <v>269</v>
      </c>
      <c r="C23" t="s">
        <v>535</v>
      </c>
      <c r="G23" s="44">
        <f>G21*-G22</f>
        <v>-2029333.3333333333</v>
      </c>
    </row>
    <row r="28" spans="1:13">
      <c r="C28" t="s">
        <v>5</v>
      </c>
    </row>
    <row r="30" spans="1:13">
      <c r="C30" s="209" t="s">
        <v>632</v>
      </c>
      <c r="D30" s="210"/>
      <c r="E30" s="210"/>
      <c r="F30" s="210"/>
      <c r="G30" s="210"/>
      <c r="H30" s="210"/>
      <c r="I30" s="210"/>
      <c r="J30" s="210"/>
      <c r="K30" s="210"/>
      <c r="L30" s="210"/>
      <c r="M30" s="211"/>
    </row>
    <row r="31" spans="1:13">
      <c r="C31" s="212"/>
      <c r="D31" s="213"/>
      <c r="E31" s="213"/>
      <c r="F31" s="213"/>
      <c r="G31" s="213"/>
      <c r="H31" s="213"/>
      <c r="I31" s="213"/>
      <c r="J31" s="213"/>
      <c r="K31" s="213"/>
      <c r="L31" s="213"/>
      <c r="M31" s="214"/>
    </row>
    <row r="32" spans="1:13">
      <c r="C32" s="212"/>
      <c r="D32" s="213"/>
      <c r="E32" s="213"/>
      <c r="F32" s="213"/>
      <c r="G32" s="213"/>
      <c r="H32" s="213"/>
      <c r="I32" s="213"/>
      <c r="J32" s="213"/>
      <c r="K32" s="213"/>
      <c r="L32" s="213"/>
      <c r="M32" s="214"/>
    </row>
    <row r="33" spans="3:13">
      <c r="C33" s="212"/>
      <c r="D33" s="213"/>
      <c r="E33" s="213"/>
      <c r="F33" s="213"/>
      <c r="G33" s="213"/>
      <c r="H33" s="213"/>
      <c r="I33" s="213"/>
      <c r="J33" s="213"/>
      <c r="K33" s="213"/>
      <c r="L33" s="213"/>
      <c r="M33" s="214"/>
    </row>
    <row r="34" spans="3:13">
      <c r="C34" s="215"/>
      <c r="D34" s="216"/>
      <c r="E34" s="216"/>
      <c r="F34" s="216"/>
      <c r="G34" s="216"/>
      <c r="H34" s="216"/>
      <c r="I34" s="216"/>
      <c r="J34" s="216"/>
      <c r="K34" s="216"/>
      <c r="L34" s="216"/>
      <c r="M34" s="217"/>
    </row>
  </sheetData>
  <mergeCells count="1">
    <mergeCell ref="C30:M34"/>
  </mergeCells>
  <pageMargins left="0.7" right="0.7" top="0.75" bottom="0.75" header="0.3" footer="0.3"/>
  <pageSetup scale="86"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5"/>
  <sheetViews>
    <sheetView topLeftCell="A4" workbookViewId="0">
      <selection activeCell="C35" sqref="C35"/>
    </sheetView>
  </sheetViews>
  <sheetFormatPr defaultRowHeight="15.75"/>
  <cols>
    <col min="1" max="1" width="4.625" customWidth="1"/>
    <col min="2" max="2" width="1.625" customWidth="1"/>
    <col min="3" max="3" width="35.7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3">
      <c r="A1" s="7" t="s">
        <v>15</v>
      </c>
      <c r="B1" s="7"/>
      <c r="C1" s="7"/>
      <c r="D1" s="7"/>
      <c r="E1" s="7"/>
      <c r="F1" s="7"/>
      <c r="G1" s="7"/>
      <c r="H1" s="7"/>
      <c r="I1" s="7" t="s">
        <v>244</v>
      </c>
      <c r="J1" s="7"/>
      <c r="K1" s="7"/>
      <c r="L1" s="7"/>
      <c r="M1" s="7"/>
    </row>
    <row r="2" spans="1:13">
      <c r="A2" s="17" t="s">
        <v>13</v>
      </c>
      <c r="B2" s="7"/>
      <c r="C2" s="7"/>
      <c r="D2" s="7"/>
      <c r="E2" s="7"/>
      <c r="F2" s="7"/>
      <c r="G2" s="7"/>
      <c r="H2" s="7"/>
      <c r="I2" t="s">
        <v>365</v>
      </c>
      <c r="J2" s="7"/>
      <c r="K2" s="7"/>
      <c r="L2" s="7"/>
      <c r="M2" s="7"/>
    </row>
    <row r="3" spans="1:13">
      <c r="A3" s="5" t="s">
        <v>536</v>
      </c>
      <c r="B3" s="7"/>
      <c r="C3" s="7"/>
      <c r="D3" s="7"/>
      <c r="E3" s="7"/>
      <c r="F3" s="7"/>
      <c r="G3" s="7"/>
      <c r="H3" s="7"/>
      <c r="I3" t="s">
        <v>628</v>
      </c>
      <c r="J3" s="7"/>
      <c r="K3" s="7"/>
      <c r="L3" s="7"/>
      <c r="M3" s="7"/>
    </row>
    <row r="4" spans="1:13">
      <c r="A4" t="s">
        <v>357</v>
      </c>
      <c r="B4" s="7"/>
      <c r="C4" s="7"/>
      <c r="D4" s="7"/>
      <c r="E4" s="7"/>
      <c r="F4" s="7"/>
      <c r="G4" s="7"/>
      <c r="H4" s="7"/>
      <c r="I4" t="s">
        <v>649</v>
      </c>
      <c r="J4" s="7"/>
      <c r="K4" s="9"/>
      <c r="L4" s="7"/>
      <c r="M4" s="7"/>
    </row>
    <row r="5" spans="1:13">
      <c r="B5" s="7"/>
      <c r="C5" s="7"/>
      <c r="D5" s="7"/>
      <c r="E5" s="7"/>
      <c r="F5" s="7"/>
      <c r="G5" s="7"/>
      <c r="H5" s="7"/>
      <c r="I5" s="7"/>
      <c r="J5" s="7"/>
      <c r="K5" s="7"/>
      <c r="L5" s="7"/>
      <c r="M5" s="7"/>
    </row>
    <row r="6" spans="1:13">
      <c r="A6" s="7"/>
      <c r="B6" s="7"/>
      <c r="C6" s="7"/>
      <c r="D6" s="16"/>
      <c r="F6" s="7"/>
      <c r="G6" s="7"/>
      <c r="H6" s="7"/>
      <c r="I6" s="7"/>
      <c r="J6" s="7"/>
      <c r="K6" s="7"/>
      <c r="L6" s="7"/>
      <c r="M6" s="23"/>
    </row>
    <row r="7" spans="1:13">
      <c r="A7" s="7"/>
      <c r="B7" s="7"/>
      <c r="C7" s="7"/>
      <c r="D7" s="7"/>
      <c r="E7" s="7"/>
      <c r="F7" s="7"/>
      <c r="G7" s="37"/>
      <c r="H7" s="37"/>
      <c r="I7" s="37"/>
      <c r="J7" s="37"/>
      <c r="K7" s="37"/>
      <c r="L7" s="38"/>
      <c r="M7" s="23"/>
    </row>
    <row r="8" spans="1:13">
      <c r="A8" s="7"/>
      <c r="B8" s="7"/>
      <c r="C8" s="7"/>
      <c r="D8" s="7"/>
      <c r="E8" s="7"/>
      <c r="F8" s="7"/>
      <c r="G8" s="38"/>
      <c r="H8" s="38"/>
      <c r="I8" s="38"/>
      <c r="J8" s="38"/>
      <c r="K8" s="38"/>
      <c r="L8" s="38"/>
      <c r="M8" s="23"/>
    </row>
    <row r="9" spans="1:13">
      <c r="A9" t="s">
        <v>0</v>
      </c>
      <c r="E9" s="1"/>
      <c r="F9" s="1"/>
      <c r="G9" s="1" t="s">
        <v>4</v>
      </c>
      <c r="H9" s="1"/>
      <c r="I9" s="1"/>
      <c r="J9" s="1"/>
      <c r="K9" s="1"/>
      <c r="L9" s="1"/>
      <c r="M9" s="1" t="s">
        <v>9</v>
      </c>
    </row>
    <row r="10" spans="1:13">
      <c r="A10" s="2" t="s">
        <v>3</v>
      </c>
      <c r="C10" s="2" t="s">
        <v>1</v>
      </c>
      <c r="E10" s="10" t="s">
        <v>70</v>
      </c>
      <c r="F10" s="1"/>
      <c r="G10" s="10" t="s">
        <v>6</v>
      </c>
      <c r="H10" s="1"/>
      <c r="I10" s="10" t="s">
        <v>7</v>
      </c>
      <c r="J10" s="1"/>
      <c r="K10" s="11" t="s">
        <v>10</v>
      </c>
      <c r="L10" s="1"/>
      <c r="M10" s="10" t="s">
        <v>8</v>
      </c>
    </row>
    <row r="12" spans="1:13">
      <c r="C12" s="3" t="s">
        <v>12</v>
      </c>
    </row>
    <row r="13" spans="1:13">
      <c r="C13" s="3"/>
    </row>
    <row r="14" spans="1:13">
      <c r="A14" s="23">
        <v>1</v>
      </c>
      <c r="B14" s="23"/>
      <c r="C14" t="s">
        <v>537</v>
      </c>
      <c r="D14" s="23"/>
      <c r="E14" s="43">
        <v>549</v>
      </c>
      <c r="F14" s="23"/>
      <c r="G14" s="44">
        <f>G24</f>
        <v>-568024.06080000009</v>
      </c>
      <c r="H14" s="41"/>
      <c r="I14" s="8" t="s">
        <v>14</v>
      </c>
      <c r="J14" s="42"/>
      <c r="K14" s="51">
        <v>0.43154999999999999</v>
      </c>
      <c r="L14" s="41"/>
      <c r="M14" s="44">
        <f>G14*K14</f>
        <v>-245130.78343824003</v>
      </c>
    </row>
    <row r="15" spans="1:13">
      <c r="A15" s="41"/>
      <c r="B15" s="41"/>
      <c r="C15" s="4"/>
      <c r="D15" s="41"/>
      <c r="E15" s="43"/>
      <c r="F15" s="41"/>
      <c r="G15" s="44"/>
      <c r="H15" s="41"/>
      <c r="I15" s="8"/>
      <c r="J15" s="42"/>
      <c r="K15" s="51"/>
      <c r="L15" s="41"/>
      <c r="M15" s="44"/>
    </row>
    <row r="21" spans="1:13">
      <c r="C21" s="3" t="s">
        <v>335</v>
      </c>
      <c r="G21" s="44"/>
    </row>
    <row r="22" spans="1:13">
      <c r="A22" t="s">
        <v>267</v>
      </c>
      <c r="C22" t="s">
        <v>538</v>
      </c>
      <c r="G22" s="44">
        <v>6389472</v>
      </c>
    </row>
    <row r="23" spans="1:13">
      <c r="A23" t="s">
        <v>268</v>
      </c>
      <c r="C23" t="s">
        <v>539</v>
      </c>
      <c r="G23" s="127">
        <v>8.8900000000000007E-2</v>
      </c>
      <c r="I23" t="s">
        <v>648</v>
      </c>
    </row>
    <row r="24" spans="1:13">
      <c r="A24" t="s">
        <v>269</v>
      </c>
      <c r="C24" t="s">
        <v>537</v>
      </c>
      <c r="G24" s="44">
        <f>-G22*G23</f>
        <v>-568024.06080000009</v>
      </c>
    </row>
    <row r="25" spans="1:13">
      <c r="G25" s="44"/>
    </row>
    <row r="26" spans="1:13">
      <c r="G26" s="44"/>
    </row>
    <row r="27" spans="1:13">
      <c r="G27" s="44"/>
    </row>
    <row r="28" spans="1:13">
      <c r="C28" t="s">
        <v>5</v>
      </c>
    </row>
    <row r="30" spans="1:13">
      <c r="C30" s="209" t="s">
        <v>710</v>
      </c>
      <c r="D30" s="210"/>
      <c r="E30" s="210"/>
      <c r="F30" s="210"/>
      <c r="G30" s="210"/>
      <c r="H30" s="210"/>
      <c r="I30" s="210"/>
      <c r="J30" s="210"/>
      <c r="K30" s="210"/>
      <c r="L30" s="210"/>
      <c r="M30" s="211"/>
    </row>
    <row r="31" spans="1:13">
      <c r="C31" s="212"/>
      <c r="D31" s="213"/>
      <c r="E31" s="213"/>
      <c r="F31" s="213"/>
      <c r="G31" s="213"/>
      <c r="H31" s="213"/>
      <c r="I31" s="213"/>
      <c r="J31" s="213"/>
      <c r="K31" s="213"/>
      <c r="L31" s="213"/>
      <c r="M31" s="214"/>
    </row>
    <row r="32" spans="1:13">
      <c r="C32" s="212"/>
      <c r="D32" s="213"/>
      <c r="E32" s="213"/>
      <c r="F32" s="213"/>
      <c r="G32" s="213"/>
      <c r="H32" s="213"/>
      <c r="I32" s="213"/>
      <c r="J32" s="213"/>
      <c r="K32" s="213"/>
      <c r="L32" s="213"/>
      <c r="M32" s="214"/>
    </row>
    <row r="33" spans="3:13">
      <c r="C33" s="212"/>
      <c r="D33" s="213"/>
      <c r="E33" s="213"/>
      <c r="F33" s="213"/>
      <c r="G33" s="213"/>
      <c r="H33" s="213"/>
      <c r="I33" s="213"/>
      <c r="J33" s="213"/>
      <c r="K33" s="213"/>
      <c r="L33" s="213"/>
      <c r="M33" s="214"/>
    </row>
    <row r="34" spans="3:13">
      <c r="C34" s="215"/>
      <c r="D34" s="216"/>
      <c r="E34" s="216"/>
      <c r="F34" s="216"/>
      <c r="G34" s="216"/>
      <c r="H34" s="216"/>
      <c r="I34" s="216"/>
      <c r="J34" s="216"/>
      <c r="K34" s="216"/>
      <c r="L34" s="216"/>
      <c r="M34" s="217"/>
    </row>
    <row r="35" spans="3:13">
      <c r="G35" s="44"/>
    </row>
  </sheetData>
  <mergeCells count="1">
    <mergeCell ref="C30:M34"/>
  </mergeCells>
  <pageMargins left="0.7" right="0.7" top="0.75" bottom="0.75" header="0.3" footer="0.3"/>
  <pageSetup scale="86" orientation="portrait"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M20"/>
  <sheetViews>
    <sheetView workbookViewId="0">
      <selection activeCell="G13" sqref="G13"/>
    </sheetView>
  </sheetViews>
  <sheetFormatPr defaultRowHeight="15.75"/>
  <cols>
    <col min="7" max="7" width="12.125" bestFit="1" customWidth="1"/>
  </cols>
  <sheetData>
    <row r="1" spans="1:13">
      <c r="A1" s="7" t="s">
        <v>15</v>
      </c>
      <c r="B1" s="7"/>
      <c r="C1" s="7"/>
      <c r="D1" s="7"/>
      <c r="E1" s="7"/>
      <c r="F1" s="7"/>
      <c r="G1" s="7" t="s">
        <v>244</v>
      </c>
      <c r="H1" s="7"/>
      <c r="J1" s="7"/>
      <c r="K1" s="7"/>
      <c r="L1" s="7"/>
      <c r="M1" s="7"/>
    </row>
    <row r="2" spans="1:13">
      <c r="A2" s="17" t="s">
        <v>13</v>
      </c>
      <c r="B2" s="7"/>
      <c r="C2" s="7"/>
      <c r="D2" s="7"/>
      <c r="E2" s="7"/>
      <c r="F2" s="7"/>
      <c r="G2" t="s">
        <v>365</v>
      </c>
      <c r="H2" s="7"/>
      <c r="J2" s="7"/>
      <c r="K2" s="7"/>
      <c r="L2" s="7"/>
      <c r="M2" s="7"/>
    </row>
    <row r="3" spans="1:13">
      <c r="A3" s="5" t="s">
        <v>536</v>
      </c>
      <c r="B3" s="7"/>
      <c r="C3" s="7"/>
      <c r="D3" s="7"/>
      <c r="E3" s="7"/>
      <c r="F3" s="7"/>
      <c r="G3" t="s">
        <v>649</v>
      </c>
      <c r="H3" s="7"/>
      <c r="J3" s="7"/>
      <c r="K3" s="7"/>
      <c r="L3" s="7"/>
      <c r="M3" s="7"/>
    </row>
    <row r="4" spans="1:13">
      <c r="A4" t="s">
        <v>357</v>
      </c>
      <c r="B4" s="7"/>
      <c r="C4" s="7"/>
      <c r="D4" s="7"/>
      <c r="E4" s="7"/>
      <c r="F4" s="7"/>
      <c r="G4" t="s">
        <v>707</v>
      </c>
      <c r="H4" s="7"/>
      <c r="J4" s="7"/>
      <c r="K4" s="9"/>
      <c r="L4" s="7"/>
      <c r="M4" s="7"/>
    </row>
    <row r="6" spans="1:13">
      <c r="C6" s="19" t="s">
        <v>642</v>
      </c>
    </row>
    <row r="8" spans="1:13">
      <c r="G8" s="10" t="s">
        <v>2</v>
      </c>
    </row>
    <row r="10" spans="1:13">
      <c r="A10" s="181"/>
      <c r="B10" s="181"/>
      <c r="C10" s="181"/>
      <c r="D10" s="181"/>
      <c r="G10" s="179"/>
    </row>
    <row r="11" spans="1:13">
      <c r="A11" s="181"/>
      <c r="B11" s="181"/>
      <c r="C11" s="181"/>
      <c r="D11" s="181"/>
      <c r="G11" s="180"/>
    </row>
    <row r="12" spans="1:13">
      <c r="A12" s="181"/>
      <c r="B12" s="181"/>
      <c r="C12" s="181"/>
      <c r="D12" s="181"/>
      <c r="G12" s="46"/>
    </row>
    <row r="13" spans="1:13">
      <c r="A13" s="181"/>
      <c r="B13" s="181"/>
      <c r="C13" s="181"/>
      <c r="D13" s="181"/>
      <c r="G13" s="179"/>
    </row>
    <row r="14" spans="1:13">
      <c r="A14" s="181"/>
      <c r="B14" s="181"/>
      <c r="C14" s="181"/>
      <c r="D14" s="181"/>
      <c r="G14" s="46"/>
    </row>
    <row r="15" spans="1:13">
      <c r="A15" s="182"/>
      <c r="B15" s="181"/>
      <c r="C15" s="181"/>
      <c r="D15" s="181"/>
      <c r="G15" s="178">
        <v>8.8900000000000007E-2</v>
      </c>
    </row>
    <row r="16" spans="1:13">
      <c r="G16" s="46"/>
    </row>
    <row r="17" spans="7:7">
      <c r="G17" s="46"/>
    </row>
    <row r="18" spans="7:7">
      <c r="G18" s="46"/>
    </row>
    <row r="19" spans="7:7">
      <c r="G19" s="46"/>
    </row>
    <row r="20" spans="7:7">
      <c r="G20" s="4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34"/>
  <sheetViews>
    <sheetView workbookViewId="0">
      <selection activeCell="C35" sqref="C35"/>
    </sheetView>
  </sheetViews>
  <sheetFormatPr defaultRowHeight="15.75"/>
  <cols>
    <col min="1" max="1" width="3.5" customWidth="1"/>
    <col min="2" max="2" width="1.625" customWidth="1"/>
    <col min="3" max="3" width="41.25" customWidth="1"/>
    <col min="4" max="4" width="4.125" customWidth="1"/>
    <col min="5" max="5" width="8" customWidth="1"/>
    <col min="6" max="6" width="1" customWidth="1"/>
    <col min="7" max="7" width="12.75" customWidth="1"/>
    <col min="8" max="8" width="0.875" customWidth="1"/>
    <col min="9" max="9" width="6.125" customWidth="1"/>
    <col min="10" max="10" width="1" customWidth="1"/>
    <col min="11" max="11" width="8.375" customWidth="1"/>
    <col min="12" max="12" width="1" customWidth="1"/>
    <col min="13" max="13" width="12.5" customWidth="1"/>
    <col min="17" max="17" width="13.5" customWidth="1"/>
  </cols>
  <sheetData>
    <row r="1" spans="1:17">
      <c r="A1" s="7" t="s">
        <v>15</v>
      </c>
      <c r="I1" s="7" t="s">
        <v>244</v>
      </c>
    </row>
    <row r="2" spans="1:17">
      <c r="A2" s="17" t="s">
        <v>13</v>
      </c>
      <c r="I2" t="s">
        <v>365</v>
      </c>
    </row>
    <row r="3" spans="1:17">
      <c r="A3" s="5" t="s">
        <v>413</v>
      </c>
      <c r="I3" t="s">
        <v>604</v>
      </c>
    </row>
    <row r="4" spans="1:17">
      <c r="A4" t="s">
        <v>357</v>
      </c>
      <c r="I4" t="s">
        <v>649</v>
      </c>
    </row>
    <row r="7" spans="1:17">
      <c r="A7" t="s">
        <v>0</v>
      </c>
      <c r="E7" s="1"/>
      <c r="F7" s="1"/>
      <c r="G7" s="1" t="s">
        <v>4</v>
      </c>
      <c r="H7" s="1"/>
      <c r="I7" s="1"/>
      <c r="J7" s="1"/>
      <c r="K7" s="1"/>
      <c r="L7" s="1"/>
      <c r="M7" s="1" t="s">
        <v>9</v>
      </c>
    </row>
    <row r="8" spans="1:17">
      <c r="A8" s="2" t="s">
        <v>3</v>
      </c>
      <c r="C8" s="2" t="s">
        <v>1</v>
      </c>
      <c r="E8" s="10" t="s">
        <v>70</v>
      </c>
      <c r="F8" s="1"/>
      <c r="G8" s="10" t="s">
        <v>6</v>
      </c>
      <c r="H8" s="1"/>
      <c r="I8" s="10" t="s">
        <v>7</v>
      </c>
      <c r="J8" s="1"/>
      <c r="K8" s="11" t="s">
        <v>10</v>
      </c>
      <c r="L8" s="1"/>
      <c r="M8" s="10" t="s">
        <v>8</v>
      </c>
    </row>
    <row r="10" spans="1:17">
      <c r="C10" s="3" t="s">
        <v>415</v>
      </c>
    </row>
    <row r="11" spans="1:17">
      <c r="A11">
        <v>1</v>
      </c>
      <c r="C11" t="s">
        <v>414</v>
      </c>
      <c r="E11" s="43">
        <v>397</v>
      </c>
      <c r="F11" s="23"/>
      <c r="G11" s="52">
        <v>-2950000</v>
      </c>
      <c r="H11" s="41"/>
      <c r="I11" s="8" t="s">
        <v>245</v>
      </c>
      <c r="J11" s="42"/>
      <c r="K11" s="51">
        <v>0.42853999999999998</v>
      </c>
      <c r="L11" s="41"/>
      <c r="M11" s="52">
        <f>G11*K11</f>
        <v>-1264193</v>
      </c>
    </row>
    <row r="13" spans="1:17">
      <c r="C13" s="3" t="s">
        <v>422</v>
      </c>
      <c r="Q13" s="105"/>
    </row>
    <row r="14" spans="1:17">
      <c r="A14">
        <v>2</v>
      </c>
      <c r="C14" t="s">
        <v>421</v>
      </c>
      <c r="E14" s="1" t="s">
        <v>643</v>
      </c>
      <c r="G14" s="40">
        <v>174148</v>
      </c>
      <c r="I14" s="8" t="s">
        <v>245</v>
      </c>
      <c r="J14" s="42"/>
      <c r="K14" s="51">
        <v>0.42853999999999998</v>
      </c>
      <c r="L14" s="41"/>
      <c r="M14" s="52">
        <f>G14*K14</f>
        <v>74629.383919999993</v>
      </c>
      <c r="Q14" s="105"/>
    </row>
    <row r="15" spans="1:17">
      <c r="E15" s="1"/>
      <c r="Q15" s="105"/>
    </row>
    <row r="16" spans="1:17">
      <c r="C16" s="3" t="s">
        <v>346</v>
      </c>
      <c r="E16" s="1"/>
      <c r="Q16" s="105"/>
    </row>
    <row r="17" spans="1:17">
      <c r="A17">
        <v>3</v>
      </c>
      <c r="C17" t="s">
        <v>423</v>
      </c>
      <c r="E17" s="1" t="s">
        <v>644</v>
      </c>
      <c r="G17" s="40">
        <f>-G24</f>
        <v>-189980</v>
      </c>
      <c r="I17" s="8" t="s">
        <v>245</v>
      </c>
      <c r="J17" s="42"/>
      <c r="K17" s="51">
        <v>0.42853999999999998</v>
      </c>
      <c r="L17" s="41"/>
      <c r="M17" s="52">
        <f>G17*K17</f>
        <v>-81414.02919999999</v>
      </c>
      <c r="Q17" s="105"/>
    </row>
    <row r="18" spans="1:17">
      <c r="Q18" s="105"/>
    </row>
    <row r="19" spans="1:17">
      <c r="Q19" s="105"/>
    </row>
    <row r="20" spans="1:17">
      <c r="Q20" s="105"/>
    </row>
    <row r="21" spans="1:17">
      <c r="C21" s="3" t="s">
        <v>420</v>
      </c>
      <c r="Q21" s="105"/>
    </row>
    <row r="22" spans="1:17">
      <c r="A22" t="s">
        <v>267</v>
      </c>
      <c r="C22" t="s">
        <v>416</v>
      </c>
      <c r="G22" s="46">
        <v>2950000</v>
      </c>
      <c r="Q22" s="105"/>
    </row>
    <row r="23" spans="1:17">
      <c r="A23" t="s">
        <v>268</v>
      </c>
      <c r="C23" t="s">
        <v>417</v>
      </c>
      <c r="G23" s="99">
        <v>6.4399999999999999E-2</v>
      </c>
      <c r="I23" t="s">
        <v>418</v>
      </c>
      <c r="Q23" s="105"/>
    </row>
    <row r="24" spans="1:17">
      <c r="A24" t="s">
        <v>269</v>
      </c>
      <c r="C24" t="s">
        <v>419</v>
      </c>
      <c r="G24" s="55">
        <f>G22*G23</f>
        <v>189980</v>
      </c>
      <c r="Q24" s="105"/>
    </row>
    <row r="25" spans="1:17">
      <c r="A25" t="s">
        <v>270</v>
      </c>
      <c r="C25" t="s">
        <v>425</v>
      </c>
      <c r="G25" s="55">
        <v>174148</v>
      </c>
      <c r="Q25" s="105"/>
    </row>
    <row r="26" spans="1:17">
      <c r="G26" s="46"/>
      <c r="Q26" s="105"/>
    </row>
    <row r="27" spans="1:17">
      <c r="G27" s="46"/>
      <c r="Q27" s="105"/>
    </row>
    <row r="28" spans="1:17">
      <c r="Q28" s="105"/>
    </row>
    <row r="29" spans="1:17">
      <c r="Q29" s="105"/>
    </row>
    <row r="30" spans="1:17">
      <c r="C30" t="s">
        <v>5</v>
      </c>
      <c r="Q30" s="105"/>
    </row>
    <row r="32" spans="1:17">
      <c r="C32" s="209" t="s">
        <v>424</v>
      </c>
      <c r="D32" s="210"/>
      <c r="E32" s="210"/>
      <c r="F32" s="210"/>
      <c r="G32" s="210"/>
      <c r="H32" s="210"/>
      <c r="I32" s="210"/>
      <c r="J32" s="210"/>
      <c r="K32" s="210"/>
      <c r="L32" s="210"/>
      <c r="M32" s="211"/>
      <c r="Q32" s="105"/>
    </row>
    <row r="33" spans="3:13">
      <c r="C33" s="212"/>
      <c r="D33" s="213"/>
      <c r="E33" s="213"/>
      <c r="F33" s="213"/>
      <c r="G33" s="213"/>
      <c r="H33" s="213"/>
      <c r="I33" s="213"/>
      <c r="J33" s="213"/>
      <c r="K33" s="213"/>
      <c r="L33" s="213"/>
      <c r="M33" s="214"/>
    </row>
    <row r="34" spans="3:13">
      <c r="C34" s="215"/>
      <c r="D34" s="216"/>
      <c r="E34" s="216"/>
      <c r="F34" s="216"/>
      <c r="G34" s="216"/>
      <c r="H34" s="216"/>
      <c r="I34" s="216"/>
      <c r="J34" s="216"/>
      <c r="K34" s="216"/>
      <c r="L34" s="216"/>
      <c r="M34" s="217"/>
    </row>
  </sheetData>
  <mergeCells count="1">
    <mergeCell ref="C32:M34"/>
  </mergeCells>
  <pageMargins left="0.7" right="0.7" top="0.75" bottom="0.75" header="0.3" footer="0.3"/>
  <pageSetup scale="83"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O34"/>
  <sheetViews>
    <sheetView topLeftCell="A10" workbookViewId="0">
      <selection activeCell="K4" sqref="K4"/>
    </sheetView>
  </sheetViews>
  <sheetFormatPr defaultRowHeight="15.7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5.375" customWidth="1"/>
    <col min="10" max="10" width="1.75" customWidth="1"/>
    <col min="11" max="11" width="14" customWidth="1"/>
    <col min="12" max="12" width="1.875" customWidth="1"/>
    <col min="13" max="13" width="8.625" customWidth="1"/>
    <col min="14" max="14" width="1.625" customWidth="1"/>
    <col min="15" max="15" width="11.5" customWidth="1"/>
  </cols>
  <sheetData>
    <row r="1" spans="1:15">
      <c r="A1" s="7" t="s">
        <v>15</v>
      </c>
      <c r="K1" s="7" t="s">
        <v>244</v>
      </c>
      <c r="M1" s="18"/>
      <c r="N1" s="18"/>
      <c r="O1" s="18"/>
    </row>
    <row r="2" spans="1:15">
      <c r="A2" s="17" t="s">
        <v>13</v>
      </c>
      <c r="K2" t="s">
        <v>365</v>
      </c>
      <c r="M2" s="18"/>
      <c r="N2" s="18"/>
      <c r="O2" s="18"/>
    </row>
    <row r="3" spans="1:15">
      <c r="A3" s="5" t="s">
        <v>488</v>
      </c>
      <c r="K3" t="s">
        <v>631</v>
      </c>
      <c r="M3" s="18"/>
      <c r="N3" s="18"/>
      <c r="O3" s="18"/>
    </row>
    <row r="4" spans="1:15">
      <c r="A4" t="s">
        <v>357</v>
      </c>
      <c r="K4" t="s">
        <v>649</v>
      </c>
      <c r="M4" s="18"/>
      <c r="N4" s="18"/>
      <c r="O4" s="18"/>
    </row>
    <row r="5" spans="1:15">
      <c r="M5" s="18"/>
      <c r="N5" s="18"/>
      <c r="O5" s="18"/>
    </row>
    <row r="6" spans="1:15">
      <c r="A6" s="18"/>
      <c r="B6" s="18"/>
      <c r="C6" s="18"/>
      <c r="D6" s="18"/>
      <c r="E6" s="18"/>
      <c r="F6" s="18"/>
      <c r="G6" s="18"/>
      <c r="H6" s="18"/>
      <c r="I6" s="18"/>
      <c r="J6" s="18"/>
      <c r="K6" s="18"/>
      <c r="L6" s="18"/>
      <c r="M6" s="18"/>
      <c r="N6" s="18"/>
      <c r="O6" s="18"/>
    </row>
    <row r="7" spans="1:15">
      <c r="A7" s="18"/>
      <c r="B7" s="18"/>
      <c r="C7" s="18"/>
      <c r="D7" s="18"/>
      <c r="E7" s="18"/>
      <c r="F7" s="18"/>
      <c r="G7" s="18"/>
      <c r="H7" s="18"/>
      <c r="I7" s="18"/>
      <c r="J7" s="18"/>
      <c r="K7" s="18"/>
      <c r="L7" s="18"/>
      <c r="M7" s="18"/>
      <c r="N7" s="18"/>
      <c r="O7" s="18"/>
    </row>
    <row r="8" spans="1:15">
      <c r="G8" s="1"/>
      <c r="H8" s="1"/>
      <c r="I8" s="1" t="s">
        <v>4</v>
      </c>
      <c r="J8" s="1"/>
      <c r="K8" s="1"/>
      <c r="L8" s="1"/>
      <c r="M8" s="1"/>
      <c r="N8" s="1"/>
      <c r="O8" s="1" t="s">
        <v>9</v>
      </c>
    </row>
    <row r="9" spans="1:15">
      <c r="A9" s="4"/>
      <c r="C9" s="2" t="s">
        <v>1</v>
      </c>
      <c r="D9" s="4"/>
      <c r="E9" s="15"/>
      <c r="G9" s="10" t="s">
        <v>11</v>
      </c>
      <c r="H9" s="1"/>
      <c r="I9" s="10" t="s">
        <v>6</v>
      </c>
      <c r="J9" s="1"/>
      <c r="K9" s="10" t="s">
        <v>7</v>
      </c>
      <c r="L9" s="1"/>
      <c r="M9" s="11" t="s">
        <v>10</v>
      </c>
      <c r="N9" s="1"/>
      <c r="O9" s="10" t="s">
        <v>8</v>
      </c>
    </row>
    <row r="11" spans="1:15">
      <c r="C11" s="3" t="s">
        <v>12</v>
      </c>
    </row>
    <row r="13" spans="1:15">
      <c r="A13">
        <v>1</v>
      </c>
      <c r="C13" t="s">
        <v>658</v>
      </c>
      <c r="G13" s="56" t="s">
        <v>263</v>
      </c>
      <c r="I13" s="46">
        <f>'3.14.1'!D212</f>
        <v>-1240541.2546875193</v>
      </c>
      <c r="K13" s="1" t="s">
        <v>264</v>
      </c>
      <c r="L13" s="1"/>
      <c r="M13" s="1" t="s">
        <v>264</v>
      </c>
      <c r="O13" s="46">
        <f>'3.14.1'!F212</f>
        <v>-531262.99822752702</v>
      </c>
    </row>
    <row r="16" spans="1:15">
      <c r="I16" s="46"/>
    </row>
    <row r="17" spans="1:15">
      <c r="C17" s="3" t="s">
        <v>266</v>
      </c>
      <c r="I17" s="46"/>
    </row>
    <row r="18" spans="1:15">
      <c r="A18" t="s">
        <v>267</v>
      </c>
      <c r="C18" s="4" t="s">
        <v>489</v>
      </c>
      <c r="D18" s="4"/>
      <c r="E18" s="4"/>
      <c r="F18" s="4"/>
      <c r="G18" s="4"/>
      <c r="H18" s="4"/>
      <c r="J18" s="4"/>
      <c r="K18" s="50">
        <v>2141507</v>
      </c>
    </row>
    <row r="19" spans="1:15">
      <c r="A19" t="s">
        <v>268</v>
      </c>
      <c r="C19" s="4" t="s">
        <v>490</v>
      </c>
      <c r="D19" s="4"/>
      <c r="E19" s="4"/>
      <c r="F19" s="4"/>
      <c r="G19" s="4"/>
      <c r="H19" s="4"/>
      <c r="J19" s="4"/>
      <c r="K19" s="47">
        <v>387996</v>
      </c>
    </row>
    <row r="20" spans="1:15">
      <c r="A20" t="s">
        <v>269</v>
      </c>
      <c r="C20" s="20" t="s">
        <v>483</v>
      </c>
      <c r="D20" s="4"/>
      <c r="E20" s="4"/>
      <c r="F20" s="4"/>
      <c r="G20" s="4"/>
      <c r="H20" s="4"/>
      <c r="J20" s="4"/>
      <c r="K20" s="50">
        <f>K19-K18</f>
        <v>-1753511</v>
      </c>
    </row>
    <row r="21" spans="1:15">
      <c r="A21" s="4" t="s">
        <v>270</v>
      </c>
      <c r="B21" s="4"/>
      <c r="C21" s="20" t="s">
        <v>484</v>
      </c>
      <c r="D21" s="4"/>
      <c r="E21" s="4"/>
      <c r="F21" s="4"/>
      <c r="G21" s="4"/>
      <c r="H21" s="4"/>
      <c r="I21" s="22"/>
      <c r="J21" s="4"/>
      <c r="K21" s="119">
        <f>'3.14.1'!C212</f>
        <v>0.70746134736965938</v>
      </c>
    </row>
    <row r="22" spans="1:15">
      <c r="A22" s="20" t="s">
        <v>271</v>
      </c>
      <c r="B22" s="4"/>
      <c r="C22" s="20" t="s">
        <v>485</v>
      </c>
      <c r="D22" s="4"/>
      <c r="E22" s="4"/>
      <c r="F22" s="4"/>
      <c r="G22" s="4"/>
      <c r="H22" s="4"/>
      <c r="I22" s="106"/>
      <c r="J22" s="4"/>
      <c r="K22" s="120">
        <f>K20*K21</f>
        <v>-1240541.2546875188</v>
      </c>
    </row>
    <row r="23" spans="1:15">
      <c r="A23" s="4"/>
      <c r="B23" s="4"/>
      <c r="C23" s="20"/>
      <c r="D23" s="4"/>
      <c r="E23" s="4"/>
      <c r="F23" s="4"/>
      <c r="G23" s="4"/>
      <c r="H23" s="4"/>
      <c r="I23" s="50"/>
      <c r="J23" s="4"/>
      <c r="K23" s="4"/>
    </row>
    <row r="24" spans="1:15">
      <c r="A24" s="4"/>
      <c r="B24" s="4"/>
      <c r="C24" s="20"/>
      <c r="D24" s="4"/>
      <c r="E24" s="4"/>
      <c r="F24" s="4"/>
      <c r="G24" s="4"/>
      <c r="H24" s="4"/>
      <c r="I24" s="50"/>
      <c r="J24" s="4"/>
      <c r="K24" s="4"/>
      <c r="L24" s="4"/>
      <c r="M24" s="4"/>
    </row>
    <row r="25" spans="1:15">
      <c r="A25" s="4"/>
      <c r="B25" s="4"/>
      <c r="C25" s="20"/>
      <c r="D25" s="4"/>
      <c r="E25" s="4"/>
      <c r="F25" s="4"/>
      <c r="G25" s="4"/>
      <c r="H25" s="4"/>
      <c r="I25" s="21"/>
      <c r="J25" s="4"/>
      <c r="K25" s="4"/>
      <c r="L25" s="4"/>
      <c r="M25" s="4"/>
    </row>
    <row r="26" spans="1:15">
      <c r="A26" s="4"/>
      <c r="B26" s="4"/>
      <c r="C26" s="20"/>
      <c r="D26" s="4"/>
      <c r="E26" s="4"/>
      <c r="F26" s="4"/>
      <c r="G26" s="4"/>
      <c r="H26" s="4"/>
      <c r="I26" s="50"/>
      <c r="J26" s="4"/>
      <c r="K26" s="4"/>
      <c r="L26" s="4"/>
      <c r="M26" s="4"/>
    </row>
    <row r="27" spans="1:15">
      <c r="A27" s="4"/>
      <c r="B27" s="4"/>
      <c r="C27" s="4"/>
      <c r="D27" s="4"/>
      <c r="E27" s="4"/>
      <c r="F27" s="4"/>
      <c r="G27" s="4"/>
      <c r="H27" s="4"/>
      <c r="I27" s="50"/>
      <c r="J27" s="4"/>
      <c r="K27" s="4"/>
      <c r="L27" s="4"/>
      <c r="M27" s="4"/>
    </row>
    <row r="28" spans="1:15">
      <c r="A28" s="4"/>
      <c r="B28" s="4"/>
      <c r="C28" s="4"/>
      <c r="D28" s="4"/>
      <c r="E28" s="4"/>
      <c r="F28" s="4"/>
      <c r="G28" s="4"/>
      <c r="H28" s="4"/>
      <c r="I28" s="4"/>
      <c r="J28" s="4"/>
      <c r="K28" s="4"/>
      <c r="L28" s="4"/>
      <c r="M28" s="4"/>
    </row>
    <row r="29" spans="1:15">
      <c r="A29" s="4"/>
      <c r="B29" s="4"/>
      <c r="C29" s="4"/>
      <c r="D29" s="4"/>
      <c r="E29" s="4"/>
      <c r="F29" s="4"/>
      <c r="G29" s="4"/>
      <c r="H29" s="4"/>
      <c r="I29" s="4"/>
      <c r="J29" s="4"/>
      <c r="K29" s="4"/>
      <c r="L29" s="4"/>
      <c r="M29" s="4"/>
    </row>
    <row r="30" spans="1:15">
      <c r="C30" t="s">
        <v>265</v>
      </c>
    </row>
    <row r="31" spans="1:15">
      <c r="C31" s="218" t="s">
        <v>659</v>
      </c>
      <c r="D31" s="219"/>
      <c r="E31" s="219"/>
      <c r="F31" s="219"/>
      <c r="G31" s="219"/>
      <c r="H31" s="219"/>
      <c r="I31" s="219"/>
      <c r="J31" s="219"/>
      <c r="K31" s="219"/>
      <c r="L31" s="219"/>
      <c r="M31" s="219"/>
      <c r="N31" s="219"/>
      <c r="O31" s="220"/>
    </row>
    <row r="32" spans="1:15">
      <c r="C32" s="221"/>
      <c r="D32" s="222"/>
      <c r="E32" s="222"/>
      <c r="F32" s="222"/>
      <c r="G32" s="222"/>
      <c r="H32" s="222"/>
      <c r="I32" s="222"/>
      <c r="J32" s="222"/>
      <c r="K32" s="222"/>
      <c r="L32" s="222"/>
      <c r="M32" s="222"/>
      <c r="N32" s="222"/>
      <c r="O32" s="223"/>
    </row>
    <row r="33" spans="3:15">
      <c r="C33" s="221"/>
      <c r="D33" s="222"/>
      <c r="E33" s="222"/>
      <c r="F33" s="222"/>
      <c r="G33" s="222"/>
      <c r="H33" s="222"/>
      <c r="I33" s="222"/>
      <c r="J33" s="222"/>
      <c r="K33" s="222"/>
      <c r="L33" s="222"/>
      <c r="M33" s="222"/>
      <c r="N33" s="222"/>
      <c r="O33" s="223"/>
    </row>
    <row r="34" spans="3:15">
      <c r="C34" s="224"/>
      <c r="D34" s="225"/>
      <c r="E34" s="225"/>
      <c r="F34" s="225"/>
      <c r="G34" s="225"/>
      <c r="H34" s="225"/>
      <c r="I34" s="225"/>
      <c r="J34" s="225"/>
      <c r="K34" s="225"/>
      <c r="L34" s="225"/>
      <c r="M34" s="225"/>
      <c r="N34" s="225"/>
      <c r="O34" s="226"/>
    </row>
  </sheetData>
  <mergeCells count="1">
    <mergeCell ref="C31:O34"/>
  </mergeCells>
  <phoneticPr fontId="8" type="noConversion"/>
  <pageMargins left="0.75" right="0.75" top="1" bottom="1" header="0.5" footer="0.5"/>
  <pageSetup scale="73"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F225"/>
  <sheetViews>
    <sheetView workbookViewId="0">
      <selection activeCell="E5" sqref="E5"/>
    </sheetView>
  </sheetViews>
  <sheetFormatPr defaultRowHeight="15.75"/>
  <cols>
    <col min="1" max="1" width="17.625" customWidth="1"/>
    <col min="2" max="2" width="15.5" customWidth="1"/>
    <col min="3" max="3" width="9.625" customWidth="1"/>
    <col min="4" max="4" width="12" customWidth="1"/>
    <col min="5" max="5" width="10.875" customWidth="1"/>
    <col min="6" max="6" width="12.125" customWidth="1"/>
  </cols>
  <sheetData>
    <row r="1" spans="1:6">
      <c r="A1" s="7" t="s">
        <v>15</v>
      </c>
      <c r="B1" s="7"/>
      <c r="C1" s="7"/>
      <c r="D1" s="7"/>
      <c r="E1" s="7" t="s">
        <v>244</v>
      </c>
    </row>
    <row r="2" spans="1:6">
      <c r="A2" s="17" t="s">
        <v>13</v>
      </c>
      <c r="B2" s="7"/>
      <c r="C2" s="7"/>
      <c r="D2" s="7"/>
      <c r="E2" t="s">
        <v>365</v>
      </c>
    </row>
    <row r="3" spans="1:6">
      <c r="A3" s="5" t="s">
        <v>488</v>
      </c>
      <c r="B3" s="7"/>
      <c r="C3" s="7"/>
      <c r="D3" s="7"/>
      <c r="E3" t="s">
        <v>649</v>
      </c>
    </row>
    <row r="4" spans="1:6">
      <c r="B4" s="7"/>
      <c r="C4" s="7"/>
      <c r="D4" s="7"/>
      <c r="E4" t="s">
        <v>708</v>
      </c>
    </row>
    <row r="5" spans="1:6">
      <c r="A5" t="s">
        <v>357</v>
      </c>
      <c r="B5" s="7"/>
      <c r="C5" s="7"/>
      <c r="D5" s="7"/>
      <c r="E5" s="7"/>
    </row>
    <row r="8" spans="1:6">
      <c r="A8" s="58"/>
      <c r="B8" s="59" t="s">
        <v>657</v>
      </c>
      <c r="C8" s="60"/>
      <c r="D8" s="1" t="s">
        <v>482</v>
      </c>
      <c r="E8" s="61" t="s">
        <v>8</v>
      </c>
      <c r="F8" s="61" t="s">
        <v>9</v>
      </c>
    </row>
    <row r="9" spans="1:6">
      <c r="A9" s="62" t="s">
        <v>246</v>
      </c>
      <c r="B9" s="63" t="s">
        <v>656</v>
      </c>
      <c r="C9" s="64" t="s">
        <v>8</v>
      </c>
      <c r="D9" s="36" t="s">
        <v>262</v>
      </c>
      <c r="E9" s="36" t="s">
        <v>236</v>
      </c>
      <c r="F9" s="36" t="s">
        <v>2</v>
      </c>
    </row>
    <row r="10" spans="1:6">
      <c r="A10" s="111" t="s">
        <v>71</v>
      </c>
      <c r="B10" s="112">
        <v>15136007.482796762</v>
      </c>
      <c r="C10" s="113">
        <f>B10/$B$216</f>
        <v>2.0999519908753633E-2</v>
      </c>
      <c r="D10" s="65">
        <f>$D$216*C10</f>
        <v>-36822.88915471849</v>
      </c>
      <c r="E10" s="121">
        <v>0.4315468104876492</v>
      </c>
      <c r="F10" s="65">
        <f>D10*E10</f>
        <v>-15890.800367659014</v>
      </c>
    </row>
    <row r="11" spans="1:6">
      <c r="A11" s="111" t="s">
        <v>72</v>
      </c>
      <c r="B11" s="112">
        <v>-12711.508104976558</v>
      </c>
      <c r="C11" s="113">
        <f t="shared" ref="C11:C74" si="0">B11/$B$216</f>
        <v>-1.7635797803623657E-5</v>
      </c>
      <c r="D11" s="65">
        <f t="shared" ref="D11:D74" si="1">$D$216*C11</f>
        <v>30.924565442429923</v>
      </c>
      <c r="E11" s="121">
        <v>0.429533673391716</v>
      </c>
      <c r="F11" s="65">
        <f t="shared" ref="F11:F74" si="2">D11*E11</f>
        <v>13.283142192529443</v>
      </c>
    </row>
    <row r="12" spans="1:6">
      <c r="A12" s="111" t="s">
        <v>73</v>
      </c>
      <c r="B12" s="112">
        <v>16840474.202882066</v>
      </c>
      <c r="C12" s="113">
        <f t="shared" si="0"/>
        <v>2.3364277118534404E-2</v>
      </c>
      <c r="D12" s="65">
        <f t="shared" si="1"/>
        <v>-40969.51693439838</v>
      </c>
      <c r="E12" s="121">
        <v>0.4315468104876492</v>
      </c>
      <c r="F12" s="65">
        <f t="shared" si="2"/>
        <v>-17680.264360259353</v>
      </c>
    </row>
    <row r="13" spans="1:6">
      <c r="A13" s="111" t="s">
        <v>74</v>
      </c>
      <c r="B13" s="112">
        <v>70523.415707804204</v>
      </c>
      <c r="C13" s="113">
        <f t="shared" si="0"/>
        <v>9.7843362846679723E-5</v>
      </c>
      <c r="D13" s="65">
        <f t="shared" si="1"/>
        <v>-171.56941302864422</v>
      </c>
      <c r="E13" s="121">
        <v>0.429533673391716</v>
      </c>
      <c r="F13" s="65">
        <f t="shared" si="2"/>
        <v>-73.694840219854086</v>
      </c>
    </row>
    <row r="14" spans="1:6">
      <c r="A14" s="111" t="s">
        <v>75</v>
      </c>
      <c r="B14" s="112">
        <v>1783112.5878932071</v>
      </c>
      <c r="C14" s="113">
        <f t="shared" si="0"/>
        <v>2.4738695677556433E-3</v>
      </c>
      <c r="D14" s="65">
        <f t="shared" si="1"/>
        <v>-4337.9574996247657</v>
      </c>
      <c r="E14" s="121">
        <v>0.4315468104876492</v>
      </c>
      <c r="F14" s="65">
        <f t="shared" si="2"/>
        <v>-1872.0317229940454</v>
      </c>
    </row>
    <row r="15" spans="1:6">
      <c r="A15" s="111" t="s">
        <v>76</v>
      </c>
      <c r="B15" s="112">
        <v>44404780.313990459</v>
      </c>
      <c r="C15" s="113">
        <f t="shared" si="0"/>
        <v>6.1606673312451003E-2</v>
      </c>
      <c r="D15" s="65">
        <f t="shared" si="1"/>
        <v>-108027.97932678927</v>
      </c>
      <c r="E15" s="121">
        <v>0.4315468104876492</v>
      </c>
      <c r="F15" s="65">
        <f t="shared" si="2"/>
        <v>-46619.129921901615</v>
      </c>
    </row>
    <row r="16" spans="1:6">
      <c r="A16" s="111" t="s">
        <v>77</v>
      </c>
      <c r="B16" s="112">
        <v>2789979.1228132476</v>
      </c>
      <c r="C16" s="113">
        <f t="shared" si="0"/>
        <v>3.8707844324940913E-3</v>
      </c>
      <c r="D16" s="65">
        <f t="shared" si="1"/>
        <v>-6787.4630810071467</v>
      </c>
      <c r="E16" s="121">
        <v>0.4315468104876492</v>
      </c>
      <c r="F16" s="65">
        <f t="shared" si="2"/>
        <v>-2929.1080439113066</v>
      </c>
    </row>
    <row r="17" spans="1:6">
      <c r="A17" s="111" t="s">
        <v>78</v>
      </c>
      <c r="B17" s="112">
        <v>6582961.5185696781</v>
      </c>
      <c r="C17" s="113">
        <f t="shared" si="0"/>
        <v>9.1331238852043577E-3</v>
      </c>
      <c r="D17" s="65">
        <f t="shared" si="1"/>
        <v>-16015.033197068578</v>
      </c>
      <c r="E17" s="121">
        <v>0.4315468104876492</v>
      </c>
      <c r="F17" s="65">
        <f t="shared" si="2"/>
        <v>-6911.2364960487648</v>
      </c>
    </row>
    <row r="18" spans="1:6">
      <c r="A18" s="111" t="s">
        <v>79</v>
      </c>
      <c r="B18" s="112">
        <v>25704218.410014875</v>
      </c>
      <c r="C18" s="113">
        <f t="shared" si="0"/>
        <v>3.5661732253604937E-2</v>
      </c>
      <c r="D18" s="65">
        <f t="shared" si="1"/>
        <v>-62533.239785751044</v>
      </c>
      <c r="E18" s="121">
        <v>0.4315468104876492</v>
      </c>
      <c r="F18" s="65">
        <f t="shared" si="2"/>
        <v>-26986.020179000232</v>
      </c>
    </row>
    <row r="19" spans="1:6">
      <c r="A19" s="111" t="s">
        <v>80</v>
      </c>
      <c r="B19" s="112">
        <v>10656550.794914247</v>
      </c>
      <c r="C19" s="113">
        <f t="shared" si="0"/>
        <v>1.4784774044991194E-2</v>
      </c>
      <c r="D19" s="65">
        <f t="shared" si="1"/>
        <v>-25925.263920406553</v>
      </c>
      <c r="E19" s="121">
        <v>0.4315468104876492</v>
      </c>
      <c r="F19" s="65">
        <f t="shared" si="2"/>
        <v>-11187.964955901976</v>
      </c>
    </row>
    <row r="20" spans="1:6">
      <c r="A20" s="111" t="s">
        <v>81</v>
      </c>
      <c r="B20" s="112">
        <v>2564963.2593123219</v>
      </c>
      <c r="C20" s="113">
        <f t="shared" si="0"/>
        <v>3.5586000529115851E-3</v>
      </c>
      <c r="D20" s="65">
        <f t="shared" si="1"/>
        <v>-6240.0443373810467</v>
      </c>
      <c r="E20" s="121">
        <v>0.4315468104876492</v>
      </c>
      <c r="F20" s="65">
        <f t="shared" si="2"/>
        <v>-2692.8712310983069</v>
      </c>
    </row>
    <row r="21" spans="1:6">
      <c r="A21" s="111" t="s">
        <v>82</v>
      </c>
      <c r="B21" s="112">
        <v>2331651.0916332435</v>
      </c>
      <c r="C21" s="113">
        <f t="shared" si="0"/>
        <v>3.2349054778593551E-3</v>
      </c>
      <c r="D21" s="65">
        <f t="shared" si="1"/>
        <v>-5672.4423393866355</v>
      </c>
      <c r="E21" s="121">
        <v>0.4315468104876492</v>
      </c>
      <c r="F21" s="65">
        <f t="shared" si="2"/>
        <v>-2447.9243992374018</v>
      </c>
    </row>
    <row r="22" spans="1:6">
      <c r="A22" s="111" t="s">
        <v>83</v>
      </c>
      <c r="B22" s="112">
        <v>1456817.5900686812</v>
      </c>
      <c r="C22" s="113">
        <f t="shared" si="0"/>
        <v>2.0211717007170122E-3</v>
      </c>
      <c r="D22" s="65">
        <f t="shared" si="1"/>
        <v>-3544.1468100959887</v>
      </c>
      <c r="E22" s="121">
        <v>0.4315468104876492</v>
      </c>
      <c r="F22" s="65">
        <f t="shared" si="2"/>
        <v>-1529.4652517969</v>
      </c>
    </row>
    <row r="23" spans="1:6">
      <c r="A23" s="111" t="s">
        <v>84</v>
      </c>
      <c r="B23" s="112">
        <v>79258.110327798699</v>
      </c>
      <c r="C23" s="113">
        <f t="shared" si="0"/>
        <v>1.0996177609257257E-4</v>
      </c>
      <c r="D23" s="65">
        <f t="shared" si="1"/>
        <v>-192.81918395786303</v>
      </c>
      <c r="E23" s="121">
        <v>0.4315468104876492</v>
      </c>
      <c r="F23" s="65">
        <f t="shared" si="2"/>
        <v>-83.210503837847085</v>
      </c>
    </row>
    <row r="24" spans="1:6">
      <c r="A24" s="111" t="s">
        <v>85</v>
      </c>
      <c r="B24" s="112">
        <v>403193.05711168441</v>
      </c>
      <c r="C24" s="113">
        <f t="shared" si="0"/>
        <v>5.5938533589596168E-4</v>
      </c>
      <c r="D24" s="65">
        <f t="shared" si="1"/>
        <v>-980.8883397322636</v>
      </c>
      <c r="E24" s="121">
        <v>0.4315468104876492</v>
      </c>
      <c r="F24" s="65">
        <f t="shared" si="2"/>
        <v>-423.29923445598405</v>
      </c>
    </row>
    <row r="25" spans="1:6">
      <c r="A25" s="111" t="s">
        <v>86</v>
      </c>
      <c r="B25" s="112">
        <v>52702.215563104975</v>
      </c>
      <c r="C25" s="113">
        <f t="shared" si="0"/>
        <v>7.3118438016810065E-5</v>
      </c>
      <c r="D25" s="65">
        <f t="shared" si="1"/>
        <v>-128.21398536529463</v>
      </c>
      <c r="E25" s="121">
        <v>0.4315468104876492</v>
      </c>
      <c r="F25" s="65">
        <f t="shared" si="2"/>
        <v>-55.330336444303029</v>
      </c>
    </row>
    <row r="26" spans="1:6">
      <c r="A26" s="111" t="s">
        <v>87</v>
      </c>
      <c r="B26" s="112">
        <v>6190567.4111850727</v>
      </c>
      <c r="C26" s="113">
        <f t="shared" si="0"/>
        <v>8.5887208859678592E-3</v>
      </c>
      <c r="D26" s="65">
        <f t="shared" si="1"/>
        <v>-15060.416549474387</v>
      </c>
      <c r="E26" s="121">
        <v>0.4315468104876492</v>
      </c>
      <c r="F26" s="65">
        <f t="shared" si="2"/>
        <v>-6499.274726541079</v>
      </c>
    </row>
    <row r="27" spans="1:6">
      <c r="A27" s="111" t="s">
        <v>88</v>
      </c>
      <c r="B27" s="112">
        <v>4723081.9555391781</v>
      </c>
      <c r="C27" s="113">
        <f t="shared" si="0"/>
        <v>6.5527487132091139E-3</v>
      </c>
      <c r="D27" s="65">
        <f t="shared" si="1"/>
        <v>-11490.316948848027</v>
      </c>
      <c r="E27" s="121">
        <v>0.4315468104876492</v>
      </c>
      <c r="F27" s="65">
        <f t="shared" si="2"/>
        <v>-4958.6096307675434</v>
      </c>
    </row>
    <row r="28" spans="1:6">
      <c r="A28" s="111" t="s">
        <v>89</v>
      </c>
      <c r="B28" s="112">
        <v>-161317.94583113727</v>
      </c>
      <c r="C28" s="113">
        <f t="shared" si="0"/>
        <v>-2.2381063295393282E-4</v>
      </c>
      <c r="D28" s="65">
        <f t="shared" si="1"/>
        <v>392.45440680168372</v>
      </c>
      <c r="E28" s="121">
        <v>0.4315468104876492</v>
      </c>
      <c r="F28" s="65">
        <f t="shared" si="2"/>
        <v>169.36244751708898</v>
      </c>
    </row>
    <row r="29" spans="1:6">
      <c r="A29" s="111" t="s">
        <v>247</v>
      </c>
      <c r="B29" s="112">
        <v>1311.1944205638315</v>
      </c>
      <c r="C29" s="113">
        <f t="shared" si="0"/>
        <v>1.8191358170357597E-6</v>
      </c>
      <c r="D29" s="65">
        <f t="shared" si="1"/>
        <v>-3.189874665666192</v>
      </c>
      <c r="E29" s="121">
        <v>0.4315468104876492</v>
      </c>
      <c r="F29" s="65">
        <f t="shared" si="2"/>
        <v>-1.3765802378236016</v>
      </c>
    </row>
    <row r="30" spans="1:6">
      <c r="A30" s="111" t="s">
        <v>90</v>
      </c>
      <c r="B30" s="112">
        <v>452155.93029737275</v>
      </c>
      <c r="C30" s="113">
        <f t="shared" si="0"/>
        <v>6.2731585399469195E-4</v>
      </c>
      <c r="D30" s="65">
        <f t="shared" si="1"/>
        <v>-1100.0052504540863</v>
      </c>
      <c r="E30" s="121">
        <v>0.4315468104876492</v>
      </c>
      <c r="F30" s="65">
        <f t="shared" si="2"/>
        <v>-474.70375735312871</v>
      </c>
    </row>
    <row r="31" spans="1:6">
      <c r="A31" s="111" t="s">
        <v>91</v>
      </c>
      <c r="B31" s="112">
        <v>79742.958680845288</v>
      </c>
      <c r="C31" s="113">
        <f t="shared" si="0"/>
        <v>1.1063444903185992E-4</v>
      </c>
      <c r="D31" s="65">
        <f t="shared" si="1"/>
        <v>-193.99872335630573</v>
      </c>
      <c r="E31" s="121">
        <v>0.4315468104876492</v>
      </c>
      <c r="F31" s="65">
        <f t="shared" si="2"/>
        <v>-83.719530303089556</v>
      </c>
    </row>
    <row r="32" spans="1:6">
      <c r="A32" s="111" t="s">
        <v>92</v>
      </c>
      <c r="B32" s="112">
        <v>367736.74667576206</v>
      </c>
      <c r="C32" s="113">
        <f t="shared" si="0"/>
        <v>5.1019366512436903E-4</v>
      </c>
      <c r="D32" s="65">
        <f t="shared" si="1"/>
        <v>-894.63020392589749</v>
      </c>
      <c r="E32" s="121">
        <v>0.4315468104876492</v>
      </c>
      <c r="F32" s="65">
        <f t="shared" si="2"/>
        <v>-386.07481107013626</v>
      </c>
    </row>
    <row r="33" spans="1:6">
      <c r="A33" s="111" t="s">
        <v>93</v>
      </c>
      <c r="B33" s="112">
        <v>467801.45893754932</v>
      </c>
      <c r="C33" s="113">
        <f t="shared" si="0"/>
        <v>6.4902227760314899E-4</v>
      </c>
      <c r="D33" s="65">
        <f t="shared" si="1"/>
        <v>-1138.0677030221755</v>
      </c>
      <c r="E33" s="121">
        <v>0.4315468104876492</v>
      </c>
      <c r="F33" s="65">
        <f t="shared" si="2"/>
        <v>-491.12948735822499</v>
      </c>
    </row>
    <row r="34" spans="1:6">
      <c r="A34" s="111" t="s">
        <v>94</v>
      </c>
      <c r="B34" s="112">
        <v>812686.89522879315</v>
      </c>
      <c r="C34" s="113">
        <f t="shared" si="0"/>
        <v>1.1275123017306301E-3</v>
      </c>
      <c r="D34" s="65">
        <f t="shared" si="1"/>
        <v>-1977.1052237199788</v>
      </c>
      <c r="E34" s="121">
        <v>0.4315468104876492</v>
      </c>
      <c r="F34" s="65">
        <f t="shared" si="2"/>
        <v>-853.21345329482699</v>
      </c>
    </row>
    <row r="35" spans="1:6">
      <c r="A35" s="111" t="s">
        <v>95</v>
      </c>
      <c r="B35" s="112">
        <v>269689.6085234019</v>
      </c>
      <c r="C35" s="113">
        <f t="shared" si="0"/>
        <v>3.7416421138850432E-4</v>
      </c>
      <c r="D35" s="65">
        <f t="shared" si="1"/>
        <v>-656.10106047606757</v>
      </c>
      <c r="E35" s="121">
        <v>0.4315468104876492</v>
      </c>
      <c r="F35" s="65">
        <f t="shared" si="2"/>
        <v>-283.13832000601121</v>
      </c>
    </row>
    <row r="36" spans="1:6">
      <c r="A36" s="111" t="s">
        <v>96</v>
      </c>
      <c r="B36" s="112">
        <v>786296.14820848405</v>
      </c>
      <c r="C36" s="113">
        <f t="shared" si="0"/>
        <v>1.0908980877055812E-3</v>
      </c>
      <c r="D36" s="65">
        <f t="shared" si="1"/>
        <v>-1912.9017966707013</v>
      </c>
      <c r="E36" s="121">
        <v>0.4315468104876492</v>
      </c>
      <c r="F36" s="65">
        <f t="shared" si="2"/>
        <v>-825.5066691293348</v>
      </c>
    </row>
    <row r="37" spans="1:6">
      <c r="A37" s="111" t="s">
        <v>97</v>
      </c>
      <c r="B37" s="112">
        <v>266722.18023110693</v>
      </c>
      <c r="C37" s="113">
        <f t="shared" si="0"/>
        <v>3.7004723605186602E-4</v>
      </c>
      <c r="D37" s="65">
        <f t="shared" si="1"/>
        <v>-648.88189893654362</v>
      </c>
      <c r="E37" s="121">
        <v>0.4315468104876492</v>
      </c>
      <c r="F37" s="65">
        <f t="shared" si="2"/>
        <v>-280.02291386923451</v>
      </c>
    </row>
    <row r="38" spans="1:6">
      <c r="A38" s="111" t="s">
        <v>98</v>
      </c>
      <c r="B38" s="112">
        <v>1247.6556884764952</v>
      </c>
      <c r="C38" s="113">
        <f t="shared" si="0"/>
        <v>1.7309829226241063E-6</v>
      </c>
      <c r="D38" s="65">
        <f t="shared" si="1"/>
        <v>-3.0352975956335193</v>
      </c>
      <c r="E38" s="121">
        <v>0.4315468104876492</v>
      </c>
      <c r="F38" s="65">
        <f t="shared" si="2"/>
        <v>-1.3098729962764757</v>
      </c>
    </row>
    <row r="39" spans="1:6">
      <c r="A39" s="111" t="s">
        <v>99</v>
      </c>
      <c r="B39" s="112">
        <v>5208058.6575879036</v>
      </c>
      <c r="C39" s="113">
        <f t="shared" si="0"/>
        <v>7.2255997224021989E-3</v>
      </c>
      <c r="D39" s="65">
        <f t="shared" si="1"/>
        <v>-12670.168594829202</v>
      </c>
      <c r="E39" s="121">
        <v>0.4315468104876492</v>
      </c>
      <c r="F39" s="65">
        <f t="shared" si="2"/>
        <v>-5467.7708454393223</v>
      </c>
    </row>
    <row r="40" spans="1:6">
      <c r="A40" s="111" t="s">
        <v>100</v>
      </c>
      <c r="B40" s="112">
        <v>2853050.6715546697</v>
      </c>
      <c r="C40" s="113">
        <f t="shared" si="0"/>
        <v>3.9582891621909276E-3</v>
      </c>
      <c r="D40" s="65">
        <f t="shared" si="1"/>
        <v>-6940.9035870825755</v>
      </c>
      <c r="E40" s="121">
        <v>0.4315468104876492</v>
      </c>
      <c r="F40" s="65">
        <f t="shared" si="2"/>
        <v>-2995.3248049077688</v>
      </c>
    </row>
    <row r="41" spans="1:6">
      <c r="A41" s="111" t="s">
        <v>101</v>
      </c>
      <c r="B41" s="112">
        <v>284664.79037469777</v>
      </c>
      <c r="C41" s="113">
        <f t="shared" si="0"/>
        <v>3.9494060369545282E-4</v>
      </c>
      <c r="D41" s="65">
        <f t="shared" si="1"/>
        <v>-692.53269292661719</v>
      </c>
      <c r="E41" s="121">
        <v>0.4315468104876492</v>
      </c>
      <c r="F41" s="65">
        <f t="shared" si="2"/>
        <v>-298.86027479090421</v>
      </c>
    </row>
    <row r="42" spans="1:6">
      <c r="A42" s="111" t="s">
        <v>102</v>
      </c>
      <c r="B42" s="112">
        <v>2310500.9645606573</v>
      </c>
      <c r="C42" s="113">
        <f t="shared" si="0"/>
        <v>3.2055620387101444E-3</v>
      </c>
      <c r="D42" s="65">
        <f t="shared" si="1"/>
        <v>-5620.9882960606637</v>
      </c>
      <c r="E42" s="121">
        <v>0.4315468104876492</v>
      </c>
      <c r="F42" s="65">
        <f t="shared" si="2"/>
        <v>-2425.7195709533853</v>
      </c>
    </row>
    <row r="43" spans="1:6">
      <c r="A43" s="111" t="s">
        <v>103</v>
      </c>
      <c r="B43" s="112">
        <v>98635.380043815821</v>
      </c>
      <c r="C43" s="113">
        <f t="shared" si="0"/>
        <v>1.368455736621284E-4</v>
      </c>
      <c r="D43" s="65">
        <f t="shared" si="1"/>
        <v>-239.96021871785243</v>
      </c>
      <c r="E43" s="121">
        <v>0.4315468104876492</v>
      </c>
      <c r="F43" s="65">
        <f t="shared" si="2"/>
        <v>-103.55406703160791</v>
      </c>
    </row>
    <row r="44" spans="1:6">
      <c r="A44" s="111" t="s">
        <v>104</v>
      </c>
      <c r="B44" s="112">
        <v>558052.54233984603</v>
      </c>
      <c r="C44" s="113">
        <f t="shared" si="0"/>
        <v>7.7423557608012118E-4</v>
      </c>
      <c r="D44" s="65">
        <f t="shared" si="1"/>
        <v>-1357.6305992478294</v>
      </c>
      <c r="E44" s="121">
        <v>0.4315468104876492</v>
      </c>
      <c r="F44" s="65">
        <f t="shared" si="2"/>
        <v>-585.88115492583665</v>
      </c>
    </row>
    <row r="45" spans="1:6">
      <c r="A45" s="111" t="s">
        <v>105</v>
      </c>
      <c r="B45" s="112">
        <v>33407093.329972368</v>
      </c>
      <c r="C45" s="113">
        <f t="shared" si="0"/>
        <v>4.6348610905068033E-2</v>
      </c>
      <c r="D45" s="65">
        <f t="shared" si="1"/>
        <v>-81272.799056756747</v>
      </c>
      <c r="E45" s="121">
        <v>0.4315468104876492</v>
      </c>
      <c r="F45" s="65">
        <f t="shared" si="2"/>
        <v>-35073.017212346997</v>
      </c>
    </row>
    <row r="46" spans="1:6">
      <c r="A46" s="111" t="s">
        <v>106</v>
      </c>
      <c r="B46" s="112">
        <v>5257515.5420819223</v>
      </c>
      <c r="C46" s="113">
        <f t="shared" si="0"/>
        <v>7.2942156260173028E-3</v>
      </c>
      <c r="D46" s="65">
        <f t="shared" si="1"/>
        <v>-12790.487336593227</v>
      </c>
      <c r="E46" s="121">
        <v>0.4315468104876492</v>
      </c>
      <c r="F46" s="65">
        <f t="shared" si="2"/>
        <v>-5519.694014689474</v>
      </c>
    </row>
    <row r="47" spans="1:6">
      <c r="A47" s="111" t="s">
        <v>107</v>
      </c>
      <c r="B47" s="112">
        <v>9237884.6880520359</v>
      </c>
      <c r="C47" s="113">
        <f t="shared" si="0"/>
        <v>1.2816533266253002E-2</v>
      </c>
      <c r="D47" s="65">
        <f t="shared" si="1"/>
        <v>-22473.932064240569</v>
      </c>
      <c r="E47" s="121">
        <v>0.4315468104876492</v>
      </c>
      <c r="F47" s="65">
        <f t="shared" si="2"/>
        <v>-9698.5537014391284</v>
      </c>
    </row>
    <row r="48" spans="1:6">
      <c r="A48" s="111" t="s">
        <v>108</v>
      </c>
      <c r="B48" s="112">
        <v>1261363.0344351323</v>
      </c>
      <c r="C48" s="113">
        <f t="shared" si="0"/>
        <v>1.7500003342289653E-3</v>
      </c>
      <c r="D48" s="65">
        <f t="shared" si="1"/>
        <v>-3068.644836074167</v>
      </c>
      <c r="E48" s="121">
        <v>0.4315468104876492</v>
      </c>
      <c r="F48" s="65">
        <f t="shared" si="2"/>
        <v>-1324.2638915272018</v>
      </c>
    </row>
    <row r="49" spans="1:6">
      <c r="A49" s="111" t="s">
        <v>109</v>
      </c>
      <c r="B49" s="112">
        <v>87128.565326542273</v>
      </c>
      <c r="C49" s="113">
        <f t="shared" si="0"/>
        <v>1.208811533870747E-4</v>
      </c>
      <c r="D49" s="65">
        <f t="shared" si="1"/>
        <v>-211.96643215692274</v>
      </c>
      <c r="E49" s="121">
        <v>0.4315468104876492</v>
      </c>
      <c r="F49" s="65">
        <f t="shared" si="2"/>
        <v>-91.473437727766694</v>
      </c>
    </row>
    <row r="50" spans="1:6">
      <c r="A50" s="111" t="s">
        <v>110</v>
      </c>
      <c r="B50" s="112">
        <v>350055.48521354067</v>
      </c>
      <c r="C50" s="113">
        <f t="shared" si="0"/>
        <v>4.8566288958730588E-4</v>
      </c>
      <c r="D50" s="65">
        <f t="shared" si="1"/>
        <v>-851.61521918312633</v>
      </c>
      <c r="E50" s="121">
        <v>0.4315468104876492</v>
      </c>
      <c r="F50" s="65">
        <f t="shared" si="2"/>
        <v>-367.51183160121843</v>
      </c>
    </row>
    <row r="51" spans="1:6">
      <c r="A51" s="111" t="s">
        <v>111</v>
      </c>
      <c r="B51" s="112">
        <v>178675.70806359255</v>
      </c>
      <c r="C51" s="113">
        <f t="shared" si="0"/>
        <v>2.4789258943989153E-4</v>
      </c>
      <c r="D51" s="65">
        <f t="shared" si="1"/>
        <v>-434.68238240133365</v>
      </c>
      <c r="E51" s="121">
        <v>0.4315468104876492</v>
      </c>
      <c r="F51" s="65">
        <f t="shared" si="2"/>
        <v>-187.5857957004682</v>
      </c>
    </row>
    <row r="52" spans="1:6">
      <c r="A52" s="111" t="s">
        <v>112</v>
      </c>
      <c r="B52" s="112">
        <v>1924960.8519623496</v>
      </c>
      <c r="C52" s="113">
        <f t="shared" si="0"/>
        <v>2.6706681917473187E-3</v>
      </c>
      <c r="D52" s="65">
        <f t="shared" si="1"/>
        <v>-4683.0460515790328</v>
      </c>
      <c r="E52" s="121">
        <v>0.4315468104876492</v>
      </c>
      <c r="F52" s="65">
        <f t="shared" si="2"/>
        <v>-2020.9535869257106</v>
      </c>
    </row>
    <row r="53" spans="1:6">
      <c r="A53" s="111" t="s">
        <v>113</v>
      </c>
      <c r="B53" s="112">
        <v>2606785.9351851074</v>
      </c>
      <c r="C53" s="113">
        <f t="shared" si="0"/>
        <v>3.616624344695671E-3</v>
      </c>
      <c r="D53" s="65">
        <f t="shared" si="1"/>
        <v>-6341.7905712916508</v>
      </c>
      <c r="E53" s="121">
        <v>0.4315468104876492</v>
      </c>
      <c r="F53" s="65">
        <f t="shared" si="2"/>
        <v>-2736.7794938215584</v>
      </c>
    </row>
    <row r="54" spans="1:6">
      <c r="A54" s="111" t="s">
        <v>114</v>
      </c>
      <c r="B54" s="112">
        <v>7714681.8717010133</v>
      </c>
      <c r="C54" s="113">
        <f t="shared" si="0"/>
        <v>1.0703259478341094E-2</v>
      </c>
      <c r="D54" s="65">
        <f t="shared" si="1"/>
        <v>-18768.28323112537</v>
      </c>
      <c r="E54" s="121">
        <v>0.4315468104876492</v>
      </c>
      <c r="F54" s="65">
        <f t="shared" si="2"/>
        <v>-8099.3927667209846</v>
      </c>
    </row>
    <row r="55" spans="1:6">
      <c r="A55" s="111" t="s">
        <v>115</v>
      </c>
      <c r="B55" s="112">
        <v>-2097660.7125180848</v>
      </c>
      <c r="C55" s="113">
        <f t="shared" si="0"/>
        <v>-2.9102699601859946E-3</v>
      </c>
      <c r="D55" s="65">
        <f t="shared" si="1"/>
        <v>5103.1903881557037</v>
      </c>
      <c r="E55" s="121">
        <v>0.4315468104876492</v>
      </c>
      <c r="F55" s="65">
        <f t="shared" si="2"/>
        <v>2202.2655353198224</v>
      </c>
    </row>
    <row r="56" spans="1:6">
      <c r="A56" s="111" t="s">
        <v>116</v>
      </c>
      <c r="B56" s="112">
        <v>75551.557020683598</v>
      </c>
      <c r="C56" s="113">
        <f t="shared" si="0"/>
        <v>1.048193473474701E-4</v>
      </c>
      <c r="D56" s="65">
        <f t="shared" si="1"/>
        <v>-183.80187858660963</v>
      </c>
      <c r="E56" s="121">
        <v>0.4315468104876492</v>
      </c>
      <c r="F56" s="65">
        <f t="shared" si="2"/>
        <v>-79.319114465689537</v>
      </c>
    </row>
    <row r="57" spans="1:6">
      <c r="A57" s="111" t="s">
        <v>117</v>
      </c>
      <c r="B57" s="112">
        <v>3093.5974698661194</v>
      </c>
      <c r="C57" s="113">
        <f t="shared" si="0"/>
        <v>4.2920209792417251E-6</v>
      </c>
      <c r="D57" s="65">
        <f t="shared" si="1"/>
        <v>-7.5261059993311363</v>
      </c>
      <c r="E57" s="121">
        <v>0.4315468104876492</v>
      </c>
      <c r="F57" s="65">
        <f t="shared" si="2"/>
        <v>-3.2478670394033138</v>
      </c>
    </row>
    <row r="58" spans="1:6">
      <c r="A58" s="111" t="s">
        <v>467</v>
      </c>
      <c r="B58" s="112">
        <v>-275.37921226405251</v>
      </c>
      <c r="C58" s="113">
        <f t="shared" si="0"/>
        <v>-3.8205790113201885E-7</v>
      </c>
      <c r="D58" s="65">
        <f t="shared" si="1"/>
        <v>0.66994273227190748</v>
      </c>
      <c r="E58" s="121">
        <v>0</v>
      </c>
      <c r="F58" s="65">
        <f t="shared" si="2"/>
        <v>0</v>
      </c>
    </row>
    <row r="59" spans="1:6">
      <c r="A59" s="111" t="s">
        <v>468</v>
      </c>
      <c r="B59" s="112">
        <v>827.03451046563214</v>
      </c>
      <c r="C59" s="113">
        <f t="shared" si="0"/>
        <v>1.1474180154501549E-6</v>
      </c>
      <c r="D59" s="65">
        <f t="shared" si="1"/>
        <v>-2.0120101116900164</v>
      </c>
      <c r="E59" s="121">
        <v>0</v>
      </c>
      <c r="F59" s="65">
        <f t="shared" si="2"/>
        <v>0</v>
      </c>
    </row>
    <row r="60" spans="1:6">
      <c r="A60" s="111" t="s">
        <v>118</v>
      </c>
      <c r="B60" s="112">
        <v>13614704.339095268</v>
      </c>
      <c r="C60" s="113">
        <f t="shared" si="0"/>
        <v>1.8888881704476921E-2</v>
      </c>
      <c r="D60" s="65">
        <f t="shared" si="1"/>
        <v>-33121.861846499029</v>
      </c>
      <c r="E60" s="121">
        <v>0.48091933708169576</v>
      </c>
      <c r="F60" s="65">
        <f t="shared" si="2"/>
        <v>-15928.943842129824</v>
      </c>
    </row>
    <row r="61" spans="1:6">
      <c r="A61" s="111" t="s">
        <v>469</v>
      </c>
      <c r="B61" s="112">
        <v>-4275.4367445494172</v>
      </c>
      <c r="C61" s="113">
        <f t="shared" si="0"/>
        <v>-5.931690978471475E-6</v>
      </c>
      <c r="D61" s="65">
        <f t="shared" si="1"/>
        <v>10.401285379350494</v>
      </c>
      <c r="E61" s="121">
        <v>0</v>
      </c>
      <c r="F61" s="65">
        <f t="shared" si="2"/>
        <v>0</v>
      </c>
    </row>
    <row r="62" spans="1:6">
      <c r="A62" s="111" t="s">
        <v>470</v>
      </c>
      <c r="B62" s="112">
        <v>-1.8015462484564178</v>
      </c>
      <c r="C62" s="113">
        <f t="shared" si="0"/>
        <v>-2.4994442130132065E-9</v>
      </c>
      <c r="D62" s="65">
        <f t="shared" si="1"/>
        <v>4.3828029214050008E-3</v>
      </c>
      <c r="E62" s="121">
        <v>0</v>
      </c>
      <c r="F62" s="65">
        <f t="shared" si="2"/>
        <v>0</v>
      </c>
    </row>
    <row r="63" spans="1:6">
      <c r="A63" s="111" t="s">
        <v>119</v>
      </c>
      <c r="B63" s="112">
        <v>13325693.753062269</v>
      </c>
      <c r="C63" s="113">
        <f t="shared" si="0"/>
        <v>1.848791179466824E-2</v>
      </c>
      <c r="D63" s="65">
        <f t="shared" si="1"/>
        <v>-32418.756698980502</v>
      </c>
      <c r="E63" s="121">
        <v>0.48091933708169576</v>
      </c>
      <c r="F63" s="65">
        <f t="shared" si="2"/>
        <v>-15590.806980686486</v>
      </c>
    </row>
    <row r="64" spans="1:6">
      <c r="A64" s="111" t="s">
        <v>120</v>
      </c>
      <c r="B64" s="112">
        <v>74306.38542993179</v>
      </c>
      <c r="C64" s="113">
        <f t="shared" si="0"/>
        <v>1.0309181083300113E-4</v>
      </c>
      <c r="D64" s="65">
        <f t="shared" si="1"/>
        <v>-180.77262430558665</v>
      </c>
      <c r="E64" s="121">
        <v>0</v>
      </c>
      <c r="F64" s="65">
        <f t="shared" si="2"/>
        <v>0</v>
      </c>
    </row>
    <row r="65" spans="1:6">
      <c r="A65" s="111" t="s">
        <v>248</v>
      </c>
      <c r="B65" s="112">
        <v>112541.48407023988</v>
      </c>
      <c r="C65" s="113">
        <f t="shared" si="0"/>
        <v>1.5613873988763377E-4</v>
      </c>
      <c r="D65" s="65">
        <f t="shared" si="1"/>
        <v>-273.7909979191046</v>
      </c>
      <c r="E65" s="121">
        <v>0</v>
      </c>
      <c r="F65" s="65">
        <f t="shared" si="2"/>
        <v>0</v>
      </c>
    </row>
    <row r="66" spans="1:6">
      <c r="A66" s="111" t="s">
        <v>121</v>
      </c>
      <c r="B66" s="112">
        <v>685628.92324557155</v>
      </c>
      <c r="C66" s="113">
        <f t="shared" si="0"/>
        <v>9.5123355614596468E-4</v>
      </c>
      <c r="D66" s="65">
        <f t="shared" si="1"/>
        <v>-1667.9985042710666</v>
      </c>
      <c r="E66" s="121">
        <v>0</v>
      </c>
      <c r="F66" s="65">
        <f t="shared" si="2"/>
        <v>0</v>
      </c>
    </row>
    <row r="67" spans="1:6">
      <c r="A67" s="111" t="s">
        <v>122</v>
      </c>
      <c r="B67" s="112">
        <v>26885.303749281906</v>
      </c>
      <c r="C67" s="113">
        <f t="shared" si="0"/>
        <v>3.7300356251648324E-5</v>
      </c>
      <c r="D67" s="65">
        <f t="shared" si="1"/>
        <v>-65.406584991184104</v>
      </c>
      <c r="E67" s="121">
        <v>0.48091933708169576</v>
      </c>
      <c r="F67" s="65">
        <f t="shared" si="2"/>
        <v>-31.45529149473785</v>
      </c>
    </row>
    <row r="68" spans="1:6">
      <c r="A68" s="111" t="s">
        <v>123</v>
      </c>
      <c r="B68" s="112">
        <v>762439.97745378676</v>
      </c>
      <c r="C68" s="113">
        <f t="shared" si="0"/>
        <v>1.0578003151734733E-3</v>
      </c>
      <c r="D68" s="65">
        <f t="shared" si="1"/>
        <v>-1854.8644884601522</v>
      </c>
      <c r="E68" s="121">
        <v>1</v>
      </c>
      <c r="F68" s="65">
        <f t="shared" si="2"/>
        <v>-1854.8644884601522</v>
      </c>
    </row>
    <row r="69" spans="1:6">
      <c r="A69" s="111" t="s">
        <v>124</v>
      </c>
      <c r="B69" s="112">
        <v>166503.63985990189</v>
      </c>
      <c r="C69" s="113">
        <f t="shared" si="0"/>
        <v>2.3100520425164904E-4</v>
      </c>
      <c r="D69" s="65">
        <f t="shared" si="1"/>
        <v>-405.07016671251336</v>
      </c>
      <c r="E69" s="121">
        <v>0</v>
      </c>
      <c r="F69" s="65">
        <f t="shared" si="2"/>
        <v>0</v>
      </c>
    </row>
    <row r="70" spans="1:6">
      <c r="A70" s="111" t="s">
        <v>125</v>
      </c>
      <c r="B70" s="112">
        <v>398651.34160939412</v>
      </c>
      <c r="C70" s="113">
        <f t="shared" si="0"/>
        <v>5.5308421288061962E-4</v>
      </c>
      <c r="D70" s="65">
        <f t="shared" si="1"/>
        <v>-969.8392512125082</v>
      </c>
      <c r="E70" s="121">
        <v>0</v>
      </c>
      <c r="F70" s="65">
        <f t="shared" si="2"/>
        <v>0</v>
      </c>
    </row>
    <row r="71" spans="1:6">
      <c r="A71" s="111" t="s">
        <v>126</v>
      </c>
      <c r="B71" s="112">
        <v>322791.02802555112</v>
      </c>
      <c r="C71" s="113">
        <f t="shared" si="0"/>
        <v>4.4783650028541874E-4</v>
      </c>
      <c r="D71" s="65">
        <f t="shared" si="1"/>
        <v>-785.28622945198492</v>
      </c>
      <c r="E71" s="121">
        <v>0</v>
      </c>
      <c r="F71" s="65">
        <f t="shared" si="2"/>
        <v>0</v>
      </c>
    </row>
    <row r="72" spans="1:6">
      <c r="A72" s="111" t="s">
        <v>249</v>
      </c>
      <c r="B72" s="112">
        <v>179362.06376902136</v>
      </c>
      <c r="C72" s="113">
        <f t="shared" si="0"/>
        <v>2.4884483132514562E-4</v>
      </c>
      <c r="D72" s="65">
        <f t="shared" si="1"/>
        <v>-436.3521490217874</v>
      </c>
      <c r="E72" s="121">
        <v>0</v>
      </c>
      <c r="F72" s="65">
        <f t="shared" si="2"/>
        <v>0</v>
      </c>
    </row>
    <row r="73" spans="1:6">
      <c r="A73" s="111" t="s">
        <v>127</v>
      </c>
      <c r="B73" s="112">
        <v>2553634.3970075226</v>
      </c>
      <c r="C73" s="113">
        <f t="shared" si="0"/>
        <v>3.5428825217341227E-3</v>
      </c>
      <c r="D73" s="65">
        <f t="shared" si="1"/>
        <v>-6212.4834735685236</v>
      </c>
      <c r="E73" s="121">
        <v>0</v>
      </c>
      <c r="F73" s="65">
        <f t="shared" si="2"/>
        <v>0</v>
      </c>
    </row>
    <row r="74" spans="1:6">
      <c r="A74" s="111" t="s">
        <v>128</v>
      </c>
      <c r="B74" s="112">
        <v>23019.132284173938</v>
      </c>
      <c r="C74" s="113">
        <f t="shared" si="0"/>
        <v>3.1936475139375748E-5</v>
      </c>
      <c r="D74" s="65">
        <f t="shared" si="1"/>
        <v>-56.000960458121909</v>
      </c>
      <c r="E74" s="121">
        <v>0.48091933708169576</v>
      </c>
      <c r="F74" s="65">
        <f t="shared" si="2"/>
        <v>-26.931944779458245</v>
      </c>
    </row>
    <row r="75" spans="1:6">
      <c r="A75" s="111" t="s">
        <v>129</v>
      </c>
      <c r="B75" s="112">
        <v>1333477.6216818222</v>
      </c>
      <c r="C75" s="113">
        <f t="shared" ref="C75:C138" si="3">B75/$B$216</f>
        <v>1.8500512698749483E-3</v>
      </c>
      <c r="D75" s="65">
        <f t="shared" ref="D75:D138" si="4">$D$216*C75</f>
        <v>-3244.0852522896903</v>
      </c>
      <c r="E75" s="121">
        <v>1</v>
      </c>
      <c r="F75" s="65">
        <f t="shared" ref="F75:F138" si="5">D75*E75</f>
        <v>-3244.0852522896903</v>
      </c>
    </row>
    <row r="76" spans="1:6">
      <c r="A76" s="111" t="s">
        <v>130</v>
      </c>
      <c r="B76" s="112">
        <v>295369.59900665411</v>
      </c>
      <c r="C76" s="113">
        <f t="shared" si="3"/>
        <v>4.0979233009963591E-4</v>
      </c>
      <c r="D76" s="65">
        <f t="shared" si="4"/>
        <v>-718.57535854534262</v>
      </c>
      <c r="E76" s="121">
        <v>0</v>
      </c>
      <c r="F76" s="65">
        <f t="shared" si="5"/>
        <v>0</v>
      </c>
    </row>
    <row r="77" spans="1:6">
      <c r="A77" s="111" t="s">
        <v>131</v>
      </c>
      <c r="B77" s="112">
        <v>213188.51558265023</v>
      </c>
      <c r="C77" s="113">
        <f t="shared" si="3"/>
        <v>2.9577525528999565E-4</v>
      </c>
      <c r="D77" s="65">
        <f t="shared" si="4"/>
        <v>-518.64516367881561</v>
      </c>
      <c r="E77" s="121">
        <v>0</v>
      </c>
      <c r="F77" s="65">
        <f t="shared" si="5"/>
        <v>0</v>
      </c>
    </row>
    <row r="78" spans="1:6">
      <c r="A78" s="111" t="s">
        <v>132</v>
      </c>
      <c r="B78" s="112">
        <v>151952.91664653234</v>
      </c>
      <c r="C78" s="113">
        <f t="shared" si="3"/>
        <v>2.1081770089891827E-4</v>
      </c>
      <c r="D78" s="65">
        <f t="shared" si="4"/>
        <v>-369.67115752096311</v>
      </c>
      <c r="E78" s="121">
        <v>0</v>
      </c>
      <c r="F78" s="65">
        <f t="shared" si="5"/>
        <v>0</v>
      </c>
    </row>
    <row r="79" spans="1:6">
      <c r="A79" s="111" t="s">
        <v>133</v>
      </c>
      <c r="B79" s="112">
        <v>223278.38114567159</v>
      </c>
      <c r="C79" s="113">
        <f t="shared" si="3"/>
        <v>3.0977381686629878E-4</v>
      </c>
      <c r="D79" s="65">
        <f t="shared" si="4"/>
        <v>-543.19179538704043</v>
      </c>
      <c r="E79" s="121">
        <v>0.48091933708169576</v>
      </c>
      <c r="F79" s="65">
        <f t="shared" si="5"/>
        <v>-261.23143814575161</v>
      </c>
    </row>
    <row r="80" spans="1:6">
      <c r="A80" s="111" t="s">
        <v>134</v>
      </c>
      <c r="B80" s="112">
        <v>187695.79552058686</v>
      </c>
      <c r="C80" s="113">
        <f t="shared" si="3"/>
        <v>2.6040695337285985E-4</v>
      </c>
      <c r="D80" s="65">
        <f t="shared" si="4"/>
        <v>-456.62645721579685</v>
      </c>
      <c r="E80" s="121">
        <v>0</v>
      </c>
      <c r="F80" s="65">
        <f t="shared" si="5"/>
        <v>0</v>
      </c>
    </row>
    <row r="81" spans="1:6">
      <c r="A81" s="111" t="s">
        <v>250</v>
      </c>
      <c r="B81" s="112">
        <v>262871.26230503537</v>
      </c>
      <c r="C81" s="113">
        <f t="shared" si="3"/>
        <v>3.6470451752140625E-4</v>
      </c>
      <c r="D81" s="65">
        <f t="shared" si="4"/>
        <v>-639.51338322347863</v>
      </c>
      <c r="E81" s="121">
        <v>0</v>
      </c>
      <c r="F81" s="65">
        <f t="shared" si="5"/>
        <v>0</v>
      </c>
    </row>
    <row r="82" spans="1:6">
      <c r="A82" s="111" t="s">
        <v>135</v>
      </c>
      <c r="B82" s="112">
        <v>2380920.5109671378</v>
      </c>
      <c r="C82" s="113">
        <f t="shared" si="3"/>
        <v>3.3032612945019398E-3</v>
      </c>
      <c r="D82" s="65">
        <f t="shared" si="4"/>
        <v>-5792.3050157833914</v>
      </c>
      <c r="E82" s="121">
        <v>0</v>
      </c>
      <c r="F82" s="65">
        <f t="shared" si="5"/>
        <v>0</v>
      </c>
    </row>
    <row r="83" spans="1:6">
      <c r="A83" s="111" t="s">
        <v>136</v>
      </c>
      <c r="B83" s="112">
        <v>1081581.5492886757</v>
      </c>
      <c r="C83" s="113">
        <f t="shared" si="3"/>
        <v>1.5005736025859439E-3</v>
      </c>
      <c r="D83" s="65">
        <f t="shared" si="4"/>
        <v>-2631.2723184440811</v>
      </c>
      <c r="E83" s="121">
        <v>0.48091933708169576</v>
      </c>
      <c r="F83" s="65">
        <f t="shared" si="5"/>
        <v>-1265.4297390675442</v>
      </c>
    </row>
    <row r="84" spans="1:6">
      <c r="A84" s="111" t="s">
        <v>137</v>
      </c>
      <c r="B84" s="112">
        <v>1168280.912787444</v>
      </c>
      <c r="C84" s="113">
        <f t="shared" si="3"/>
        <v>1.620859286372633E-3</v>
      </c>
      <c r="D84" s="65">
        <f t="shared" si="4"/>
        <v>-2842.1945881065622</v>
      </c>
      <c r="E84" s="121">
        <v>1</v>
      </c>
      <c r="F84" s="65">
        <f t="shared" si="5"/>
        <v>-2842.1945881065622</v>
      </c>
    </row>
    <row r="85" spans="1:6">
      <c r="A85" s="111" t="s">
        <v>138</v>
      </c>
      <c r="B85" s="112">
        <v>355521.89318803372</v>
      </c>
      <c r="C85" s="113">
        <f t="shared" si="3"/>
        <v>4.9324692013302319E-4</v>
      </c>
      <c r="D85" s="65">
        <f t="shared" si="4"/>
        <v>-864.9139001693776</v>
      </c>
      <c r="E85" s="121">
        <v>0</v>
      </c>
      <c r="F85" s="65">
        <f t="shared" si="5"/>
        <v>0</v>
      </c>
    </row>
    <row r="86" spans="1:6">
      <c r="A86" s="111" t="s">
        <v>139</v>
      </c>
      <c r="B86" s="112">
        <v>413488.02728500485</v>
      </c>
      <c r="C86" s="113">
        <f t="shared" si="3"/>
        <v>5.7366845721182943E-4</v>
      </c>
      <c r="D86" s="65">
        <f t="shared" si="4"/>
        <v>-1005.9339500739723</v>
      </c>
      <c r="E86" s="121">
        <v>0</v>
      </c>
      <c r="F86" s="65">
        <f t="shared" si="5"/>
        <v>0</v>
      </c>
    </row>
    <row r="87" spans="1:6">
      <c r="A87" s="111" t="s">
        <v>140</v>
      </c>
      <c r="B87" s="112">
        <v>47763.669846633056</v>
      </c>
      <c r="C87" s="113">
        <f t="shared" si="3"/>
        <v>6.6266757399499772E-5</v>
      </c>
      <c r="D87" s="65">
        <f t="shared" si="4"/>
        <v>-116.19948803435425</v>
      </c>
      <c r="E87" s="121">
        <v>0</v>
      </c>
      <c r="F87" s="65">
        <f t="shared" si="5"/>
        <v>0</v>
      </c>
    </row>
    <row r="88" spans="1:6">
      <c r="A88" s="111" t="s">
        <v>141</v>
      </c>
      <c r="B88" s="112">
        <v>508016.81043554557</v>
      </c>
      <c r="C88" s="113">
        <f t="shared" si="3"/>
        <v>7.0481658633215441E-4</v>
      </c>
      <c r="D88" s="65">
        <f t="shared" si="4"/>
        <v>-1235.9036371158825</v>
      </c>
      <c r="E88" s="121">
        <v>0</v>
      </c>
      <c r="F88" s="65">
        <f t="shared" si="5"/>
        <v>0</v>
      </c>
    </row>
    <row r="89" spans="1:6">
      <c r="A89" s="111" t="s">
        <v>251</v>
      </c>
      <c r="B89" s="112">
        <v>319313.26703597087</v>
      </c>
      <c r="C89" s="113">
        <f t="shared" si="3"/>
        <v>4.4301149532809543E-4</v>
      </c>
      <c r="D89" s="65">
        <f t="shared" si="4"/>
        <v>-776.82553018426393</v>
      </c>
      <c r="E89" s="121">
        <v>0</v>
      </c>
      <c r="F89" s="65">
        <f t="shared" si="5"/>
        <v>0</v>
      </c>
    </row>
    <row r="90" spans="1:6">
      <c r="A90" s="111" t="s">
        <v>142</v>
      </c>
      <c r="B90" s="112">
        <v>3688001.0267642145</v>
      </c>
      <c r="C90" s="113">
        <f t="shared" si="3"/>
        <v>5.1166895281376272E-3</v>
      </c>
      <c r="D90" s="65">
        <f t="shared" si="4"/>
        <v>-8972.1713711741395</v>
      </c>
      <c r="E90" s="121">
        <v>0</v>
      </c>
      <c r="F90" s="65">
        <f t="shared" si="5"/>
        <v>0</v>
      </c>
    </row>
    <row r="91" spans="1:6">
      <c r="A91" s="111" t="s">
        <v>143</v>
      </c>
      <c r="B91" s="112">
        <v>4497278.3476008773</v>
      </c>
      <c r="C91" s="113">
        <f t="shared" si="3"/>
        <v>6.2394714261994368E-3</v>
      </c>
      <c r="D91" s="65">
        <f t="shared" si="4"/>
        <v>-10940.981780026401</v>
      </c>
      <c r="E91" s="121">
        <v>1</v>
      </c>
      <c r="F91" s="65">
        <f t="shared" si="5"/>
        <v>-10940.981780026401</v>
      </c>
    </row>
    <row r="92" spans="1:6">
      <c r="A92" s="111" t="s">
        <v>144</v>
      </c>
      <c r="B92" s="112">
        <v>866346.03185779217</v>
      </c>
      <c r="C92" s="113">
        <f t="shared" si="3"/>
        <v>1.2019583608520931E-3</v>
      </c>
      <c r="D92" s="65">
        <f t="shared" si="4"/>
        <v>-2107.6472072961146</v>
      </c>
      <c r="E92" s="121">
        <v>0</v>
      </c>
      <c r="F92" s="65">
        <f t="shared" si="5"/>
        <v>0</v>
      </c>
    </row>
    <row r="93" spans="1:6">
      <c r="A93" s="111" t="s">
        <v>145</v>
      </c>
      <c r="B93" s="112">
        <v>744543.26261044422</v>
      </c>
      <c r="C93" s="113">
        <f t="shared" si="3"/>
        <v>1.0329706221331382E-3</v>
      </c>
      <c r="D93" s="65">
        <f t="shared" si="4"/>
        <v>-1811.3253485873013</v>
      </c>
      <c r="E93" s="121">
        <v>0</v>
      </c>
      <c r="F93" s="65">
        <f t="shared" si="5"/>
        <v>0</v>
      </c>
    </row>
    <row r="94" spans="1:6">
      <c r="A94" s="111" t="s">
        <v>146</v>
      </c>
      <c r="B94" s="112">
        <v>51644.182695102398</v>
      </c>
      <c r="C94" s="113">
        <f t="shared" si="3"/>
        <v>7.1650535579460684E-5</v>
      </c>
      <c r="D94" s="65">
        <f t="shared" si="4"/>
        <v>-125.64000229447568</v>
      </c>
      <c r="E94" s="121">
        <v>0</v>
      </c>
      <c r="F94" s="65">
        <f t="shared" si="5"/>
        <v>0</v>
      </c>
    </row>
    <row r="95" spans="1:6">
      <c r="A95" s="111" t="s">
        <v>147</v>
      </c>
      <c r="B95" s="112">
        <v>7765.9261255486526</v>
      </c>
      <c r="C95" s="113">
        <f t="shared" si="3"/>
        <v>1.0774355157310981E-5</v>
      </c>
      <c r="D95" s="65">
        <f t="shared" si="4"/>
        <v>-18.892950286251537</v>
      </c>
      <c r="E95" s="121">
        <v>0</v>
      </c>
      <c r="F95" s="65">
        <f t="shared" si="5"/>
        <v>0</v>
      </c>
    </row>
    <row r="96" spans="1:6">
      <c r="A96" s="111" t="s">
        <v>252</v>
      </c>
      <c r="B96" s="112">
        <v>8291.0658598893606</v>
      </c>
      <c r="C96" s="113">
        <f t="shared" si="3"/>
        <v>1.1502927888178027E-5</v>
      </c>
      <c r="D96" s="65">
        <f t="shared" si="4"/>
        <v>-20.170510584126941</v>
      </c>
      <c r="E96" s="121">
        <v>0</v>
      </c>
      <c r="F96" s="65">
        <f t="shared" si="5"/>
        <v>0</v>
      </c>
    </row>
    <row r="97" spans="1:6">
      <c r="A97" s="111" t="s">
        <v>148</v>
      </c>
      <c r="B97" s="112">
        <v>84795.334356927633</v>
      </c>
      <c r="C97" s="113">
        <f t="shared" si="3"/>
        <v>1.1764405600496572E-4</v>
      </c>
      <c r="D97" s="65">
        <f t="shared" si="4"/>
        <v>-206.29014628932345</v>
      </c>
      <c r="E97" s="121">
        <v>0</v>
      </c>
      <c r="F97" s="65">
        <f t="shared" si="5"/>
        <v>0</v>
      </c>
    </row>
    <row r="98" spans="1:6">
      <c r="A98" s="111" t="s">
        <v>149</v>
      </c>
      <c r="B98" s="112">
        <v>1594710.1190143088</v>
      </c>
      <c r="C98" s="113">
        <f t="shared" si="3"/>
        <v>2.2124821840233434E-3</v>
      </c>
      <c r="D98" s="65">
        <f t="shared" si="4"/>
        <v>-3879.611846988957</v>
      </c>
      <c r="E98" s="121">
        <v>0.48091933708169576</v>
      </c>
      <c r="F98" s="65">
        <f t="shared" si="5"/>
        <v>-1865.7803575882226</v>
      </c>
    </row>
    <row r="99" spans="1:6">
      <c r="A99" s="111" t="s">
        <v>150</v>
      </c>
      <c r="B99" s="112">
        <v>518358.99266397604</v>
      </c>
      <c r="C99" s="113">
        <f t="shared" si="3"/>
        <v>7.1916520910158188E-4</v>
      </c>
      <c r="D99" s="65">
        <f t="shared" si="4"/>
        <v>-1261.064104976924</v>
      </c>
      <c r="E99" s="121">
        <v>1</v>
      </c>
      <c r="F99" s="65">
        <f t="shared" si="5"/>
        <v>-1261.064104976924</v>
      </c>
    </row>
    <row r="100" spans="1:6">
      <c r="A100" s="111" t="s">
        <v>151</v>
      </c>
      <c r="B100" s="112">
        <v>6398.7030242356923</v>
      </c>
      <c r="C100" s="113">
        <f t="shared" si="3"/>
        <v>8.8774858033309633E-6</v>
      </c>
      <c r="D100" s="65">
        <f t="shared" si="4"/>
        <v>-15.56676900848468</v>
      </c>
      <c r="E100" s="121">
        <v>0</v>
      </c>
      <c r="F100" s="65">
        <f t="shared" si="5"/>
        <v>0</v>
      </c>
    </row>
    <row r="101" spans="1:6">
      <c r="A101" s="111" t="s">
        <v>152</v>
      </c>
      <c r="B101" s="112">
        <v>53696.51370409166</v>
      </c>
      <c r="C101" s="113">
        <f t="shared" si="3"/>
        <v>7.4497915638674218E-5</v>
      </c>
      <c r="D101" s="65">
        <f t="shared" si="4"/>
        <v>-130.63291454948725</v>
      </c>
      <c r="E101" s="121">
        <v>0</v>
      </c>
      <c r="F101" s="65">
        <f t="shared" si="5"/>
        <v>0</v>
      </c>
    </row>
    <row r="102" spans="1:6">
      <c r="A102" s="111" t="s">
        <v>153</v>
      </c>
      <c r="B102" s="112">
        <v>-40933.18267971692</v>
      </c>
      <c r="C102" s="113">
        <f t="shared" si="3"/>
        <v>-5.6790219322257895E-5</v>
      </c>
      <c r="D102" s="65">
        <f t="shared" si="4"/>
        <v>99.582274273991757</v>
      </c>
      <c r="E102" s="121">
        <v>0</v>
      </c>
      <c r="F102" s="65">
        <f t="shared" si="5"/>
        <v>0</v>
      </c>
    </row>
    <row r="103" spans="1:6">
      <c r="A103" s="111" t="s">
        <v>154</v>
      </c>
      <c r="B103" s="112">
        <v>13148.013185131504</v>
      </c>
      <c r="C103" s="113">
        <f t="shared" si="3"/>
        <v>1.8241399851019855E-5</v>
      </c>
      <c r="D103" s="65">
        <f t="shared" si="4"/>
        <v>-31.986495294161678</v>
      </c>
      <c r="E103" s="121">
        <v>0</v>
      </c>
      <c r="F103" s="65">
        <f t="shared" si="5"/>
        <v>0</v>
      </c>
    </row>
    <row r="104" spans="1:6">
      <c r="A104" s="111" t="s">
        <v>155</v>
      </c>
      <c r="B104" s="112">
        <v>61081.332381354878</v>
      </c>
      <c r="C104" s="113">
        <f t="shared" si="3"/>
        <v>8.4743526775691845E-5</v>
      </c>
      <c r="D104" s="65">
        <f t="shared" si="4"/>
        <v>-148.5987063799702</v>
      </c>
      <c r="E104" s="121">
        <v>0</v>
      </c>
      <c r="F104" s="65">
        <f t="shared" si="5"/>
        <v>0</v>
      </c>
    </row>
    <row r="105" spans="1:6">
      <c r="A105" s="111" t="s">
        <v>156</v>
      </c>
      <c r="B105" s="112">
        <v>32273.854140027775</v>
      </c>
      <c r="C105" s="113">
        <f t="shared" si="3"/>
        <v>4.4776368095485061E-5</v>
      </c>
      <c r="D105" s="65">
        <f t="shared" si="4"/>
        <v>-78.515853995482104</v>
      </c>
      <c r="E105" s="121">
        <v>1</v>
      </c>
      <c r="F105" s="65">
        <f t="shared" si="5"/>
        <v>-78.515853995482104</v>
      </c>
    </row>
    <row r="106" spans="1:6">
      <c r="A106" s="111" t="s">
        <v>157</v>
      </c>
      <c r="B106" s="112">
        <v>10306.233155350506</v>
      </c>
      <c r="C106" s="113">
        <f t="shared" si="3"/>
        <v>1.4298747445521843E-5</v>
      </c>
      <c r="D106" s="65">
        <f t="shared" si="4"/>
        <v>-25.073010931944452</v>
      </c>
      <c r="E106" s="121">
        <v>0</v>
      </c>
      <c r="F106" s="65">
        <f t="shared" si="5"/>
        <v>0</v>
      </c>
    </row>
    <row r="107" spans="1:6">
      <c r="A107" s="111" t="s">
        <v>158</v>
      </c>
      <c r="B107" s="112">
        <v>10090.503749999936</v>
      </c>
      <c r="C107" s="113">
        <f t="shared" si="3"/>
        <v>1.3999446989459582E-5</v>
      </c>
      <c r="D107" s="65">
        <f t="shared" si="4"/>
        <v>-24.548184289934259</v>
      </c>
      <c r="E107" s="121">
        <v>0</v>
      </c>
      <c r="F107" s="65">
        <f t="shared" si="5"/>
        <v>0</v>
      </c>
    </row>
    <row r="108" spans="1:6">
      <c r="A108" s="111" t="s">
        <v>159</v>
      </c>
      <c r="B108" s="112">
        <v>-128.94057833784393</v>
      </c>
      <c r="C108" s="113">
        <f t="shared" si="3"/>
        <v>-1.7889065164173968E-7</v>
      </c>
      <c r="D108" s="65">
        <f t="shared" si="4"/>
        <v>0.3136867254509586</v>
      </c>
      <c r="E108" s="121">
        <v>0</v>
      </c>
      <c r="F108" s="65">
        <f t="shared" si="5"/>
        <v>0</v>
      </c>
    </row>
    <row r="109" spans="1:6">
      <c r="A109" s="111" t="s">
        <v>160</v>
      </c>
      <c r="B109" s="112">
        <v>16793.445566893628</v>
      </c>
      <c r="C109" s="113">
        <f t="shared" si="3"/>
        <v>2.3299030138520472E-5</v>
      </c>
      <c r="D109" s="65">
        <f t="shared" si="4"/>
        <v>-40.855105637227169</v>
      </c>
      <c r="E109" s="121">
        <v>0</v>
      </c>
      <c r="F109" s="65">
        <f t="shared" si="5"/>
        <v>0</v>
      </c>
    </row>
    <row r="110" spans="1:6">
      <c r="A110" s="111" t="s">
        <v>253</v>
      </c>
      <c r="B110" s="112">
        <v>36638.865956787886</v>
      </c>
      <c r="C110" s="113">
        <f t="shared" si="3"/>
        <v>5.0832334482405854E-5</v>
      </c>
      <c r="D110" s="65">
        <f t="shared" si="4"/>
        <v>-89.135057670577964</v>
      </c>
      <c r="E110" s="121">
        <v>0</v>
      </c>
      <c r="F110" s="65">
        <f t="shared" si="5"/>
        <v>0</v>
      </c>
    </row>
    <row r="111" spans="1:6">
      <c r="A111" s="111" t="s">
        <v>161</v>
      </c>
      <c r="B111" s="112">
        <v>250899.23374623648</v>
      </c>
      <c r="C111" s="113">
        <f t="shared" si="3"/>
        <v>3.4809466499890931E-4</v>
      </c>
      <c r="D111" s="65">
        <f t="shared" si="4"/>
        <v>-610.38782411690249</v>
      </c>
      <c r="E111" s="121">
        <v>0</v>
      </c>
      <c r="F111" s="65">
        <f t="shared" si="5"/>
        <v>0</v>
      </c>
    </row>
    <row r="112" spans="1:6">
      <c r="A112" s="111" t="s">
        <v>162</v>
      </c>
      <c r="B112" s="112">
        <v>3913386.1262765946</v>
      </c>
      <c r="C112" s="113">
        <f t="shared" si="3"/>
        <v>5.4293861814476915E-3</v>
      </c>
      <c r="D112" s="65">
        <f t="shared" si="4"/>
        <v>-9520.4883924165224</v>
      </c>
      <c r="E112" s="121">
        <v>0.48091933708169576</v>
      </c>
      <c r="F112" s="65">
        <f t="shared" si="5"/>
        <v>-4578.5869663749336</v>
      </c>
    </row>
    <row r="113" spans="1:6">
      <c r="A113" s="111" t="s">
        <v>163</v>
      </c>
      <c r="B113" s="112">
        <v>273291.74855601741</v>
      </c>
      <c r="C113" s="113">
        <f t="shared" si="3"/>
        <v>3.7916177837669473E-4</v>
      </c>
      <c r="D113" s="65">
        <f t="shared" si="4"/>
        <v>-664.86434916309634</v>
      </c>
      <c r="E113" s="121">
        <v>1</v>
      </c>
      <c r="F113" s="65">
        <f t="shared" si="5"/>
        <v>-664.86434916309634</v>
      </c>
    </row>
    <row r="114" spans="1:6">
      <c r="A114" s="111" t="s">
        <v>164</v>
      </c>
      <c r="B114" s="112">
        <v>9199.7054535712177</v>
      </c>
      <c r="C114" s="113">
        <f t="shared" si="3"/>
        <v>1.276356384248044E-5</v>
      </c>
      <c r="D114" s="65">
        <f t="shared" si="4"/>
        <v>-22.381049596991719</v>
      </c>
      <c r="E114" s="121">
        <v>0</v>
      </c>
      <c r="F114" s="65">
        <f t="shared" si="5"/>
        <v>0</v>
      </c>
    </row>
    <row r="115" spans="1:6">
      <c r="A115" s="111" t="s">
        <v>165</v>
      </c>
      <c r="B115" s="112">
        <v>81013.623731083382</v>
      </c>
      <c r="C115" s="113">
        <f t="shared" si="3"/>
        <v>1.1239735487411457E-4</v>
      </c>
      <c r="D115" s="65">
        <f t="shared" si="4"/>
        <v>-197.08999814266352</v>
      </c>
      <c r="E115" s="121">
        <v>0</v>
      </c>
      <c r="F115" s="65">
        <f t="shared" si="5"/>
        <v>0</v>
      </c>
    </row>
    <row r="116" spans="1:6">
      <c r="A116" s="111" t="s">
        <v>166</v>
      </c>
      <c r="B116" s="112">
        <v>325318.04388737684</v>
      </c>
      <c r="C116" s="113">
        <f t="shared" si="3"/>
        <v>4.5134245256249435E-4</v>
      </c>
      <c r="D116" s="65">
        <f t="shared" si="4"/>
        <v>-791.43395533531202</v>
      </c>
      <c r="E116" s="121">
        <v>0</v>
      </c>
      <c r="F116" s="65">
        <f t="shared" si="5"/>
        <v>0</v>
      </c>
    </row>
    <row r="117" spans="1:6">
      <c r="A117" s="111" t="s">
        <v>254</v>
      </c>
      <c r="B117" s="112">
        <v>463442.90597431362</v>
      </c>
      <c r="C117" s="113">
        <f t="shared" si="3"/>
        <v>6.4297527215413262E-4</v>
      </c>
      <c r="D117" s="65">
        <f t="shared" si="4"/>
        <v>-1127.4642124502652</v>
      </c>
      <c r="E117" s="121">
        <v>0</v>
      </c>
      <c r="F117" s="65">
        <f t="shared" si="5"/>
        <v>0</v>
      </c>
    </row>
    <row r="118" spans="1:6">
      <c r="A118" s="111" t="s">
        <v>167</v>
      </c>
      <c r="B118" s="112">
        <v>2868657.2262105062</v>
      </c>
      <c r="C118" s="113">
        <f t="shared" si="3"/>
        <v>3.9799415137489443E-3</v>
      </c>
      <c r="D118" s="65">
        <f t="shared" si="4"/>
        <v>-6978.871223715425</v>
      </c>
      <c r="E118" s="121">
        <v>0</v>
      </c>
      <c r="F118" s="65">
        <f t="shared" si="5"/>
        <v>0</v>
      </c>
    </row>
    <row r="119" spans="1:6">
      <c r="A119" s="111" t="s">
        <v>168</v>
      </c>
      <c r="B119" s="112">
        <v>1425014.4636447211</v>
      </c>
      <c r="C119" s="113">
        <f t="shared" si="3"/>
        <v>1.9770484147540778E-3</v>
      </c>
      <c r="D119" s="65">
        <f t="shared" si="4"/>
        <v>-3466.7761428038375</v>
      </c>
      <c r="E119" s="121">
        <v>0.48091933708169576</v>
      </c>
      <c r="F119" s="65">
        <f t="shared" si="5"/>
        <v>-1667.2396844078598</v>
      </c>
    </row>
    <row r="120" spans="1:6">
      <c r="A120" s="111" t="s">
        <v>169</v>
      </c>
      <c r="B120" s="112">
        <v>3006619.8687447682</v>
      </c>
      <c r="C120" s="113">
        <f t="shared" si="3"/>
        <v>4.1713492718288298E-3</v>
      </c>
      <c r="D120" s="65">
        <f t="shared" si="4"/>
        <v>-7314.5068329938431</v>
      </c>
      <c r="E120" s="121">
        <v>1</v>
      </c>
      <c r="F120" s="65">
        <f t="shared" si="5"/>
        <v>-7314.5068329938431</v>
      </c>
    </row>
    <row r="121" spans="1:6">
      <c r="A121" s="111" t="s">
        <v>170</v>
      </c>
      <c r="B121" s="112">
        <v>630170.36871908372</v>
      </c>
      <c r="C121" s="113">
        <f t="shared" si="3"/>
        <v>8.7429100566074978E-4</v>
      </c>
      <c r="D121" s="65">
        <f t="shared" si="4"/>
        <v>-1533.078895627187</v>
      </c>
      <c r="E121" s="121">
        <v>0</v>
      </c>
      <c r="F121" s="65">
        <f t="shared" si="5"/>
        <v>0</v>
      </c>
    </row>
    <row r="122" spans="1:6">
      <c r="A122" s="111" t="s">
        <v>171</v>
      </c>
      <c r="B122" s="112">
        <v>993268.91160045448</v>
      </c>
      <c r="C122" s="113">
        <f t="shared" si="3"/>
        <v>1.3780496810408367E-3</v>
      </c>
      <c r="D122" s="65">
        <f t="shared" si="4"/>
        <v>-2416.4252742515987</v>
      </c>
      <c r="E122" s="121">
        <v>0</v>
      </c>
      <c r="F122" s="65">
        <f t="shared" si="5"/>
        <v>0</v>
      </c>
    </row>
    <row r="123" spans="1:6">
      <c r="A123" s="111" t="s">
        <v>471</v>
      </c>
      <c r="B123" s="112">
        <v>533.66392648434703</v>
      </c>
      <c r="C123" s="113">
        <f t="shared" si="3"/>
        <v>7.4039909543708545E-7</v>
      </c>
      <c r="D123" s="65">
        <f t="shared" si="4"/>
        <v>-1.2982979582389791</v>
      </c>
      <c r="E123" s="121">
        <v>0</v>
      </c>
      <c r="F123" s="65">
        <f t="shared" si="5"/>
        <v>0</v>
      </c>
    </row>
    <row r="124" spans="1:6">
      <c r="A124" s="111" t="s">
        <v>172</v>
      </c>
      <c r="B124" s="112">
        <v>1749597.9010152682</v>
      </c>
      <c r="C124" s="113">
        <f t="shared" si="3"/>
        <v>2.4273716828194184E-3</v>
      </c>
      <c r="D124" s="65">
        <f t="shared" si="4"/>
        <v>-4256.4229469123611</v>
      </c>
      <c r="E124" s="121">
        <v>0</v>
      </c>
      <c r="F124" s="65">
        <f t="shared" si="5"/>
        <v>0</v>
      </c>
    </row>
    <row r="125" spans="1:6">
      <c r="A125" s="111" t="s">
        <v>255</v>
      </c>
      <c r="B125" s="112">
        <v>2103709.5516512562</v>
      </c>
      <c r="C125" s="113">
        <f t="shared" si="3"/>
        <v>2.918662048915222E-3</v>
      </c>
      <c r="D125" s="65">
        <f t="shared" si="4"/>
        <v>-5117.90600805538</v>
      </c>
      <c r="E125" s="121">
        <v>0</v>
      </c>
      <c r="F125" s="65">
        <f t="shared" si="5"/>
        <v>0</v>
      </c>
    </row>
    <row r="126" spans="1:6">
      <c r="A126" s="111" t="s">
        <v>173</v>
      </c>
      <c r="B126" s="112">
        <v>9271888.7390326038</v>
      </c>
      <c r="C126" s="113">
        <f t="shared" si="3"/>
        <v>1.2863710089226715E-2</v>
      </c>
      <c r="D126" s="65">
        <f t="shared" si="4"/>
        <v>-22556.657142270025</v>
      </c>
      <c r="E126" s="121">
        <v>0</v>
      </c>
      <c r="F126" s="65">
        <f t="shared" si="5"/>
        <v>0</v>
      </c>
    </row>
    <row r="127" spans="1:6">
      <c r="A127" s="111" t="s">
        <v>174</v>
      </c>
      <c r="B127" s="112">
        <v>207602.53366939863</v>
      </c>
      <c r="C127" s="113">
        <f t="shared" si="3"/>
        <v>2.8802532925893443E-4</v>
      </c>
      <c r="D127" s="65">
        <f t="shared" si="4"/>
        <v>-505.05558313416338</v>
      </c>
      <c r="E127" s="121">
        <v>0.48091933708169576</v>
      </c>
      <c r="F127" s="65">
        <f t="shared" si="5"/>
        <v>-242.89099623029114</v>
      </c>
    </row>
    <row r="128" spans="1:6">
      <c r="A128" s="111" t="s">
        <v>175</v>
      </c>
      <c r="B128" s="112">
        <v>9877023.6099379063</v>
      </c>
      <c r="C128" s="113">
        <f t="shared" si="3"/>
        <v>1.3703267137774693E-2</v>
      </c>
      <c r="D128" s="65">
        <f t="shared" si="4"/>
        <v>-24028.829662026437</v>
      </c>
      <c r="E128" s="121">
        <v>1</v>
      </c>
      <c r="F128" s="65">
        <f t="shared" si="5"/>
        <v>-24028.829662026437</v>
      </c>
    </row>
    <row r="129" spans="1:6">
      <c r="A129" s="111" t="s">
        <v>176</v>
      </c>
      <c r="B129" s="112">
        <v>519793.49793067761</v>
      </c>
      <c r="C129" s="113">
        <f t="shared" si="3"/>
        <v>7.2115542494559164E-4</v>
      </c>
      <c r="D129" s="65">
        <f t="shared" si="4"/>
        <v>-1264.5539703517693</v>
      </c>
      <c r="E129" s="121">
        <v>0</v>
      </c>
      <c r="F129" s="65">
        <f t="shared" si="5"/>
        <v>0</v>
      </c>
    </row>
    <row r="130" spans="1:6">
      <c r="A130" s="111" t="s">
        <v>177</v>
      </c>
      <c r="B130" s="112">
        <v>1139639.9658910111</v>
      </c>
      <c r="C130" s="113">
        <f t="shared" si="3"/>
        <v>1.5811231713343187E-3</v>
      </c>
      <c r="D130" s="65">
        <f t="shared" si="4"/>
        <v>-2772.5168732896127</v>
      </c>
      <c r="E130" s="121">
        <v>0</v>
      </c>
      <c r="F130" s="65">
        <f t="shared" si="5"/>
        <v>0</v>
      </c>
    </row>
    <row r="131" spans="1:6">
      <c r="A131" s="111" t="s">
        <v>178</v>
      </c>
      <c r="B131" s="112">
        <v>175379.55470465543</v>
      </c>
      <c r="C131" s="113">
        <f t="shared" si="3"/>
        <v>2.4331954478713373E-4</v>
      </c>
      <c r="D131" s="65">
        <f t="shared" si="4"/>
        <v>-426.66349829923166</v>
      </c>
      <c r="E131" s="121">
        <v>0</v>
      </c>
      <c r="F131" s="65">
        <f t="shared" si="5"/>
        <v>0</v>
      </c>
    </row>
    <row r="132" spans="1:6">
      <c r="A132" s="111" t="s">
        <v>179</v>
      </c>
      <c r="B132" s="112">
        <v>356475.79601599724</v>
      </c>
      <c r="C132" s="113">
        <f t="shared" si="3"/>
        <v>4.9457035376964124E-4</v>
      </c>
      <c r="D132" s="65">
        <f t="shared" si="4"/>
        <v>-867.23455560895741</v>
      </c>
      <c r="E132" s="121">
        <v>0</v>
      </c>
      <c r="F132" s="65">
        <f t="shared" si="5"/>
        <v>0</v>
      </c>
    </row>
    <row r="133" spans="1:6">
      <c r="A133" s="111" t="s">
        <v>256</v>
      </c>
      <c r="B133" s="112">
        <v>448409.09406412003</v>
      </c>
      <c r="C133" s="113">
        <f t="shared" si="3"/>
        <v>6.2211753718859509E-4</v>
      </c>
      <c r="D133" s="65">
        <f t="shared" si="4"/>
        <v>-1090.8899447531105</v>
      </c>
      <c r="E133" s="121">
        <v>0</v>
      </c>
      <c r="F133" s="65">
        <f t="shared" si="5"/>
        <v>0</v>
      </c>
    </row>
    <row r="134" spans="1:6">
      <c r="A134" s="111" t="s">
        <v>180</v>
      </c>
      <c r="B134" s="112">
        <v>3882045.7106660511</v>
      </c>
      <c r="C134" s="113">
        <f t="shared" si="3"/>
        <v>5.3859048550602513E-3</v>
      </c>
      <c r="D134" s="65">
        <f t="shared" si="4"/>
        <v>-9444.243408301556</v>
      </c>
      <c r="E134" s="121">
        <v>0</v>
      </c>
      <c r="F134" s="65">
        <f t="shared" si="5"/>
        <v>0</v>
      </c>
    </row>
    <row r="135" spans="1:6">
      <c r="A135" s="111" t="s">
        <v>181</v>
      </c>
      <c r="B135" s="112">
        <v>7571149.0906588612</v>
      </c>
      <c r="C135" s="113">
        <f t="shared" si="3"/>
        <v>1.0504123775185606E-2</v>
      </c>
      <c r="D135" s="65">
        <f t="shared" si="4"/>
        <v>-18419.096585149488</v>
      </c>
      <c r="E135" s="121">
        <v>1</v>
      </c>
      <c r="F135" s="65">
        <f t="shared" si="5"/>
        <v>-18419.096585149488</v>
      </c>
    </row>
    <row r="136" spans="1:6">
      <c r="A136" s="111" t="s">
        <v>182</v>
      </c>
      <c r="B136" s="112">
        <v>766794.21116243489</v>
      </c>
      <c r="C136" s="113">
        <f t="shared" si="3"/>
        <v>1.0638413281391478E-3</v>
      </c>
      <c r="D136" s="65">
        <f t="shared" si="4"/>
        <v>-1865.4574711466053</v>
      </c>
      <c r="E136" s="121">
        <v>0</v>
      </c>
      <c r="F136" s="65">
        <f t="shared" si="5"/>
        <v>0</v>
      </c>
    </row>
    <row r="137" spans="1:6">
      <c r="A137" s="111" t="s">
        <v>183</v>
      </c>
      <c r="B137" s="112">
        <v>886369.154425435</v>
      </c>
      <c r="C137" s="113">
        <f t="shared" si="3"/>
        <v>1.2297382071208356E-3</v>
      </c>
      <c r="D137" s="65">
        <f t="shared" si="4"/>
        <v>-2156.3594733066634</v>
      </c>
      <c r="E137" s="121">
        <v>0</v>
      </c>
      <c r="F137" s="65">
        <f t="shared" si="5"/>
        <v>0</v>
      </c>
    </row>
    <row r="138" spans="1:6">
      <c r="A138" s="111" t="s">
        <v>184</v>
      </c>
      <c r="B138" s="112">
        <v>117940.94083834354</v>
      </c>
      <c r="C138" s="113">
        <f t="shared" si="3"/>
        <v>1.6362988311196944E-4</v>
      </c>
      <c r="D138" s="65">
        <f t="shared" si="4"/>
        <v>-286.92679996555268</v>
      </c>
      <c r="E138" s="121">
        <v>0</v>
      </c>
      <c r="F138" s="65">
        <f t="shared" si="5"/>
        <v>0</v>
      </c>
    </row>
    <row r="139" spans="1:6">
      <c r="A139" s="111" t="s">
        <v>185</v>
      </c>
      <c r="B139" s="112">
        <v>646628.62587198615</v>
      </c>
      <c r="C139" s="113">
        <f t="shared" ref="C139:C202" si="6">B139/$B$216</f>
        <v>8.971249993105666E-4</v>
      </c>
      <c r="D139" s="65">
        <f t="shared" ref="D139:D202" si="7">$D$216*C139</f>
        <v>-1573.1185546660708</v>
      </c>
      <c r="E139" s="121">
        <v>0.48091933708169576</v>
      </c>
      <c r="F139" s="65">
        <f t="shared" ref="F139:F202" si="8">D139*E139</f>
        <v>-756.54313246092215</v>
      </c>
    </row>
    <row r="140" spans="1:6">
      <c r="A140" s="111" t="s">
        <v>186</v>
      </c>
      <c r="B140" s="112">
        <v>108062.52606592365</v>
      </c>
      <c r="C140" s="113">
        <f t="shared" si="6"/>
        <v>1.4992468589162381E-4</v>
      </c>
      <c r="D140" s="65">
        <f t="shared" si="7"/>
        <v>-262.89458588250716</v>
      </c>
      <c r="E140" s="121">
        <v>0</v>
      </c>
      <c r="F140" s="65">
        <f t="shared" si="8"/>
        <v>0</v>
      </c>
    </row>
    <row r="141" spans="1:6">
      <c r="A141" s="111" t="s">
        <v>257</v>
      </c>
      <c r="B141" s="112">
        <v>128471.79497629515</v>
      </c>
      <c r="C141" s="113">
        <f t="shared" si="6"/>
        <v>1.7824026708392781E-4</v>
      </c>
      <c r="D141" s="65">
        <f t="shared" si="7"/>
        <v>-312.54626897460531</v>
      </c>
      <c r="E141" s="121">
        <v>0</v>
      </c>
      <c r="F141" s="65">
        <f t="shared" si="8"/>
        <v>0</v>
      </c>
    </row>
    <row r="142" spans="1:6">
      <c r="A142" s="111" t="s">
        <v>187</v>
      </c>
      <c r="B142" s="112">
        <v>913817.51307411166</v>
      </c>
      <c r="C142" s="113">
        <f t="shared" si="6"/>
        <v>1.2678197391602867E-3</v>
      </c>
      <c r="D142" s="65">
        <f t="shared" si="7"/>
        <v>-2223.1358586346932</v>
      </c>
      <c r="E142" s="121">
        <v>0</v>
      </c>
      <c r="F142" s="65">
        <f t="shared" si="8"/>
        <v>0</v>
      </c>
    </row>
    <row r="143" spans="1:6">
      <c r="A143" s="111" t="s">
        <v>188</v>
      </c>
      <c r="B143" s="112">
        <v>385478.07885744824</v>
      </c>
      <c r="C143" s="113">
        <f t="shared" si="6"/>
        <v>5.3480778207565716E-4</v>
      </c>
      <c r="D143" s="65">
        <f t="shared" si="7"/>
        <v>-937.79132875526761</v>
      </c>
      <c r="E143" s="121">
        <v>1</v>
      </c>
      <c r="F143" s="65">
        <f t="shared" si="8"/>
        <v>-937.79132875526761</v>
      </c>
    </row>
    <row r="144" spans="1:6">
      <c r="A144" s="111" t="s">
        <v>189</v>
      </c>
      <c r="B144" s="112">
        <v>137642.03996231683</v>
      </c>
      <c r="C144" s="113">
        <f t="shared" si="6"/>
        <v>1.9096295781799238E-4</v>
      </c>
      <c r="D144" s="65">
        <f t="shared" si="7"/>
        <v>-334.85564712638563</v>
      </c>
      <c r="E144" s="121">
        <v>0</v>
      </c>
      <c r="F144" s="65">
        <f t="shared" si="8"/>
        <v>0</v>
      </c>
    </row>
    <row r="145" spans="1:6">
      <c r="A145" s="111" t="s">
        <v>190</v>
      </c>
      <c r="B145" s="112">
        <v>262470.65025851899</v>
      </c>
      <c r="C145" s="113">
        <f t="shared" si="6"/>
        <v>3.6414871304944963E-4</v>
      </c>
      <c r="D145" s="65">
        <f t="shared" si="7"/>
        <v>-638.53877396805342</v>
      </c>
      <c r="E145" s="121">
        <v>0</v>
      </c>
      <c r="F145" s="65">
        <f t="shared" si="8"/>
        <v>0</v>
      </c>
    </row>
    <row r="146" spans="1:6">
      <c r="A146" s="111" t="s">
        <v>191</v>
      </c>
      <c r="B146" s="112">
        <v>55880.580840782248</v>
      </c>
      <c r="C146" s="113">
        <f t="shared" si="6"/>
        <v>7.7528064862048817E-5</v>
      </c>
      <c r="D146" s="65">
        <f t="shared" si="7"/>
        <v>-135.9463145443161</v>
      </c>
      <c r="E146" s="121">
        <v>0</v>
      </c>
      <c r="F146" s="65">
        <f t="shared" si="8"/>
        <v>0</v>
      </c>
    </row>
    <row r="147" spans="1:6">
      <c r="A147" s="111" t="s">
        <v>192</v>
      </c>
      <c r="B147" s="112">
        <v>53525.9790437478</v>
      </c>
      <c r="C147" s="113">
        <f t="shared" si="6"/>
        <v>7.4261317843707909E-5</v>
      </c>
      <c r="D147" s="65">
        <f t="shared" si="7"/>
        <v>-130.21803771343809</v>
      </c>
      <c r="E147" s="121">
        <v>0</v>
      </c>
      <c r="F147" s="65">
        <f t="shared" si="8"/>
        <v>0</v>
      </c>
    </row>
    <row r="148" spans="1:6">
      <c r="A148" s="111" t="s">
        <v>258</v>
      </c>
      <c r="B148" s="112">
        <v>265161.40985941177</v>
      </c>
      <c r="C148" s="113">
        <f t="shared" si="6"/>
        <v>3.6788184147666799E-4</v>
      </c>
      <c r="D148" s="65">
        <f t="shared" si="7"/>
        <v>-645.08485572959353</v>
      </c>
      <c r="E148" s="121">
        <v>0</v>
      </c>
      <c r="F148" s="65">
        <f t="shared" si="8"/>
        <v>0</v>
      </c>
    </row>
    <row r="149" spans="1:6">
      <c r="A149" s="111" t="s">
        <v>193</v>
      </c>
      <c r="B149" s="112">
        <v>861951.21852876374</v>
      </c>
      <c r="C149" s="113">
        <f t="shared" si="6"/>
        <v>1.195861048195299E-3</v>
      </c>
      <c r="D149" s="65">
        <f t="shared" si="7"/>
        <v>-2096.955502481987</v>
      </c>
      <c r="E149" s="121">
        <v>0</v>
      </c>
      <c r="F149" s="65">
        <f t="shared" si="8"/>
        <v>0</v>
      </c>
    </row>
    <row r="150" spans="1:6">
      <c r="A150" s="111" t="s">
        <v>194</v>
      </c>
      <c r="B150" s="112">
        <v>897696.31701449445</v>
      </c>
      <c r="C150" s="113">
        <f t="shared" si="6"/>
        <v>1.2454533801325427E-3</v>
      </c>
      <c r="D150" s="65">
        <f t="shared" si="7"/>
        <v>-2183.9162020495951</v>
      </c>
      <c r="E150" s="121">
        <v>0.48091933708169576</v>
      </c>
      <c r="F150" s="65">
        <f t="shared" si="8"/>
        <v>-1050.287532131666</v>
      </c>
    </row>
    <row r="151" spans="1:6">
      <c r="A151" s="111" t="s">
        <v>195</v>
      </c>
      <c r="B151" s="112">
        <v>1803538.1166358371</v>
      </c>
      <c r="C151" s="113">
        <f t="shared" si="6"/>
        <v>2.5022077076492177E-3</v>
      </c>
      <c r="D151" s="65">
        <f t="shared" si="7"/>
        <v>-4387.6487396476869</v>
      </c>
      <c r="E151" s="121">
        <v>1</v>
      </c>
      <c r="F151" s="65">
        <f t="shared" si="8"/>
        <v>-4387.6487396476869</v>
      </c>
    </row>
    <row r="152" spans="1:6">
      <c r="A152" s="111" t="s">
        <v>196</v>
      </c>
      <c r="B152" s="112">
        <v>372838.0246422725</v>
      </c>
      <c r="C152" s="113">
        <f t="shared" si="6"/>
        <v>5.1727111856376365E-4</v>
      </c>
      <c r="D152" s="65">
        <f t="shared" si="7"/>
        <v>-907.04059638386377</v>
      </c>
      <c r="E152" s="121">
        <v>0</v>
      </c>
      <c r="F152" s="65">
        <f t="shared" si="8"/>
        <v>0</v>
      </c>
    </row>
    <row r="153" spans="1:6">
      <c r="A153" s="111" t="s">
        <v>197</v>
      </c>
      <c r="B153" s="112">
        <v>449743.99439782277</v>
      </c>
      <c r="C153" s="113">
        <f t="shared" si="6"/>
        <v>6.239695623125027E-4</v>
      </c>
      <c r="D153" s="65">
        <f t="shared" si="7"/>
        <v>-1094.137491180159</v>
      </c>
      <c r="E153" s="121">
        <v>0</v>
      </c>
      <c r="F153" s="65">
        <f t="shared" si="8"/>
        <v>0</v>
      </c>
    </row>
    <row r="154" spans="1:6">
      <c r="A154" s="111" t="s">
        <v>198</v>
      </c>
      <c r="B154" s="112">
        <v>82625.168331641689</v>
      </c>
      <c r="C154" s="113">
        <f t="shared" si="6"/>
        <v>1.1463319302111153E-4</v>
      </c>
      <c r="D154" s="65">
        <f t="shared" si="7"/>
        <v>-201.01056492764229</v>
      </c>
      <c r="E154" s="121">
        <v>0</v>
      </c>
      <c r="F154" s="65">
        <f t="shared" si="8"/>
        <v>0</v>
      </c>
    </row>
    <row r="155" spans="1:6">
      <c r="A155" s="111" t="s">
        <v>199</v>
      </c>
      <c r="B155" s="112">
        <v>20519.990497620089</v>
      </c>
      <c r="C155" s="113">
        <f t="shared" si="6"/>
        <v>2.8469195028607821E-5</v>
      </c>
      <c r="D155" s="65">
        <f t="shared" si="7"/>
        <v>-49.921046643809127</v>
      </c>
      <c r="E155" s="121">
        <v>0</v>
      </c>
      <c r="F155" s="65">
        <f t="shared" si="8"/>
        <v>0</v>
      </c>
    </row>
    <row r="156" spans="1:6">
      <c r="A156" s="111" t="s">
        <v>200</v>
      </c>
      <c r="B156" s="112">
        <v>64888.245594343221</v>
      </c>
      <c r="C156" s="113">
        <f t="shared" si="6"/>
        <v>9.0025193681440128E-5</v>
      </c>
      <c r="D156" s="65">
        <f t="shared" si="7"/>
        <v>-157.86016739753575</v>
      </c>
      <c r="E156" s="121">
        <v>0</v>
      </c>
      <c r="F156" s="65">
        <f t="shared" si="8"/>
        <v>0</v>
      </c>
    </row>
    <row r="157" spans="1:6">
      <c r="A157" s="111" t="s">
        <v>201</v>
      </c>
      <c r="B157" s="112">
        <v>1111633.0451310803</v>
      </c>
      <c r="C157" s="113">
        <f t="shared" si="6"/>
        <v>1.5422666967488305E-3</v>
      </c>
      <c r="D157" s="65">
        <f t="shared" si="7"/>
        <v>-2704.3816176827386</v>
      </c>
      <c r="E157" s="121">
        <v>0.48091933708169576</v>
      </c>
      <c r="F157" s="65">
        <f t="shared" si="8"/>
        <v>-1300.5894147919066</v>
      </c>
    </row>
    <row r="158" spans="1:6">
      <c r="A158" s="111" t="s">
        <v>202</v>
      </c>
      <c r="B158" s="112">
        <v>5669.7398734742537</v>
      </c>
      <c r="C158" s="113">
        <f t="shared" si="6"/>
        <v>7.8661308463146442E-6</v>
      </c>
      <c r="D158" s="65">
        <f t="shared" si="7"/>
        <v>-13.793346966452038</v>
      </c>
      <c r="E158" s="121">
        <v>1</v>
      </c>
      <c r="F158" s="65">
        <f t="shared" si="8"/>
        <v>-13.793346966452038</v>
      </c>
    </row>
    <row r="159" spans="1:6">
      <c r="A159" s="111" t="s">
        <v>203</v>
      </c>
      <c r="B159" s="112">
        <v>37657.456326349638</v>
      </c>
      <c r="C159" s="113">
        <f t="shared" si="6"/>
        <v>5.2245514858326517E-5</v>
      </c>
      <c r="D159" s="65">
        <f t="shared" si="7"/>
        <v>-91.613085004738991</v>
      </c>
      <c r="E159" s="121">
        <v>0</v>
      </c>
      <c r="F159" s="65">
        <f t="shared" si="8"/>
        <v>0</v>
      </c>
    </row>
    <row r="160" spans="1:6">
      <c r="A160" s="111" t="s">
        <v>204</v>
      </c>
      <c r="B160" s="112">
        <v>2125035.2839642027</v>
      </c>
      <c r="C160" s="113">
        <f t="shared" si="6"/>
        <v>2.948249120722861E-3</v>
      </c>
      <c r="D160" s="65">
        <f t="shared" si="7"/>
        <v>-5169.7872639278648</v>
      </c>
      <c r="E160" s="121">
        <v>0.49892765457990973</v>
      </c>
      <c r="F160" s="65">
        <f t="shared" si="8"/>
        <v>-2579.3498342686185</v>
      </c>
    </row>
    <row r="161" spans="1:6">
      <c r="A161" s="111" t="s">
        <v>205</v>
      </c>
      <c r="B161" s="112">
        <v>860.03359263166431</v>
      </c>
      <c r="C161" s="113">
        <f t="shared" si="6"/>
        <v>1.1932005564342153E-6</v>
      </c>
      <c r="D161" s="65">
        <f t="shared" si="7"/>
        <v>-2.0922903009135174</v>
      </c>
      <c r="E161" s="121">
        <v>0</v>
      </c>
      <c r="F161" s="65">
        <f t="shared" si="8"/>
        <v>0</v>
      </c>
    </row>
    <row r="162" spans="1:6">
      <c r="A162" s="111" t="s">
        <v>206</v>
      </c>
      <c r="B162" s="112">
        <v>739938.46183159668</v>
      </c>
      <c r="C162" s="113">
        <f t="shared" si="6"/>
        <v>1.026581975342288E-3</v>
      </c>
      <c r="D162" s="65">
        <f t="shared" si="7"/>
        <v>-1800.1227861644309</v>
      </c>
      <c r="E162" s="121">
        <v>0</v>
      </c>
      <c r="F162" s="65">
        <f t="shared" si="8"/>
        <v>0</v>
      </c>
    </row>
    <row r="163" spans="1:6">
      <c r="A163" s="111" t="s">
        <v>207</v>
      </c>
      <c r="B163" s="112">
        <v>1738342.2901316963</v>
      </c>
      <c r="C163" s="113">
        <f t="shared" si="6"/>
        <v>2.4117557798077824E-3</v>
      </c>
      <c r="D163" s="65">
        <f t="shared" si="7"/>
        <v>-4229.040289206524</v>
      </c>
      <c r="E163" s="121">
        <v>0.49892765457990973</v>
      </c>
      <c r="F163" s="65">
        <f t="shared" si="8"/>
        <v>-2109.985152617754</v>
      </c>
    </row>
    <row r="164" spans="1:6">
      <c r="A164" s="111" t="s">
        <v>259</v>
      </c>
      <c r="B164" s="112">
        <v>1326107.1655918737</v>
      </c>
      <c r="C164" s="113">
        <f t="shared" si="6"/>
        <v>1.839825585223736E-3</v>
      </c>
      <c r="D164" s="65">
        <f t="shared" si="7"/>
        <v>-3226.1544017712586</v>
      </c>
      <c r="E164" s="121">
        <v>0</v>
      </c>
      <c r="F164" s="65">
        <f t="shared" si="8"/>
        <v>0</v>
      </c>
    </row>
    <row r="165" spans="1:6">
      <c r="A165" s="111" t="s">
        <v>208</v>
      </c>
      <c r="B165" s="112">
        <v>8302722.9357040226</v>
      </c>
      <c r="C165" s="113">
        <f t="shared" si="6"/>
        <v>1.1519100778943711E-2</v>
      </c>
      <c r="D165" s="65">
        <f t="shared" si="7"/>
        <v>-20198.869925986364</v>
      </c>
      <c r="E165" s="121">
        <v>0</v>
      </c>
      <c r="F165" s="65">
        <f t="shared" si="8"/>
        <v>0</v>
      </c>
    </row>
    <row r="166" spans="1:6">
      <c r="A166" s="111" t="s">
        <v>209</v>
      </c>
      <c r="B166" s="112">
        <v>3954285.831528943</v>
      </c>
      <c r="C166" s="113">
        <f t="shared" si="6"/>
        <v>5.4861299545784217E-3</v>
      </c>
      <c r="D166" s="65">
        <f t="shared" si="7"/>
        <v>-9619.9892227827622</v>
      </c>
      <c r="E166" s="121">
        <v>1</v>
      </c>
      <c r="F166" s="65">
        <f t="shared" si="8"/>
        <v>-9619.9892227827622</v>
      </c>
    </row>
    <row r="167" spans="1:6">
      <c r="A167" s="111" t="s">
        <v>210</v>
      </c>
      <c r="B167" s="112">
        <v>1324450.9836033729</v>
      </c>
      <c r="C167" s="113">
        <f t="shared" si="6"/>
        <v>1.837527817686321E-3</v>
      </c>
      <c r="D167" s="65">
        <f t="shared" si="7"/>
        <v>-3222.1252411189585</v>
      </c>
      <c r="E167" s="121">
        <v>0</v>
      </c>
      <c r="F167" s="65">
        <f t="shared" si="8"/>
        <v>0</v>
      </c>
    </row>
    <row r="168" spans="1:6">
      <c r="A168" s="111" t="s">
        <v>211</v>
      </c>
      <c r="B168" s="112">
        <v>1356994.3725155783</v>
      </c>
      <c r="C168" s="113">
        <f t="shared" si="6"/>
        <v>1.8826781351750576E-3</v>
      </c>
      <c r="D168" s="65">
        <f t="shared" si="7"/>
        <v>-3301.2968194889504</v>
      </c>
      <c r="E168" s="121">
        <v>0</v>
      </c>
      <c r="F168" s="65">
        <f t="shared" si="8"/>
        <v>0</v>
      </c>
    </row>
    <row r="169" spans="1:6">
      <c r="A169" s="111" t="s">
        <v>212</v>
      </c>
      <c r="B169" s="112">
        <v>255018.0245634618</v>
      </c>
      <c r="C169" s="113">
        <f t="shared" si="6"/>
        <v>3.5380902724830833E-4</v>
      </c>
      <c r="D169" s="65">
        <f t="shared" si="7"/>
        <v>-620.40802117920839</v>
      </c>
      <c r="E169" s="121">
        <v>0</v>
      </c>
      <c r="F169" s="65">
        <f t="shared" si="8"/>
        <v>0</v>
      </c>
    </row>
    <row r="170" spans="1:6">
      <c r="A170" s="111" t="s">
        <v>213</v>
      </c>
      <c r="B170" s="112">
        <v>170531.08508211802</v>
      </c>
      <c r="C170" s="113">
        <f t="shared" si="6"/>
        <v>2.3659283468995768E-4</v>
      </c>
      <c r="D170" s="65">
        <f t="shared" si="7"/>
        <v>-414.86813815002239</v>
      </c>
      <c r="E170" s="121">
        <v>0</v>
      </c>
      <c r="F170" s="65">
        <f t="shared" si="8"/>
        <v>0</v>
      </c>
    </row>
    <row r="171" spans="1:6">
      <c r="A171" s="111" t="s">
        <v>214</v>
      </c>
      <c r="B171" s="112">
        <v>33232813.678738467</v>
      </c>
      <c r="C171" s="113">
        <f t="shared" si="6"/>
        <v>4.6106817353503228E-2</v>
      </c>
      <c r="D171" s="65">
        <f t="shared" si="7"/>
        <v>-80848.811404358799</v>
      </c>
      <c r="E171" s="121">
        <v>0.49892765457990973</v>
      </c>
      <c r="F171" s="65">
        <f t="shared" si="8"/>
        <v>-40337.707849550192</v>
      </c>
    </row>
    <row r="172" spans="1:6">
      <c r="A172" s="111" t="s">
        <v>260</v>
      </c>
      <c r="B172" s="112">
        <v>290308.51136907534</v>
      </c>
      <c r="C172" s="113">
        <f t="shared" si="6"/>
        <v>4.0277063625295418E-4</v>
      </c>
      <c r="D172" s="65">
        <f t="shared" si="7"/>
        <v>-706.26274114655394</v>
      </c>
      <c r="E172" s="121">
        <v>0</v>
      </c>
      <c r="F172" s="65">
        <f t="shared" si="8"/>
        <v>0</v>
      </c>
    </row>
    <row r="173" spans="1:6">
      <c r="A173" s="111" t="s">
        <v>215</v>
      </c>
      <c r="B173" s="112">
        <v>1581156.4912864284</v>
      </c>
      <c r="C173" s="113">
        <f t="shared" si="6"/>
        <v>2.1936780392955509E-3</v>
      </c>
      <c r="D173" s="65">
        <f t="shared" si="7"/>
        <v>-3846.6385723631806</v>
      </c>
      <c r="E173" s="121">
        <v>0</v>
      </c>
      <c r="F173" s="65">
        <f t="shared" si="8"/>
        <v>0</v>
      </c>
    </row>
    <row r="174" spans="1:6">
      <c r="A174" s="111" t="s">
        <v>216</v>
      </c>
      <c r="B174" s="112">
        <v>2612713.6731103845</v>
      </c>
      <c r="C174" s="113">
        <f t="shared" si="6"/>
        <v>3.6248484190242029E-3</v>
      </c>
      <c r="D174" s="65">
        <f t="shared" si="7"/>
        <v>-6356.2115760915494</v>
      </c>
      <c r="E174" s="121">
        <v>1</v>
      </c>
      <c r="F174" s="65">
        <f t="shared" si="8"/>
        <v>-6356.2115760915494</v>
      </c>
    </row>
    <row r="175" spans="1:6">
      <c r="A175" s="111" t="s">
        <v>217</v>
      </c>
      <c r="B175" s="112">
        <v>465816.97875141475</v>
      </c>
      <c r="C175" s="113">
        <f t="shared" si="6"/>
        <v>6.4626903298268851E-4</v>
      </c>
      <c r="D175" s="65">
        <f t="shared" si="7"/>
        <v>-1133.239858294507</v>
      </c>
      <c r="E175" s="121">
        <v>0</v>
      </c>
      <c r="F175" s="65">
        <f t="shared" si="8"/>
        <v>0</v>
      </c>
    </row>
    <row r="176" spans="1:6">
      <c r="A176" s="111" t="s">
        <v>218</v>
      </c>
      <c r="B176" s="112">
        <v>347706.14990330604</v>
      </c>
      <c r="C176" s="113">
        <f t="shared" si="6"/>
        <v>4.8240344923120915E-4</v>
      </c>
      <c r="D176" s="65">
        <f t="shared" si="7"/>
        <v>-845.8997546648668</v>
      </c>
      <c r="E176" s="121">
        <v>0</v>
      </c>
      <c r="F176" s="65">
        <f t="shared" si="8"/>
        <v>0</v>
      </c>
    </row>
    <row r="177" spans="1:6">
      <c r="A177" s="111" t="s">
        <v>219</v>
      </c>
      <c r="B177" s="112">
        <v>69701.545488896489</v>
      </c>
      <c r="C177" s="113">
        <f t="shared" si="6"/>
        <v>9.6703109708989329E-5</v>
      </c>
      <c r="D177" s="65">
        <f t="shared" si="7"/>
        <v>-169.5699666089196</v>
      </c>
      <c r="E177" s="121">
        <v>0</v>
      </c>
      <c r="F177" s="65">
        <f t="shared" si="8"/>
        <v>0</v>
      </c>
    </row>
    <row r="178" spans="1:6">
      <c r="A178" s="111" t="s">
        <v>220</v>
      </c>
      <c r="B178" s="112">
        <v>92764.931531425114</v>
      </c>
      <c r="C178" s="113">
        <f t="shared" si="6"/>
        <v>1.2870098199557596E-4</v>
      </c>
      <c r="D178" s="65">
        <f t="shared" si="7"/>
        <v>-225.67858764004438</v>
      </c>
      <c r="E178" s="121">
        <v>0.49892765457990973</v>
      </c>
      <c r="F178" s="65">
        <f t="shared" si="8"/>
        <v>-112.59728842015394</v>
      </c>
    </row>
    <row r="179" spans="1:6">
      <c r="A179" s="111" t="s">
        <v>221</v>
      </c>
      <c r="B179" s="112">
        <v>259843.41911126173</v>
      </c>
      <c r="C179" s="113">
        <f t="shared" si="6"/>
        <v>3.6050372325643903E-4</v>
      </c>
      <c r="D179" s="65">
        <f t="shared" si="7"/>
        <v>-632.14724427112162</v>
      </c>
      <c r="E179" s="121">
        <v>0.49892765457990973</v>
      </c>
      <c r="F179" s="65">
        <f t="shared" si="8"/>
        <v>-315.39574193334397</v>
      </c>
    </row>
    <row r="180" spans="1:6">
      <c r="A180" s="111" t="s">
        <v>222</v>
      </c>
      <c r="B180" s="112">
        <v>38984.902262035146</v>
      </c>
      <c r="C180" s="113">
        <f t="shared" si="6"/>
        <v>5.408719783753387E-5</v>
      </c>
      <c r="D180" s="65">
        <f t="shared" si="7"/>
        <v>-94.842496367291858</v>
      </c>
      <c r="E180" s="121">
        <v>0</v>
      </c>
      <c r="F180" s="65">
        <f t="shared" si="8"/>
        <v>0</v>
      </c>
    </row>
    <row r="181" spans="1:6">
      <c r="A181" s="111" t="s">
        <v>223</v>
      </c>
      <c r="B181" s="112">
        <v>2378251.3060097331</v>
      </c>
      <c r="C181" s="113">
        <f t="shared" si="6"/>
        <v>3.2995580707352186E-3</v>
      </c>
      <c r="D181" s="65">
        <f t="shared" si="7"/>
        <v>-5785.8113721729842</v>
      </c>
      <c r="E181" s="121">
        <v>0.49892765457990973</v>
      </c>
      <c r="F181" s="65">
        <f t="shared" si="8"/>
        <v>-2886.7012977600361</v>
      </c>
    </row>
    <row r="182" spans="1:6">
      <c r="A182" s="111" t="s">
        <v>261</v>
      </c>
      <c r="B182" s="112">
        <v>449738.53366950678</v>
      </c>
      <c r="C182" s="113">
        <f t="shared" si="6"/>
        <v>6.2396198616184882E-4</v>
      </c>
      <c r="D182" s="65">
        <f t="shared" si="7"/>
        <v>-1094.1242063166496</v>
      </c>
      <c r="E182" s="121">
        <v>0</v>
      </c>
      <c r="F182" s="65">
        <f t="shared" si="8"/>
        <v>0</v>
      </c>
    </row>
    <row r="183" spans="1:6">
      <c r="A183" s="111" t="s">
        <v>224</v>
      </c>
      <c r="B183" s="112">
        <v>1509796.5991448606</v>
      </c>
      <c r="C183" s="113">
        <f t="shared" si="6"/>
        <v>2.0946741588193721E-3</v>
      </c>
      <c r="D183" s="65">
        <f t="shared" si="7"/>
        <v>-3673.034178905516</v>
      </c>
      <c r="E183" s="121">
        <v>0</v>
      </c>
      <c r="F183" s="65">
        <f t="shared" si="8"/>
        <v>0</v>
      </c>
    </row>
    <row r="184" spans="1:6">
      <c r="A184" s="111" t="s">
        <v>225</v>
      </c>
      <c r="B184" s="112">
        <v>35791.790921358246</v>
      </c>
      <c r="C184" s="113">
        <f t="shared" si="6"/>
        <v>4.9657112476805595E-5</v>
      </c>
      <c r="D184" s="65">
        <f t="shared" si="7"/>
        <v>-87.074292956315858</v>
      </c>
      <c r="E184" s="121">
        <v>0</v>
      </c>
      <c r="F184" s="65">
        <f t="shared" si="8"/>
        <v>0</v>
      </c>
    </row>
    <row r="185" spans="1:6">
      <c r="A185" s="111" t="s">
        <v>226</v>
      </c>
      <c r="B185" s="112">
        <v>2292750.838849219</v>
      </c>
      <c r="C185" s="113">
        <f t="shared" si="6"/>
        <v>3.1809357217184356E-3</v>
      </c>
      <c r="D185" s="65">
        <f t="shared" si="7"/>
        <v>-5577.8057783262157</v>
      </c>
      <c r="E185" s="121">
        <v>1</v>
      </c>
      <c r="F185" s="65">
        <f t="shared" si="8"/>
        <v>-5577.8057783262157</v>
      </c>
    </row>
    <row r="186" spans="1:6">
      <c r="A186" s="111" t="s">
        <v>472</v>
      </c>
      <c r="B186" s="112">
        <v>215732.10544148163</v>
      </c>
      <c r="C186" s="113">
        <f t="shared" si="6"/>
        <v>2.9930420213684038E-4</v>
      </c>
      <c r="D186" s="65">
        <f t="shared" si="7"/>
        <v>-524.83321079317307</v>
      </c>
      <c r="E186" s="121">
        <v>0</v>
      </c>
      <c r="F186" s="65">
        <f t="shared" si="8"/>
        <v>0</v>
      </c>
    </row>
    <row r="187" spans="1:6">
      <c r="A187" s="111" t="s">
        <v>227</v>
      </c>
      <c r="B187" s="112">
        <v>933774.33761411824</v>
      </c>
      <c r="C187" s="113">
        <f t="shared" si="6"/>
        <v>1.2955076043202169E-3</v>
      </c>
      <c r="D187" s="65">
        <f t="shared" si="7"/>
        <v>-2271.686834759148</v>
      </c>
      <c r="E187" s="121">
        <v>0</v>
      </c>
      <c r="F187" s="65">
        <f t="shared" si="8"/>
        <v>0</v>
      </c>
    </row>
    <row r="188" spans="1:6">
      <c r="A188" s="111" t="s">
        <v>228</v>
      </c>
      <c r="B188" s="112">
        <v>495810.33623010141</v>
      </c>
      <c r="C188" s="113">
        <f t="shared" si="6"/>
        <v>6.8788146665913288E-4</v>
      </c>
      <c r="D188" s="65">
        <f t="shared" si="7"/>
        <v>-1206.2077184829227</v>
      </c>
      <c r="E188" s="121">
        <v>0.49892765457990973</v>
      </c>
      <c r="F188" s="65">
        <f t="shared" si="8"/>
        <v>-601.81038791886863</v>
      </c>
    </row>
    <row r="189" spans="1:6">
      <c r="A189" s="111" t="s">
        <v>229</v>
      </c>
      <c r="B189" s="114">
        <v>1621.9694569775768</v>
      </c>
      <c r="C189" s="113">
        <f t="shared" si="6"/>
        <v>2.2503014709726728E-6</v>
      </c>
      <c r="D189" s="65">
        <f t="shared" si="7"/>
        <v>-3.9459283826667626</v>
      </c>
      <c r="E189" s="121">
        <v>0.49892765457990973</v>
      </c>
      <c r="F189" s="65">
        <f t="shared" si="8"/>
        <v>-1.9687327931042244</v>
      </c>
    </row>
    <row r="190" spans="1:6">
      <c r="A190" s="111" t="s">
        <v>473</v>
      </c>
      <c r="B190" s="114">
        <v>222771.99999999997</v>
      </c>
      <c r="C190" s="113">
        <f t="shared" si="6"/>
        <v>3.0907126958214638E-4</v>
      </c>
      <c r="D190" s="65">
        <f t="shared" si="7"/>
        <v>-541.95987099625904</v>
      </c>
      <c r="E190" s="121">
        <v>0</v>
      </c>
      <c r="F190" s="65">
        <f t="shared" si="8"/>
        <v>0</v>
      </c>
    </row>
    <row r="191" spans="1:6">
      <c r="A191" s="111" t="s">
        <v>474</v>
      </c>
      <c r="B191" s="114">
        <v>7.3099999997066334</v>
      </c>
      <c r="C191" s="113">
        <f t="shared" si="6"/>
        <v>1.014180857807453E-8</v>
      </c>
      <c r="D191" s="65">
        <f t="shared" si="7"/>
        <v>-1.7783772901548048E-2</v>
      </c>
      <c r="E191" s="121">
        <v>0</v>
      </c>
      <c r="F191" s="65">
        <f t="shared" si="8"/>
        <v>0</v>
      </c>
    </row>
    <row r="192" spans="1:6">
      <c r="A192" s="111" t="s">
        <v>230</v>
      </c>
      <c r="B192" s="114">
        <v>77908634.952345282</v>
      </c>
      <c r="C192" s="113">
        <f t="shared" si="6"/>
        <v>0.10808952972605779</v>
      </c>
      <c r="D192" s="65">
        <f t="shared" si="7"/>
        <v>-189536.17935946933</v>
      </c>
      <c r="E192" s="121">
        <v>0.42853606113710269</v>
      </c>
      <c r="F192" s="65">
        <f t="shared" si="8"/>
        <v>-81223.087745682409</v>
      </c>
    </row>
    <row r="193" spans="1:6">
      <c r="A193" s="111" t="s">
        <v>475</v>
      </c>
      <c r="B193" s="114">
        <v>2.3099999991245568</v>
      </c>
      <c r="C193" s="113">
        <f t="shared" si="6"/>
        <v>3.2048670051181654E-9</v>
      </c>
      <c r="D193" s="65">
        <f t="shared" si="7"/>
        <v>-5.619769547011759E-3</v>
      </c>
      <c r="E193" s="121">
        <v>1</v>
      </c>
      <c r="F193" s="65">
        <f t="shared" si="8"/>
        <v>-5.619769547011759E-3</v>
      </c>
    </row>
    <row r="194" spans="1:6">
      <c r="A194" s="111" t="s">
        <v>476</v>
      </c>
      <c r="B194" s="114">
        <v>4.4799999999813735</v>
      </c>
      <c r="C194" s="113">
        <f t="shared" si="6"/>
        <v>6.2154996486194812E-9</v>
      </c>
      <c r="D194" s="65">
        <f t="shared" si="7"/>
        <v>-1.0898947004350396E-2</v>
      </c>
      <c r="E194" s="121">
        <v>0</v>
      </c>
      <c r="F194" s="65">
        <f t="shared" si="8"/>
        <v>0</v>
      </c>
    </row>
    <row r="195" spans="1:6">
      <c r="A195" s="111" t="s">
        <v>231</v>
      </c>
      <c r="B195" s="114">
        <v>-266373.22690482991</v>
      </c>
      <c r="C195" s="113">
        <f t="shared" si="6"/>
        <v>-3.6956310228470788E-4</v>
      </c>
      <c r="D195" s="65">
        <f t="shared" si="7"/>
        <v>648.03296505036042</v>
      </c>
      <c r="E195" s="121">
        <v>0.42853606113710269</v>
      </c>
      <c r="F195" s="65">
        <f t="shared" si="8"/>
        <v>277.7054943296792</v>
      </c>
    </row>
    <row r="196" spans="1:6">
      <c r="A196" s="111" t="s">
        <v>477</v>
      </c>
      <c r="B196" s="114">
        <v>22.28</v>
      </c>
      <c r="C196" s="113">
        <f t="shared" si="6"/>
        <v>3.0911011645495048E-8</v>
      </c>
      <c r="D196" s="65">
        <f t="shared" si="7"/>
        <v>-5.420279894150367E-2</v>
      </c>
      <c r="E196" s="121">
        <v>0</v>
      </c>
      <c r="F196" s="65">
        <f t="shared" si="8"/>
        <v>0</v>
      </c>
    </row>
    <row r="197" spans="1:6">
      <c r="A197" s="111" t="s">
        <v>232</v>
      </c>
      <c r="B197" s="112">
        <v>25960274.763375133</v>
      </c>
      <c r="C197" s="113">
        <f t="shared" si="6"/>
        <v>3.6016981846092457E-2</v>
      </c>
      <c r="D197" s="65">
        <f t="shared" si="7"/>
        <v>-63156.173853923428</v>
      </c>
      <c r="E197" s="121">
        <v>0.42853606113710269</v>
      </c>
      <c r="F197" s="65">
        <f t="shared" si="8"/>
        <v>-27064.697979850418</v>
      </c>
    </row>
    <row r="198" spans="1:6">
      <c r="A198" s="111" t="s">
        <v>336</v>
      </c>
      <c r="B198" s="112">
        <v>64490.721103325843</v>
      </c>
      <c r="C198" s="113">
        <f t="shared" si="6"/>
        <v>8.9473672847902979E-5</v>
      </c>
      <c r="D198" s="65">
        <f t="shared" si="7"/>
        <v>-156.8930695491992</v>
      </c>
      <c r="E198" s="121">
        <v>0</v>
      </c>
      <c r="F198" s="65">
        <f t="shared" si="8"/>
        <v>0</v>
      </c>
    </row>
    <row r="199" spans="1:6">
      <c r="A199" s="111" t="s">
        <v>337</v>
      </c>
      <c r="B199" s="112">
        <v>688196.58087190147</v>
      </c>
      <c r="C199" s="113">
        <f t="shared" si="6"/>
        <v>9.5479589433219124E-4</v>
      </c>
      <c r="D199" s="65">
        <f t="shared" si="7"/>
        <v>-1674.245103466335</v>
      </c>
      <c r="E199" s="121">
        <v>0</v>
      </c>
      <c r="F199" s="65">
        <f t="shared" si="8"/>
        <v>0</v>
      </c>
    </row>
    <row r="200" spans="1:6">
      <c r="A200" s="111" t="s">
        <v>338</v>
      </c>
      <c r="B200" s="112">
        <v>270922.67860729061</v>
      </c>
      <c r="C200" s="113">
        <f t="shared" si="6"/>
        <v>3.7587495841376448E-4</v>
      </c>
      <c r="D200" s="65">
        <f t="shared" si="7"/>
        <v>-659.10087420307855</v>
      </c>
      <c r="E200" s="121">
        <v>0</v>
      </c>
      <c r="F200" s="65">
        <f t="shared" si="8"/>
        <v>0</v>
      </c>
    </row>
    <row r="201" spans="1:6">
      <c r="A201" s="111" t="s">
        <v>339</v>
      </c>
      <c r="B201" s="112">
        <v>372877.84263558645</v>
      </c>
      <c r="C201" s="113">
        <f t="shared" si="6"/>
        <v>5.1732636158239155E-4</v>
      </c>
      <c r="D201" s="65">
        <f t="shared" si="7"/>
        <v>-907.13746562470101</v>
      </c>
      <c r="E201" s="121">
        <v>0.42853606113710269</v>
      </c>
      <c r="F201" s="65">
        <f t="shared" si="8"/>
        <v>-388.74111642870326</v>
      </c>
    </row>
    <row r="202" spans="1:6">
      <c r="A202" s="111" t="s">
        <v>340</v>
      </c>
      <c r="B202" s="112">
        <v>1141043.5226926475</v>
      </c>
      <c r="C202" s="113">
        <f t="shared" si="6"/>
        <v>1.5830704496395476E-3</v>
      </c>
      <c r="D202" s="65">
        <f t="shared" si="7"/>
        <v>-2775.9314472178926</v>
      </c>
      <c r="E202" s="121">
        <v>1</v>
      </c>
      <c r="F202" s="65">
        <f t="shared" si="8"/>
        <v>-2775.9314472178926</v>
      </c>
    </row>
    <row r="203" spans="1:6">
      <c r="A203" s="111" t="s">
        <v>341</v>
      </c>
      <c r="B203" s="112">
        <v>538652.08378530201</v>
      </c>
      <c r="C203" s="113">
        <f t="shared" ref="C203:C210" si="9">B203/$B$216</f>
        <v>7.4731960658696792E-4</v>
      </c>
      <c r="D203" s="65">
        <f t="shared" ref="D203:D210" si="10">$D$216*C203</f>
        <v>-1310.4331506659207</v>
      </c>
      <c r="E203" s="121">
        <v>0</v>
      </c>
      <c r="F203" s="65">
        <f t="shared" ref="F203:F210" si="11">D203*E203</f>
        <v>0</v>
      </c>
    </row>
    <row r="204" spans="1:6">
      <c r="A204" s="111" t="s">
        <v>342</v>
      </c>
      <c r="B204" s="112">
        <v>816282.3214624445</v>
      </c>
      <c r="C204" s="113">
        <f t="shared" si="9"/>
        <v>1.1325005540725921E-3</v>
      </c>
      <c r="D204" s="65">
        <f t="shared" si="10"/>
        <v>-1985.8521790723851</v>
      </c>
      <c r="E204" s="121">
        <v>0</v>
      </c>
      <c r="F204" s="65">
        <f t="shared" si="11"/>
        <v>0</v>
      </c>
    </row>
    <row r="205" spans="1:6">
      <c r="A205" s="111" t="s">
        <v>233</v>
      </c>
      <c r="B205" s="112">
        <v>-1065040.8425076064</v>
      </c>
      <c r="C205" s="113">
        <f t="shared" si="9"/>
        <v>-1.4776252192854793E-3</v>
      </c>
      <c r="D205" s="65">
        <f t="shared" si="10"/>
        <v>2591.0320758944999</v>
      </c>
      <c r="E205" s="121">
        <v>0.42853606113710269</v>
      </c>
      <c r="F205" s="65">
        <f t="shared" si="11"/>
        <v>1110.3506800837195</v>
      </c>
    </row>
    <row r="206" spans="1:6">
      <c r="A206" s="111" t="s">
        <v>478</v>
      </c>
      <c r="B206" s="112">
        <v>-5062.7660988439929</v>
      </c>
      <c r="C206" s="113">
        <f t="shared" si="9"/>
        <v>-7.0240225242272979E-6</v>
      </c>
      <c r="D206" s="65">
        <f t="shared" si="10"/>
        <v>12.316700760480334</v>
      </c>
      <c r="E206" s="121">
        <v>0</v>
      </c>
      <c r="F206" s="65">
        <f t="shared" si="11"/>
        <v>0</v>
      </c>
    </row>
    <row r="207" spans="1:6">
      <c r="A207" s="111" t="s">
        <v>234</v>
      </c>
      <c r="B207" s="112">
        <v>16108.718325629365</v>
      </c>
      <c r="C207" s="113">
        <f t="shared" si="9"/>
        <v>2.2349047565418705E-5</v>
      </c>
      <c r="D207" s="65">
        <f t="shared" si="10"/>
        <v>-39.189300745484921</v>
      </c>
      <c r="E207" s="121">
        <v>0</v>
      </c>
      <c r="F207" s="65">
        <f t="shared" si="11"/>
        <v>0</v>
      </c>
    </row>
    <row r="208" spans="1:6">
      <c r="A208" s="111" t="s">
        <v>235</v>
      </c>
      <c r="B208" s="112">
        <v>2811070.8695314634</v>
      </c>
      <c r="C208" s="113">
        <f t="shared" si="9"/>
        <v>3.900046875421856E-3</v>
      </c>
      <c r="D208" s="65">
        <f t="shared" si="10"/>
        <v>-6838.7750965678542</v>
      </c>
      <c r="E208" s="121">
        <v>0.42853606113710269</v>
      </c>
      <c r="F208" s="65">
        <f t="shared" si="11"/>
        <v>-2930.6617428856971</v>
      </c>
    </row>
    <row r="209" spans="1:6">
      <c r="A209" s="111" t="s">
        <v>343</v>
      </c>
      <c r="B209" s="112">
        <v>-399.64224534953775</v>
      </c>
      <c r="C209" s="113">
        <f t="shared" si="9"/>
        <v>-5.5445898115041972E-7</v>
      </c>
      <c r="D209" s="65">
        <f t="shared" si="10"/>
        <v>0.97224992249605369</v>
      </c>
      <c r="E209" s="121">
        <v>1</v>
      </c>
      <c r="F209" s="65">
        <f t="shared" si="11"/>
        <v>0.97224992249605369</v>
      </c>
    </row>
    <row r="210" spans="1:6">
      <c r="A210" s="111" t="s">
        <v>344</v>
      </c>
      <c r="B210" s="112">
        <v>157.80638458277986</v>
      </c>
      <c r="C210" s="113">
        <f t="shared" si="9"/>
        <v>2.1893873391255736E-7</v>
      </c>
      <c r="D210" s="65">
        <f t="shared" si="10"/>
        <v>-0.38391147824174238</v>
      </c>
      <c r="E210" s="121">
        <v>0</v>
      </c>
      <c r="F210" s="65">
        <f t="shared" si="11"/>
        <v>0</v>
      </c>
    </row>
    <row r="211" spans="1:6">
      <c r="A211" s="111"/>
      <c r="B211" s="112"/>
      <c r="C211" s="113"/>
      <c r="D211" s="65"/>
      <c r="E211" s="118"/>
      <c r="F211" s="65"/>
    </row>
    <row r="212" spans="1:6">
      <c r="A212" s="115" t="s">
        <v>479</v>
      </c>
      <c r="B212" s="116">
        <f>SUM(B10:B210)</f>
        <v>509923097.96153802</v>
      </c>
      <c r="C212" s="117">
        <f>SUM(C10:C210)</f>
        <v>0.70746134736965938</v>
      </c>
      <c r="D212" s="116">
        <f>SUM(D10:D210)</f>
        <v>-1240541.2546875193</v>
      </c>
      <c r="E212" s="69"/>
      <c r="F212" s="116">
        <f>SUM(F10:F210)</f>
        <v>-531262.99822752702</v>
      </c>
    </row>
    <row r="213" spans="1:6">
      <c r="A213" s="111"/>
      <c r="B213" s="118"/>
      <c r="C213" s="111"/>
      <c r="D213" s="65"/>
      <c r="E213" s="69"/>
      <c r="F213" s="65"/>
    </row>
    <row r="214" spans="1:6">
      <c r="A214" s="111" t="s">
        <v>480</v>
      </c>
      <c r="B214" s="114">
        <v>210855641.19846201</v>
      </c>
      <c r="C214" s="113">
        <f>B214/B216</f>
        <v>0.2925386526303404</v>
      </c>
      <c r="D214" s="114">
        <f t="shared" ref="D214" si="12">$D$216*C214</f>
        <v>-512969.74531248084</v>
      </c>
      <c r="E214" s="69"/>
      <c r="F214" s="65"/>
    </row>
    <row r="215" spans="1:6">
      <c r="A215" s="111"/>
      <c r="B215" s="118"/>
      <c r="C215" s="111"/>
      <c r="D215" s="118"/>
      <c r="E215" s="69"/>
      <c r="F215" s="65"/>
    </row>
    <row r="216" spans="1:6">
      <c r="A216" s="115" t="s">
        <v>481</v>
      </c>
      <c r="B216" s="116">
        <f>B212+B214</f>
        <v>720778739.16000009</v>
      </c>
      <c r="C216" s="117">
        <f>C212+C214</f>
        <v>0.99999999999999978</v>
      </c>
      <c r="D216" s="116">
        <f>'3.14'!K20</f>
        <v>-1753511</v>
      </c>
      <c r="E216" s="69"/>
      <c r="F216" s="65"/>
    </row>
    <row r="217" spans="1:6">
      <c r="A217" s="111"/>
      <c r="B217" s="118"/>
      <c r="C217" s="111"/>
      <c r="D217" s="118"/>
      <c r="E217" s="69"/>
      <c r="F217" s="65"/>
    </row>
    <row r="218" spans="1:6">
      <c r="A218" s="66"/>
      <c r="B218" s="66"/>
      <c r="C218" s="95"/>
      <c r="D218" s="66"/>
      <c r="E218" s="96"/>
      <c r="F218" s="66"/>
    </row>
    <row r="219" spans="1:6">
      <c r="A219" s="66"/>
      <c r="B219" s="67"/>
      <c r="C219" s="97"/>
      <c r="D219" s="67"/>
      <c r="E219" s="96"/>
      <c r="F219" s="67"/>
    </row>
    <row r="220" spans="1:6">
      <c r="A220" s="66"/>
      <c r="B220" s="66"/>
      <c r="C220" s="66"/>
      <c r="D220" s="98"/>
      <c r="E220" s="96"/>
      <c r="F220" s="68"/>
    </row>
    <row r="221" spans="1:6">
      <c r="A221" s="62"/>
      <c r="B221" s="58"/>
      <c r="C221" s="58"/>
      <c r="D221" s="65"/>
      <c r="E221" s="69"/>
      <c r="F221" s="68"/>
    </row>
    <row r="222" spans="1:6">
      <c r="A222" s="58"/>
      <c r="B222" s="58"/>
      <c r="C222" s="58"/>
      <c r="D222" s="68"/>
      <c r="E222" s="69"/>
      <c r="F222" s="68"/>
    </row>
    <row r="223" spans="1:6">
      <c r="A223" s="58"/>
      <c r="B223" s="58"/>
      <c r="C223" s="58"/>
      <c r="D223" s="68"/>
      <c r="E223" s="69"/>
      <c r="F223" s="68"/>
    </row>
    <row r="224" spans="1:6">
      <c r="A224" s="58"/>
      <c r="B224" s="58"/>
      <c r="C224" s="58"/>
      <c r="D224" s="68"/>
      <c r="E224" s="69"/>
      <c r="F224" s="68"/>
    </row>
    <row r="225" spans="1:6">
      <c r="A225" s="58"/>
      <c r="B225" s="58"/>
      <c r="C225" s="58"/>
      <c r="D225" s="68"/>
      <c r="E225" s="69"/>
      <c r="F225" s="68"/>
    </row>
  </sheetData>
  <phoneticPr fontId="8" type="noConversion"/>
  <pageMargins left="0.75" right="0.75" top="1" bottom="1" header="0.5" footer="0.5"/>
  <pageSetup scale="67" fitToHeight="4"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O35"/>
  <sheetViews>
    <sheetView topLeftCell="A4" workbookViewId="0">
      <selection activeCell="K4" sqref="K4"/>
    </sheetView>
  </sheetViews>
  <sheetFormatPr defaultRowHeight="15.75"/>
  <cols>
    <col min="1" max="1" width="3.375" customWidth="1"/>
    <col min="2" max="2" width="1.625" customWidth="1"/>
    <col min="3" max="3" width="42.75" customWidth="1"/>
    <col min="4" max="4" width="1.5" customWidth="1"/>
    <col min="5" max="6" width="1.25" customWidth="1"/>
    <col min="7" max="7" width="7.75" customWidth="1"/>
    <col min="8" max="8" width="1.25" customWidth="1"/>
    <col min="9" max="9" width="11.25" customWidth="1"/>
    <col min="10" max="10" width="1.75" customWidth="1"/>
    <col min="11" max="11" width="9.375" customWidth="1"/>
    <col min="12" max="12" width="1.875" customWidth="1"/>
    <col min="13" max="13" width="11.125" customWidth="1"/>
    <col min="14" max="14" width="1.625" customWidth="1"/>
    <col min="15" max="15" width="11.5" customWidth="1"/>
  </cols>
  <sheetData>
    <row r="1" spans="1:15">
      <c r="A1" s="7" t="s">
        <v>15</v>
      </c>
      <c r="K1" s="7" t="s">
        <v>244</v>
      </c>
      <c r="M1" s="18"/>
      <c r="N1" s="18"/>
      <c r="O1" s="18"/>
    </row>
    <row r="2" spans="1:15">
      <c r="A2" s="17" t="s">
        <v>13</v>
      </c>
      <c r="K2" t="s">
        <v>365</v>
      </c>
      <c r="M2" s="18"/>
      <c r="N2" s="18"/>
      <c r="O2" s="18"/>
    </row>
    <row r="3" spans="1:15">
      <c r="A3" s="5" t="s">
        <v>440</v>
      </c>
      <c r="K3" t="s">
        <v>633</v>
      </c>
      <c r="M3" s="18"/>
      <c r="N3" s="18"/>
      <c r="O3" s="18"/>
    </row>
    <row r="4" spans="1:15">
      <c r="A4" t="s">
        <v>357</v>
      </c>
      <c r="K4" t="s">
        <v>649</v>
      </c>
      <c r="M4" s="18"/>
      <c r="N4" s="18"/>
      <c r="O4" s="18"/>
    </row>
    <row r="5" spans="1:15">
      <c r="M5" s="18"/>
      <c r="N5" s="18"/>
      <c r="O5" s="18"/>
    </row>
    <row r="6" spans="1:15">
      <c r="A6" s="18"/>
      <c r="B6" s="18"/>
      <c r="C6" s="18"/>
      <c r="D6" s="18"/>
      <c r="E6" s="18"/>
      <c r="F6" s="18"/>
      <c r="G6" s="18"/>
      <c r="H6" s="18"/>
      <c r="I6" s="18"/>
      <c r="J6" s="18"/>
      <c r="K6" s="18"/>
      <c r="L6" s="18"/>
      <c r="M6" s="18"/>
      <c r="N6" s="18"/>
      <c r="O6" s="18"/>
    </row>
    <row r="7" spans="1:15">
      <c r="A7" s="18"/>
      <c r="B7" s="18"/>
      <c r="C7" s="18"/>
      <c r="D7" s="18"/>
      <c r="E7" s="18"/>
      <c r="F7" s="18"/>
      <c r="G7" s="18"/>
      <c r="H7" s="18"/>
      <c r="I7" s="18"/>
      <c r="J7" s="18"/>
      <c r="K7" s="18"/>
      <c r="L7" s="18"/>
      <c r="M7" s="18"/>
      <c r="N7" s="18"/>
      <c r="O7" s="18"/>
    </row>
    <row r="8" spans="1:15">
      <c r="G8" s="1"/>
      <c r="H8" s="1"/>
      <c r="I8" s="1" t="s">
        <v>4</v>
      </c>
      <c r="J8" s="1"/>
      <c r="K8" s="1"/>
      <c r="L8" s="1"/>
      <c r="M8" s="1"/>
      <c r="N8" s="1"/>
      <c r="O8" s="1" t="s">
        <v>9</v>
      </c>
    </row>
    <row r="9" spans="1:15">
      <c r="A9" s="4"/>
      <c r="C9" s="2" t="s">
        <v>1</v>
      </c>
      <c r="D9" s="4"/>
      <c r="E9" s="15"/>
      <c r="G9" s="10" t="s">
        <v>11</v>
      </c>
      <c r="H9" s="1"/>
      <c r="I9" s="10" t="s">
        <v>6</v>
      </c>
      <c r="J9" s="1"/>
      <c r="K9" s="10" t="s">
        <v>7</v>
      </c>
      <c r="L9" s="1"/>
      <c r="M9" s="11" t="s">
        <v>10</v>
      </c>
      <c r="N9" s="1"/>
      <c r="O9" s="10" t="s">
        <v>8</v>
      </c>
    </row>
    <row r="11" spans="1:15">
      <c r="C11" s="3" t="s">
        <v>12</v>
      </c>
    </row>
    <row r="13" spans="1:15">
      <c r="A13">
        <v>1</v>
      </c>
      <c r="C13" t="s">
        <v>441</v>
      </c>
      <c r="G13" s="56">
        <v>903</v>
      </c>
      <c r="I13" s="50">
        <f>-729461</f>
        <v>-729461</v>
      </c>
      <c r="J13" s="4"/>
      <c r="K13" s="8" t="s">
        <v>443</v>
      </c>
      <c r="L13" s="8"/>
      <c r="M13" s="108">
        <v>0.49892999999999998</v>
      </c>
      <c r="N13" s="4"/>
      <c r="O13" s="50">
        <f>I13*M13</f>
        <v>-363949.97672999999</v>
      </c>
    </row>
    <row r="15" spans="1:15">
      <c r="A15">
        <v>2</v>
      </c>
      <c r="C15" t="s">
        <v>444</v>
      </c>
      <c r="G15" s="56">
        <v>903</v>
      </c>
      <c r="I15" s="50">
        <v>-342077</v>
      </c>
      <c r="J15" s="4"/>
      <c r="K15" s="8" t="s">
        <v>459</v>
      </c>
      <c r="L15" s="8"/>
      <c r="M15" s="108">
        <v>1</v>
      </c>
      <c r="N15" s="4"/>
      <c r="O15" s="50">
        <f>I15*M15</f>
        <v>-342077</v>
      </c>
    </row>
    <row r="17" spans="1:15">
      <c r="A17">
        <v>3</v>
      </c>
      <c r="C17" t="s">
        <v>450</v>
      </c>
      <c r="G17" s="56">
        <v>930.2</v>
      </c>
      <c r="I17" s="50">
        <f>-31013*1.0417</f>
        <v>-32306.242100000003</v>
      </c>
      <c r="J17" s="4"/>
      <c r="K17" s="8" t="s">
        <v>245</v>
      </c>
      <c r="L17" s="8"/>
      <c r="M17" s="108">
        <v>0.42853999999999998</v>
      </c>
      <c r="N17" s="4"/>
      <c r="O17" s="50">
        <f>I17*M17</f>
        <v>-13844.516989534</v>
      </c>
    </row>
    <row r="19" spans="1:15">
      <c r="A19">
        <v>4</v>
      </c>
      <c r="C19" t="s">
        <v>452</v>
      </c>
      <c r="G19" s="56">
        <v>580</v>
      </c>
      <c r="I19" s="50">
        <v>-106506</v>
      </c>
      <c r="K19" s="1" t="s">
        <v>451</v>
      </c>
      <c r="M19" s="108">
        <v>0.48092000000000001</v>
      </c>
      <c r="O19" s="50">
        <f>I19*M19</f>
        <v>-51220.865519999999</v>
      </c>
    </row>
    <row r="21" spans="1:15">
      <c r="A21">
        <v>5</v>
      </c>
      <c r="C21" t="s">
        <v>453</v>
      </c>
      <c r="G21" s="56">
        <v>593</v>
      </c>
      <c r="I21" s="47">
        <f>-50000*0.25</f>
        <v>-12500</v>
      </c>
      <c r="K21" s="1" t="s">
        <v>451</v>
      </c>
      <c r="M21" s="108">
        <v>0.48092000000000001</v>
      </c>
      <c r="O21" s="47">
        <f>I21*M21</f>
        <v>-6011.5</v>
      </c>
    </row>
    <row r="23" spans="1:15">
      <c r="A23">
        <v>6</v>
      </c>
      <c r="C23" t="s">
        <v>454</v>
      </c>
      <c r="I23" s="40">
        <f>SUM(I13:I21)</f>
        <v>-1222850.2420999999</v>
      </c>
      <c r="O23" s="40">
        <f>SUM(O13:O21)</f>
        <v>-777103.85923953401</v>
      </c>
    </row>
    <row r="31" spans="1:15">
      <c r="C31" t="s">
        <v>265</v>
      </c>
    </row>
    <row r="32" spans="1:15">
      <c r="C32" s="218" t="s">
        <v>455</v>
      </c>
      <c r="D32" s="219"/>
      <c r="E32" s="219"/>
      <c r="F32" s="219"/>
      <c r="G32" s="219"/>
      <c r="H32" s="219"/>
      <c r="I32" s="219"/>
      <c r="J32" s="219"/>
      <c r="K32" s="219"/>
      <c r="L32" s="219"/>
      <c r="M32" s="219"/>
      <c r="N32" s="219"/>
      <c r="O32" s="220"/>
    </row>
    <row r="33" spans="3:15">
      <c r="C33" s="221"/>
      <c r="D33" s="222"/>
      <c r="E33" s="222"/>
      <c r="F33" s="222"/>
      <c r="G33" s="222"/>
      <c r="H33" s="222"/>
      <c r="I33" s="222"/>
      <c r="J33" s="222"/>
      <c r="K33" s="222"/>
      <c r="L33" s="222"/>
      <c r="M33" s="222"/>
      <c r="N33" s="222"/>
      <c r="O33" s="223"/>
    </row>
    <row r="34" spans="3:15">
      <c r="C34" s="221"/>
      <c r="D34" s="222"/>
      <c r="E34" s="222"/>
      <c r="F34" s="222"/>
      <c r="G34" s="222"/>
      <c r="H34" s="222"/>
      <c r="I34" s="222"/>
      <c r="J34" s="222"/>
      <c r="K34" s="222"/>
      <c r="L34" s="222"/>
      <c r="M34" s="222"/>
      <c r="N34" s="222"/>
      <c r="O34" s="223"/>
    </row>
    <row r="35" spans="3:15">
      <c r="C35" s="224"/>
      <c r="D35" s="225"/>
      <c r="E35" s="225"/>
      <c r="F35" s="225"/>
      <c r="G35" s="225"/>
      <c r="H35" s="225"/>
      <c r="I35" s="225"/>
      <c r="J35" s="225"/>
      <c r="K35" s="225"/>
      <c r="L35" s="225"/>
      <c r="M35" s="225"/>
      <c r="N35" s="225"/>
      <c r="O35" s="226"/>
    </row>
  </sheetData>
  <mergeCells count="1">
    <mergeCell ref="C32:O35"/>
  </mergeCells>
  <pageMargins left="0.7" right="0.7" top="0.75" bottom="0.75" header="0.3" footer="0.3"/>
  <pageSetup scale="77"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H24"/>
  <sheetViews>
    <sheetView workbookViewId="0">
      <selection activeCell="C4" sqref="C4"/>
    </sheetView>
  </sheetViews>
  <sheetFormatPr defaultRowHeight="15.75"/>
  <cols>
    <col min="1" max="1" width="44" customWidth="1"/>
    <col min="2" max="2" width="13.5" customWidth="1"/>
    <col min="3" max="3" width="13.25" customWidth="1"/>
    <col min="4" max="4" width="12.25" customWidth="1"/>
    <col min="5" max="5" width="1.625" customWidth="1"/>
    <col min="7" max="7" width="1.5" customWidth="1"/>
    <col min="8" max="8" width="9.75" customWidth="1"/>
  </cols>
  <sheetData>
    <row r="1" spans="1:8">
      <c r="A1" s="7" t="s">
        <v>15</v>
      </c>
      <c r="B1" s="7"/>
      <c r="C1" s="7" t="s">
        <v>244</v>
      </c>
      <c r="E1" s="7"/>
      <c r="F1" s="7"/>
      <c r="G1" s="7"/>
      <c r="H1" s="7"/>
    </row>
    <row r="2" spans="1:8">
      <c r="A2" s="17" t="s">
        <v>13</v>
      </c>
      <c r="B2" s="7"/>
      <c r="C2" t="s">
        <v>365</v>
      </c>
      <c r="E2" s="7"/>
      <c r="F2" s="7"/>
      <c r="G2" s="7"/>
      <c r="H2" s="7"/>
    </row>
    <row r="3" spans="1:8">
      <c r="A3" s="5" t="s">
        <v>440</v>
      </c>
      <c r="B3" s="7"/>
      <c r="C3" t="s">
        <v>674</v>
      </c>
      <c r="E3" s="7"/>
      <c r="F3" s="7"/>
      <c r="G3" s="7"/>
      <c r="H3" s="7"/>
    </row>
    <row r="4" spans="1:8">
      <c r="A4" t="s">
        <v>357</v>
      </c>
      <c r="B4" s="7"/>
      <c r="C4" t="s">
        <v>669</v>
      </c>
      <c r="E4" s="7"/>
      <c r="F4" s="7"/>
      <c r="G4" s="7"/>
      <c r="H4" s="7"/>
    </row>
    <row r="5" spans="1:8">
      <c r="B5" s="7"/>
      <c r="C5" s="7"/>
      <c r="D5" s="7"/>
      <c r="E5" s="7"/>
      <c r="F5" s="7"/>
      <c r="G5" s="7"/>
      <c r="H5" s="7"/>
    </row>
    <row r="6" spans="1:8">
      <c r="A6" t="s">
        <v>456</v>
      </c>
    </row>
    <row r="7" spans="1:8">
      <c r="D7" s="1"/>
      <c r="E7" s="1"/>
      <c r="F7" s="1"/>
      <c r="G7" s="1"/>
      <c r="H7" s="1"/>
    </row>
    <row r="8" spans="1:8">
      <c r="D8" s="1"/>
      <c r="E8" s="1"/>
      <c r="F8" s="1"/>
      <c r="G8" s="1"/>
      <c r="H8" s="1"/>
    </row>
    <row r="9" spans="1:8">
      <c r="A9" s="3" t="s">
        <v>442</v>
      </c>
      <c r="B9" s="3"/>
      <c r="C9" s="3"/>
      <c r="D9" s="36" t="s">
        <v>2</v>
      </c>
      <c r="E9" s="36"/>
      <c r="F9" s="36"/>
      <c r="G9" s="36"/>
      <c r="H9" s="36"/>
    </row>
    <row r="10" spans="1:8">
      <c r="D10" s="46"/>
    </row>
    <row r="11" spans="1:8">
      <c r="A11" t="s">
        <v>445</v>
      </c>
      <c r="D11" s="46">
        <v>2580000</v>
      </c>
    </row>
    <row r="12" spans="1:8">
      <c r="D12" s="46"/>
      <c r="F12" s="57"/>
      <c r="H12" s="46"/>
    </row>
    <row r="13" spans="1:8">
      <c r="A13" t="s">
        <v>446</v>
      </c>
      <c r="D13" s="47">
        <v>1852176</v>
      </c>
      <c r="H13" s="46"/>
    </row>
    <row r="14" spans="1:8">
      <c r="D14" s="46"/>
    </row>
    <row r="15" spans="1:8">
      <c r="A15" t="s">
        <v>447</v>
      </c>
      <c r="D15" s="46">
        <f>D11-D13</f>
        <v>727824</v>
      </c>
    </row>
    <row r="16" spans="1:8">
      <c r="D16" s="46"/>
    </row>
    <row r="17" spans="1:8">
      <c r="A17" t="s">
        <v>448</v>
      </c>
      <c r="D17" s="109">
        <v>0.47</v>
      </c>
    </row>
    <row r="18" spans="1:8">
      <c r="D18" s="46"/>
      <c r="F18" s="57"/>
      <c r="H18" s="46"/>
    </row>
    <row r="19" spans="1:8">
      <c r="A19" t="s">
        <v>449</v>
      </c>
      <c r="D19" s="110">
        <f>D15*D17</f>
        <v>342077.27999999997</v>
      </c>
      <c r="F19" s="57"/>
      <c r="H19" s="46"/>
    </row>
    <row r="20" spans="1:8">
      <c r="D20" s="46"/>
      <c r="F20" s="57"/>
      <c r="H20" s="46"/>
    </row>
    <row r="24" spans="1:8">
      <c r="A24" t="s">
        <v>660</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O31"/>
  <sheetViews>
    <sheetView workbookViewId="0">
      <selection activeCell="L25" sqref="L25"/>
    </sheetView>
  </sheetViews>
  <sheetFormatPr defaultRowHeight="15.75"/>
  <cols>
    <col min="1" max="1" width="3.375" customWidth="1"/>
    <col min="2" max="2" width="1.625" customWidth="1"/>
    <col min="3" max="3" width="42.75" customWidth="1"/>
    <col min="4" max="4" width="1.5" customWidth="1"/>
    <col min="5" max="6" width="1.25" customWidth="1"/>
    <col min="7" max="7" width="7.75" customWidth="1"/>
    <col min="8" max="8" width="1.25" customWidth="1"/>
    <col min="9" max="9" width="11.25" customWidth="1"/>
    <col min="10" max="10" width="1.75" customWidth="1"/>
    <col min="11" max="11" width="9.375" customWidth="1"/>
    <col min="12" max="12" width="1.875" customWidth="1"/>
    <col min="13" max="13" width="11.125" customWidth="1"/>
    <col min="14" max="14" width="1.625" customWidth="1"/>
    <col min="15" max="15" width="11.5" customWidth="1"/>
  </cols>
  <sheetData>
    <row r="1" spans="1:15">
      <c r="A1" s="7" t="s">
        <v>15</v>
      </c>
      <c r="K1" s="7" t="s">
        <v>244</v>
      </c>
      <c r="M1" s="18"/>
      <c r="N1" s="18"/>
      <c r="O1" s="18"/>
    </row>
    <row r="2" spans="1:15">
      <c r="A2" s="17" t="s">
        <v>13</v>
      </c>
      <c r="K2" t="s">
        <v>365</v>
      </c>
      <c r="M2" s="18"/>
      <c r="N2" s="18"/>
      <c r="O2" s="18"/>
    </row>
    <row r="3" spans="1:15">
      <c r="A3" s="5" t="s">
        <v>439</v>
      </c>
      <c r="K3" t="s">
        <v>634</v>
      </c>
      <c r="M3" s="18"/>
      <c r="N3" s="18"/>
      <c r="O3" s="18"/>
    </row>
    <row r="4" spans="1:15">
      <c r="A4" t="s">
        <v>357</v>
      </c>
      <c r="K4" t="s">
        <v>649</v>
      </c>
      <c r="M4" s="18"/>
      <c r="N4" s="18"/>
      <c r="O4" s="18"/>
    </row>
    <row r="5" spans="1:15">
      <c r="M5" s="18"/>
      <c r="N5" s="18"/>
      <c r="O5" s="18"/>
    </row>
    <row r="6" spans="1:15">
      <c r="A6" s="18"/>
      <c r="B6" s="18"/>
      <c r="C6" s="18"/>
      <c r="D6" s="19" t="s">
        <v>642</v>
      </c>
      <c r="E6" s="18"/>
      <c r="F6" s="18"/>
      <c r="G6" s="18"/>
      <c r="H6" s="18"/>
      <c r="I6" s="18"/>
      <c r="J6" s="18"/>
      <c r="K6" s="18"/>
      <c r="L6" s="18"/>
      <c r="M6" s="18"/>
      <c r="N6" s="18"/>
      <c r="O6" s="18"/>
    </row>
    <row r="7" spans="1:15">
      <c r="A7" s="18"/>
      <c r="B7" s="18"/>
      <c r="C7" s="18"/>
      <c r="D7" s="18"/>
      <c r="E7" s="18"/>
      <c r="F7" s="18"/>
      <c r="G7" s="18"/>
      <c r="H7" s="18"/>
      <c r="I7" s="18"/>
      <c r="J7" s="18"/>
      <c r="K7" s="18"/>
      <c r="L7" s="18"/>
      <c r="M7" s="18"/>
      <c r="N7" s="18"/>
      <c r="O7" s="18"/>
    </row>
    <row r="8" spans="1:15">
      <c r="G8" s="1"/>
      <c r="H8" s="1"/>
      <c r="I8" s="1" t="s">
        <v>4</v>
      </c>
      <c r="J8" s="1"/>
      <c r="K8" s="1"/>
      <c r="L8" s="1"/>
      <c r="M8" s="1"/>
      <c r="N8" s="1"/>
      <c r="O8" s="1" t="s">
        <v>9</v>
      </c>
    </row>
    <row r="9" spans="1:15">
      <c r="A9" s="4"/>
      <c r="C9" s="2" t="s">
        <v>1</v>
      </c>
      <c r="D9" s="4"/>
      <c r="E9" s="15"/>
      <c r="G9" s="10" t="s">
        <v>11</v>
      </c>
      <c r="H9" s="1"/>
      <c r="I9" s="10" t="s">
        <v>6</v>
      </c>
      <c r="J9" s="1"/>
      <c r="K9" s="10" t="s">
        <v>7</v>
      </c>
      <c r="L9" s="1"/>
      <c r="M9" s="11" t="s">
        <v>10</v>
      </c>
      <c r="N9" s="1"/>
      <c r="O9" s="10" t="s">
        <v>8</v>
      </c>
    </row>
    <row r="11" spans="1:15">
      <c r="C11" s="3" t="s">
        <v>12</v>
      </c>
    </row>
    <row r="13" spans="1:15">
      <c r="A13">
        <v>1</v>
      </c>
      <c r="C13" t="s">
        <v>436</v>
      </c>
      <c r="G13" s="56">
        <v>923</v>
      </c>
      <c r="I13" s="180">
        <v>0</v>
      </c>
      <c r="K13" s="1" t="s">
        <v>245</v>
      </c>
      <c r="L13" s="1"/>
      <c r="M13" s="104">
        <v>0.42853999999999998</v>
      </c>
      <c r="O13" s="180">
        <f>I13*M13</f>
        <v>0</v>
      </c>
    </row>
    <row r="19" spans="1:15">
      <c r="A19" s="4"/>
      <c r="B19" s="4"/>
      <c r="C19" s="39"/>
      <c r="D19" s="4"/>
      <c r="E19" s="4"/>
      <c r="F19" s="4"/>
      <c r="G19" s="4"/>
      <c r="H19" s="4"/>
      <c r="I19" s="4"/>
      <c r="J19" s="4"/>
      <c r="K19" s="4"/>
      <c r="L19" s="4"/>
      <c r="M19" s="4"/>
      <c r="N19" s="4"/>
      <c r="O19" s="4"/>
    </row>
    <row r="20" spans="1:15">
      <c r="A20" s="4"/>
      <c r="B20" s="4"/>
      <c r="C20" s="4"/>
      <c r="D20" s="4"/>
      <c r="E20" s="4"/>
      <c r="F20" s="4"/>
      <c r="G20" s="4"/>
      <c r="H20" s="4"/>
      <c r="I20" s="4"/>
      <c r="J20" s="4"/>
      <c r="K20" s="4"/>
      <c r="L20" s="4"/>
      <c r="M20" s="50"/>
      <c r="N20" s="4"/>
      <c r="O20" s="4"/>
    </row>
    <row r="21" spans="1:15">
      <c r="A21" s="4"/>
      <c r="B21" s="4"/>
      <c r="C21" s="4"/>
      <c r="D21" s="4"/>
      <c r="E21" s="4"/>
      <c r="F21" s="4"/>
      <c r="G21" s="4"/>
      <c r="H21" s="4"/>
      <c r="I21" s="50"/>
      <c r="J21" s="4"/>
      <c r="K21" s="4"/>
      <c r="L21" s="4"/>
      <c r="M21" s="107"/>
      <c r="N21" s="4"/>
      <c r="O21" s="4"/>
    </row>
    <row r="22" spans="1:15">
      <c r="A22" s="4"/>
      <c r="B22" s="4"/>
      <c r="C22" s="4"/>
      <c r="D22" s="4"/>
      <c r="E22" s="4"/>
      <c r="F22" s="4"/>
      <c r="G22" s="4"/>
      <c r="H22" s="4"/>
      <c r="I22" s="4"/>
      <c r="J22" s="4"/>
      <c r="K22" s="4"/>
      <c r="L22" s="4"/>
      <c r="M22" s="50"/>
      <c r="N22" s="4"/>
      <c r="O22" s="4"/>
    </row>
    <row r="27" spans="1:15">
      <c r="C27" t="s">
        <v>265</v>
      </c>
    </row>
    <row r="28" spans="1:15">
      <c r="C28" s="218" t="s">
        <v>661</v>
      </c>
      <c r="D28" s="219"/>
      <c r="E28" s="219"/>
      <c r="F28" s="219"/>
      <c r="G28" s="219"/>
      <c r="H28" s="219"/>
      <c r="I28" s="219"/>
      <c r="J28" s="219"/>
      <c r="K28" s="219"/>
      <c r="L28" s="219"/>
      <c r="M28" s="219"/>
      <c r="N28" s="219"/>
      <c r="O28" s="220"/>
    </row>
    <row r="29" spans="1:15">
      <c r="C29" s="221"/>
      <c r="D29" s="222"/>
      <c r="E29" s="222"/>
      <c r="F29" s="222"/>
      <c r="G29" s="222"/>
      <c r="H29" s="222"/>
      <c r="I29" s="222"/>
      <c r="J29" s="222"/>
      <c r="K29" s="222"/>
      <c r="L29" s="222"/>
      <c r="M29" s="222"/>
      <c r="N29" s="222"/>
      <c r="O29" s="223"/>
    </row>
    <row r="30" spans="1:15">
      <c r="C30" s="221"/>
      <c r="D30" s="222"/>
      <c r="E30" s="222"/>
      <c r="F30" s="222"/>
      <c r="G30" s="222"/>
      <c r="H30" s="222"/>
      <c r="I30" s="222"/>
      <c r="J30" s="222"/>
      <c r="K30" s="222"/>
      <c r="L30" s="222"/>
      <c r="M30" s="222"/>
      <c r="N30" s="222"/>
      <c r="O30" s="223"/>
    </row>
    <row r="31" spans="1:15">
      <c r="C31" s="224"/>
      <c r="D31" s="225"/>
      <c r="E31" s="225"/>
      <c r="F31" s="225"/>
      <c r="G31" s="225"/>
      <c r="H31" s="225"/>
      <c r="I31" s="225"/>
      <c r="J31" s="225"/>
      <c r="K31" s="225"/>
      <c r="L31" s="225"/>
      <c r="M31" s="225"/>
      <c r="N31" s="225"/>
      <c r="O31" s="226"/>
    </row>
  </sheetData>
  <mergeCells count="1">
    <mergeCell ref="C28:O31"/>
  </mergeCells>
  <pageMargins left="0.7" right="0.7" top="0.75" bottom="0.75" header="0.3" footer="0.3"/>
  <pageSetup scale="77"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M32"/>
  <sheetViews>
    <sheetView workbookViewId="0">
      <selection activeCell="K4" sqref="K4"/>
    </sheetView>
  </sheetViews>
  <sheetFormatPr defaultRowHeight="15.75"/>
  <cols>
    <col min="1" max="1" width="4.625" customWidth="1"/>
    <col min="2" max="2" width="1.625" customWidth="1"/>
    <col min="3" max="3" width="33.125" customWidth="1"/>
    <col min="4" max="4" width="2.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3">
      <c r="A1" s="7" t="s">
        <v>15</v>
      </c>
      <c r="B1" s="7"/>
      <c r="C1" s="7"/>
      <c r="K1" s="7" t="s">
        <v>244</v>
      </c>
    </row>
    <row r="2" spans="1:13">
      <c r="A2" s="17" t="s">
        <v>13</v>
      </c>
      <c r="B2" s="7"/>
      <c r="C2" s="7"/>
      <c r="K2" t="s">
        <v>365</v>
      </c>
    </row>
    <row r="3" spans="1:13">
      <c r="A3" s="5" t="s">
        <v>435</v>
      </c>
      <c r="B3" s="7"/>
      <c r="C3" s="7"/>
      <c r="K3" t="s">
        <v>635</v>
      </c>
    </row>
    <row r="4" spans="1:13">
      <c r="A4" t="s">
        <v>357</v>
      </c>
      <c r="B4" s="7"/>
      <c r="C4" s="7"/>
      <c r="K4" t="s">
        <v>649</v>
      </c>
    </row>
    <row r="8" spans="1:13">
      <c r="A8" s="7"/>
      <c r="B8" s="7"/>
      <c r="C8" s="7"/>
      <c r="D8" s="7"/>
      <c r="E8" s="7"/>
      <c r="F8" s="7"/>
      <c r="G8" s="38"/>
      <c r="H8" s="38"/>
      <c r="I8" s="38"/>
      <c r="J8" s="38"/>
      <c r="K8" s="38"/>
      <c r="L8" s="38"/>
      <c r="M8" s="23"/>
    </row>
    <row r="9" spans="1:13">
      <c r="A9" t="s">
        <v>0</v>
      </c>
      <c r="E9" s="1"/>
      <c r="F9" s="1"/>
      <c r="G9" s="1" t="s">
        <v>4</v>
      </c>
      <c r="H9" s="1"/>
      <c r="I9" s="1"/>
      <c r="J9" s="1"/>
      <c r="K9" s="1"/>
      <c r="L9" s="1"/>
      <c r="M9" s="1" t="s">
        <v>9</v>
      </c>
    </row>
    <row r="10" spans="1:13">
      <c r="A10" s="2" t="s">
        <v>3</v>
      </c>
      <c r="C10" s="2" t="s">
        <v>1</v>
      </c>
      <c r="E10" s="10" t="s">
        <v>70</v>
      </c>
      <c r="F10" s="1"/>
      <c r="G10" s="10" t="s">
        <v>6</v>
      </c>
      <c r="H10" s="1"/>
      <c r="I10" s="10" t="s">
        <v>7</v>
      </c>
      <c r="J10" s="1"/>
      <c r="K10" s="11" t="s">
        <v>10</v>
      </c>
      <c r="L10" s="1"/>
      <c r="M10" s="10" t="s">
        <v>8</v>
      </c>
    </row>
    <row r="12" spans="1:13">
      <c r="A12">
        <v>1</v>
      </c>
      <c r="C12" t="s">
        <v>504</v>
      </c>
      <c r="E12" s="123">
        <v>506</v>
      </c>
      <c r="G12" s="6">
        <f>-'3.17.1'!G26</f>
        <v>-1975685.9425000001</v>
      </c>
      <c r="I12" s="1" t="s">
        <v>14</v>
      </c>
      <c r="K12" s="124">
        <v>0.43154999999999999</v>
      </c>
      <c r="M12" s="46">
        <f>G12*K12</f>
        <v>-852607.26848587499</v>
      </c>
    </row>
    <row r="13" spans="1:13">
      <c r="E13" s="123"/>
      <c r="I13" s="1"/>
      <c r="K13" s="124"/>
    </row>
    <row r="14" spans="1:13">
      <c r="A14">
        <v>2</v>
      </c>
      <c r="C14" t="s">
        <v>505</v>
      </c>
      <c r="E14" s="123">
        <v>557</v>
      </c>
      <c r="G14" s="40">
        <f>-'3.17.1'!G30</f>
        <v>-788265.95909999998</v>
      </c>
      <c r="I14" s="1" t="s">
        <v>14</v>
      </c>
      <c r="K14" s="124">
        <v>0.43154999999999999</v>
      </c>
      <c r="M14" s="47">
        <f>G14*K14</f>
        <v>-340176.174649605</v>
      </c>
    </row>
    <row r="15" spans="1:13">
      <c r="E15" s="123"/>
      <c r="G15" s="6"/>
      <c r="I15" s="1"/>
      <c r="K15" s="124"/>
    </row>
    <row r="16" spans="1:13" ht="16.5" thickBot="1">
      <c r="A16">
        <v>3</v>
      </c>
      <c r="C16" t="s">
        <v>506</v>
      </c>
      <c r="E16" s="123"/>
      <c r="G16" s="6">
        <f>SUM(G12:G14)</f>
        <v>-2763951.9016</v>
      </c>
      <c r="I16" s="1"/>
      <c r="K16" s="124"/>
      <c r="M16" s="14">
        <f>SUM(M12:M14)</f>
        <v>-1192783.4431354799</v>
      </c>
    </row>
    <row r="17" spans="3:13" ht="16.5" thickTop="1">
      <c r="E17" s="123"/>
      <c r="G17" s="6"/>
      <c r="I17" s="1"/>
      <c r="K17" s="124"/>
    </row>
    <row r="18" spans="3:13">
      <c r="E18" s="123"/>
      <c r="K18" s="124"/>
    </row>
    <row r="19" spans="3:13">
      <c r="K19" s="124"/>
    </row>
    <row r="20" spans="3:13">
      <c r="K20" s="124"/>
    </row>
    <row r="21" spans="3:13">
      <c r="K21" s="124"/>
    </row>
    <row r="22" spans="3:13">
      <c r="K22" s="124"/>
    </row>
    <row r="27" spans="3:13">
      <c r="C27" t="s">
        <v>5</v>
      </c>
    </row>
    <row r="29" spans="3:13">
      <c r="C29" s="209" t="s">
        <v>636</v>
      </c>
      <c r="D29" s="210"/>
      <c r="E29" s="210"/>
      <c r="F29" s="210"/>
      <c r="G29" s="210"/>
      <c r="H29" s="210"/>
      <c r="I29" s="210"/>
      <c r="J29" s="210"/>
      <c r="K29" s="210"/>
      <c r="L29" s="210"/>
      <c r="M29" s="211"/>
    </row>
    <row r="30" spans="3:13">
      <c r="C30" s="212"/>
      <c r="D30" s="213"/>
      <c r="E30" s="213"/>
      <c r="F30" s="213"/>
      <c r="G30" s="213"/>
      <c r="H30" s="213"/>
      <c r="I30" s="213"/>
      <c r="J30" s="213"/>
      <c r="K30" s="213"/>
      <c r="L30" s="213"/>
      <c r="M30" s="214"/>
    </row>
    <row r="31" spans="3:13">
      <c r="C31" s="212"/>
      <c r="D31" s="213"/>
      <c r="E31" s="213"/>
      <c r="F31" s="213"/>
      <c r="G31" s="213"/>
      <c r="H31" s="213"/>
      <c r="I31" s="213"/>
      <c r="J31" s="213"/>
      <c r="K31" s="213"/>
      <c r="L31" s="213"/>
      <c r="M31" s="214"/>
    </row>
    <row r="32" spans="3:13">
      <c r="C32" s="215"/>
      <c r="D32" s="216"/>
      <c r="E32" s="216"/>
      <c r="F32" s="216"/>
      <c r="G32" s="216"/>
      <c r="H32" s="216"/>
      <c r="I32" s="216"/>
      <c r="J32" s="216"/>
      <c r="K32" s="216"/>
      <c r="L32" s="216"/>
      <c r="M32" s="217"/>
    </row>
  </sheetData>
  <mergeCells count="1">
    <mergeCell ref="C29:M32"/>
  </mergeCells>
  <pageMargins left="0.7" right="0.7" top="0.75" bottom="0.75" header="0.3" footer="0.3"/>
  <pageSetup scale="82"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34"/>
  <sheetViews>
    <sheetView workbookViewId="0">
      <selection activeCell="G5" sqref="G5"/>
    </sheetView>
  </sheetViews>
  <sheetFormatPr defaultRowHeight="15.75"/>
  <cols>
    <col min="1" max="1" width="22.875" customWidth="1"/>
    <col min="2" max="2" width="7.25" customWidth="1"/>
    <col min="3" max="3" width="14.375" customWidth="1"/>
    <col min="4" max="4" width="1.75" customWidth="1"/>
    <col min="5" max="5" width="13" customWidth="1"/>
    <col min="6" max="6" width="1.875" customWidth="1"/>
    <col min="7" max="7" width="13.875" customWidth="1"/>
  </cols>
  <sheetData>
    <row r="1" spans="1:9">
      <c r="A1" s="7" t="s">
        <v>15</v>
      </c>
      <c r="B1" s="7"/>
      <c r="C1" s="7"/>
      <c r="G1" s="7" t="s">
        <v>244</v>
      </c>
    </row>
    <row r="2" spans="1:9">
      <c r="A2" s="17" t="s">
        <v>13</v>
      </c>
      <c r="B2" s="7"/>
      <c r="C2" s="7"/>
      <c r="G2" t="s">
        <v>365</v>
      </c>
    </row>
    <row r="3" spans="1:9">
      <c r="A3" s="5" t="s">
        <v>435</v>
      </c>
      <c r="B3" s="7"/>
      <c r="C3" s="7"/>
      <c r="G3" t="s">
        <v>649</v>
      </c>
    </row>
    <row r="4" spans="1:9">
      <c r="A4" t="s">
        <v>357</v>
      </c>
      <c r="B4" s="7"/>
      <c r="C4" s="7"/>
      <c r="G4" t="s">
        <v>709</v>
      </c>
    </row>
    <row r="5" spans="1:9">
      <c r="B5" s="7"/>
      <c r="C5" s="7"/>
      <c r="D5" s="7"/>
    </row>
    <row r="8" spans="1:9">
      <c r="E8" s="8"/>
      <c r="F8" s="1"/>
      <c r="G8" s="1"/>
    </row>
    <row r="9" spans="1:9">
      <c r="E9" s="8"/>
      <c r="F9" s="1"/>
      <c r="G9" s="1"/>
    </row>
    <row r="10" spans="1:9">
      <c r="A10" s="39" t="s">
        <v>503</v>
      </c>
      <c r="E10" s="8"/>
      <c r="F10" s="1"/>
      <c r="G10" s="10" t="s">
        <v>2</v>
      </c>
    </row>
    <row r="11" spans="1:9">
      <c r="E11" s="4"/>
    </row>
    <row r="12" spans="1:9">
      <c r="A12" t="s">
        <v>493</v>
      </c>
      <c r="E12" s="50"/>
      <c r="F12" s="46"/>
      <c r="G12" s="46">
        <v>73699</v>
      </c>
      <c r="H12" s="46"/>
      <c r="I12" s="46"/>
    </row>
    <row r="13" spans="1:9">
      <c r="A13" t="s">
        <v>494</v>
      </c>
      <c r="E13" s="50"/>
      <c r="F13" s="46"/>
      <c r="G13" s="46">
        <v>73699</v>
      </c>
      <c r="H13" s="46"/>
      <c r="I13" s="46"/>
    </row>
    <row r="14" spans="1:9">
      <c r="A14" t="s">
        <v>495</v>
      </c>
      <c r="E14" s="50"/>
      <c r="F14" s="46"/>
      <c r="G14" s="46">
        <v>73699</v>
      </c>
      <c r="H14" s="46"/>
      <c r="I14" s="46"/>
    </row>
    <row r="15" spans="1:9">
      <c r="A15" t="s">
        <v>496</v>
      </c>
      <c r="E15" s="50"/>
      <c r="F15" s="46"/>
      <c r="G15" s="46">
        <v>73699</v>
      </c>
      <c r="H15" s="46"/>
      <c r="I15" s="46"/>
    </row>
    <row r="16" spans="1:9">
      <c r="A16" t="s">
        <v>408</v>
      </c>
      <c r="E16" s="50"/>
      <c r="F16" s="46"/>
      <c r="G16" s="46">
        <v>147398</v>
      </c>
      <c r="H16" s="46"/>
      <c r="I16" s="46"/>
    </row>
    <row r="17" spans="1:9">
      <c r="A17" t="s">
        <v>497</v>
      </c>
      <c r="E17" s="50"/>
      <c r="F17" s="46"/>
      <c r="G17" s="46">
        <v>147398</v>
      </c>
      <c r="H17" s="46"/>
      <c r="I17" s="46"/>
    </row>
    <row r="18" spans="1:9">
      <c r="A18" s="122" t="s">
        <v>498</v>
      </c>
      <c r="B18" s="4"/>
      <c r="C18" s="4"/>
      <c r="D18" s="4"/>
      <c r="E18" s="4"/>
      <c r="F18" s="4"/>
      <c r="G18" s="50">
        <v>221097</v>
      </c>
      <c r="H18" s="4"/>
    </row>
    <row r="19" spans="1:9">
      <c r="A19" s="4" t="s">
        <v>499</v>
      </c>
      <c r="B19" s="4"/>
      <c r="C19" s="4"/>
      <c r="D19" s="4"/>
      <c r="E19" s="50"/>
      <c r="F19" s="50"/>
      <c r="G19" s="50">
        <v>221097</v>
      </c>
      <c r="H19" s="4"/>
    </row>
    <row r="20" spans="1:9">
      <c r="A20" s="20" t="s">
        <v>500</v>
      </c>
      <c r="B20" s="4"/>
      <c r="C20" s="4"/>
      <c r="D20" s="4"/>
      <c r="E20" s="50"/>
      <c r="F20" s="50"/>
      <c r="G20" s="50">
        <v>221097</v>
      </c>
      <c r="H20" s="4"/>
    </row>
    <row r="21" spans="1:9">
      <c r="A21" s="20" t="s">
        <v>501</v>
      </c>
      <c r="B21" s="4"/>
      <c r="C21" s="4"/>
      <c r="D21" s="4"/>
      <c r="E21" s="50"/>
      <c r="F21" s="50"/>
      <c r="G21" s="50">
        <v>294796</v>
      </c>
      <c r="H21" s="4"/>
    </row>
    <row r="22" spans="1:9">
      <c r="A22" s="20" t="s">
        <v>502</v>
      </c>
      <c r="B22" s="4"/>
      <c r="C22" s="4"/>
      <c r="D22" s="4"/>
      <c r="E22" s="50"/>
      <c r="F22" s="50"/>
      <c r="G22" s="47">
        <v>294796</v>
      </c>
      <c r="H22" s="4"/>
    </row>
    <row r="23" spans="1:9">
      <c r="A23" s="4"/>
      <c r="B23" s="4"/>
      <c r="C23" s="4"/>
      <c r="D23" s="4"/>
      <c r="E23" s="50"/>
      <c r="F23" s="50"/>
      <c r="G23" s="50"/>
      <c r="H23" s="4"/>
    </row>
    <row r="24" spans="1:9">
      <c r="A24" s="20" t="s">
        <v>509</v>
      </c>
      <c r="B24" s="4"/>
      <c r="C24" s="4"/>
      <c r="D24" s="4"/>
      <c r="E24" s="50"/>
      <c r="F24" s="50"/>
      <c r="G24" s="50">
        <f>SUM(G12:G23)</f>
        <v>1842475</v>
      </c>
      <c r="H24" s="4"/>
    </row>
    <row r="25" spans="1:9">
      <c r="A25" s="20" t="s">
        <v>510</v>
      </c>
      <c r="B25" s="4"/>
      <c r="C25" s="4"/>
      <c r="D25" s="4"/>
      <c r="E25" s="50"/>
      <c r="F25" s="50"/>
      <c r="G25" s="49">
        <v>7.2300000000000003E-2</v>
      </c>
      <c r="H25" s="4"/>
    </row>
    <row r="26" spans="1:9" ht="16.5" thickBot="1">
      <c r="A26" s="20" t="s">
        <v>511</v>
      </c>
      <c r="B26" s="4"/>
      <c r="C26" s="4"/>
      <c r="D26" s="4"/>
      <c r="E26" s="50"/>
      <c r="F26" s="50"/>
      <c r="G26" s="125">
        <f>G24*(1+G25)</f>
        <v>1975685.9425000001</v>
      </c>
      <c r="H26" s="4"/>
    </row>
    <row r="27" spans="1:9" ht="16.5" thickTop="1">
      <c r="A27" s="4"/>
      <c r="B27" s="4"/>
      <c r="C27" s="4"/>
      <c r="D27" s="4"/>
      <c r="E27" s="50"/>
      <c r="F27" s="50"/>
      <c r="G27" s="50"/>
      <c r="H27" s="4"/>
    </row>
    <row r="28" spans="1:9">
      <c r="A28" s="20" t="s">
        <v>512</v>
      </c>
      <c r="B28" s="4"/>
      <c r="C28" s="4"/>
      <c r="D28" s="4"/>
      <c r="E28" s="50"/>
      <c r="F28" s="50"/>
      <c r="G28" s="50">
        <v>735117</v>
      </c>
      <c r="H28" s="4"/>
    </row>
    <row r="29" spans="1:9">
      <c r="A29" s="20" t="s">
        <v>510</v>
      </c>
      <c r="B29" s="4"/>
      <c r="C29" s="4"/>
      <c r="D29" s="4"/>
      <c r="E29" s="50"/>
      <c r="F29" s="50"/>
      <c r="G29" s="49">
        <v>7.2300000000000003E-2</v>
      </c>
      <c r="H29" s="4"/>
    </row>
    <row r="30" spans="1:9" ht="16.5" thickBot="1">
      <c r="A30" s="20" t="s">
        <v>513</v>
      </c>
      <c r="B30" s="4"/>
      <c r="C30" s="4"/>
      <c r="D30" s="4"/>
      <c r="E30" s="50"/>
      <c r="F30" s="50"/>
      <c r="G30" s="125">
        <f>G28*(1+G29)</f>
        <v>788265.95909999998</v>
      </c>
    </row>
    <row r="31" spans="1:9" ht="16.5" thickTop="1"/>
    <row r="32" spans="1:9">
      <c r="A32" t="s">
        <v>16</v>
      </c>
    </row>
    <row r="33" spans="1:7">
      <c r="G33" s="6"/>
    </row>
    <row r="34" spans="1:7">
      <c r="A34" t="s">
        <v>662</v>
      </c>
    </row>
  </sheetData>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M39"/>
  <sheetViews>
    <sheetView workbookViewId="0">
      <selection activeCell="D6" sqref="D6"/>
    </sheetView>
  </sheetViews>
  <sheetFormatPr defaultRowHeight="15.75"/>
  <cols>
    <col min="1" max="1" width="4.625" customWidth="1"/>
    <col min="2" max="2" width="1.625" customWidth="1"/>
    <col min="3" max="3" width="33.125" customWidth="1"/>
    <col min="4" max="4" width="2.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3">
      <c r="A1" s="7" t="s">
        <v>15</v>
      </c>
      <c r="B1" s="7"/>
      <c r="C1" s="7"/>
      <c r="D1" s="7"/>
      <c r="E1" s="7"/>
      <c r="F1" s="7"/>
      <c r="G1" s="7"/>
      <c r="H1" s="7"/>
      <c r="I1" s="7" t="s">
        <v>244</v>
      </c>
      <c r="J1" s="7"/>
      <c r="K1" s="7"/>
      <c r="L1" s="7"/>
      <c r="M1" s="7"/>
    </row>
    <row r="2" spans="1:13">
      <c r="A2" s="17" t="s">
        <v>13</v>
      </c>
      <c r="B2" s="7"/>
      <c r="C2" s="7"/>
      <c r="D2" s="7"/>
      <c r="E2" s="7"/>
      <c r="F2" s="7"/>
      <c r="G2" s="7"/>
      <c r="H2" s="7"/>
      <c r="I2" t="s">
        <v>365</v>
      </c>
      <c r="J2" s="7"/>
      <c r="K2" s="7"/>
      <c r="L2" s="7"/>
      <c r="M2" s="7"/>
    </row>
    <row r="3" spans="1:13">
      <c r="A3" s="5" t="s">
        <v>514</v>
      </c>
      <c r="B3" s="7"/>
      <c r="C3" s="7"/>
      <c r="D3" s="7"/>
      <c r="E3" s="7"/>
      <c r="F3" s="7"/>
      <c r="G3" s="7"/>
      <c r="H3" s="7"/>
      <c r="I3" t="s">
        <v>647</v>
      </c>
      <c r="J3" s="7"/>
      <c r="K3" s="7"/>
      <c r="L3" s="7"/>
      <c r="M3" s="7"/>
    </row>
    <row r="4" spans="1:13">
      <c r="A4" t="s">
        <v>357</v>
      </c>
      <c r="B4" s="7"/>
      <c r="C4" s="7"/>
      <c r="D4" s="7"/>
      <c r="E4" s="7"/>
      <c r="F4" s="7"/>
      <c r="G4" s="7"/>
      <c r="H4" s="7"/>
      <c r="I4" t="s">
        <v>649</v>
      </c>
      <c r="J4" s="7"/>
      <c r="K4" s="9"/>
      <c r="L4" s="7"/>
      <c r="M4" s="7"/>
    </row>
    <row r="5" spans="1:13">
      <c r="B5" s="7"/>
      <c r="C5" s="7"/>
      <c r="D5" s="7"/>
      <c r="E5" s="7"/>
      <c r="F5" s="7"/>
      <c r="G5" s="7"/>
      <c r="H5" s="7"/>
      <c r="I5" s="7"/>
      <c r="J5" s="7"/>
      <c r="K5" s="7"/>
      <c r="L5" s="7"/>
      <c r="M5" s="7"/>
    </row>
    <row r="6" spans="1:13">
      <c r="A6" s="7"/>
      <c r="B6" s="7"/>
      <c r="C6" s="7"/>
      <c r="D6" s="19" t="s">
        <v>642</v>
      </c>
      <c r="F6" s="7"/>
      <c r="G6" s="7"/>
      <c r="H6" s="7"/>
      <c r="I6" s="7"/>
      <c r="J6" s="7"/>
      <c r="K6" s="7"/>
      <c r="L6" s="7"/>
      <c r="M6" s="23"/>
    </row>
    <row r="7" spans="1:13">
      <c r="A7" s="7"/>
      <c r="B7" s="7"/>
      <c r="C7" s="7"/>
      <c r="D7" s="7"/>
      <c r="E7" s="7"/>
      <c r="F7" s="7"/>
      <c r="G7" s="37"/>
      <c r="H7" s="37"/>
      <c r="I7" s="37"/>
      <c r="J7" s="37"/>
      <c r="K7" s="37"/>
      <c r="L7" s="38"/>
      <c r="M7" s="23"/>
    </row>
    <row r="8" spans="1:13">
      <c r="A8" s="7"/>
      <c r="B8" s="7"/>
      <c r="C8" s="7"/>
      <c r="D8" s="7"/>
      <c r="E8" s="7"/>
      <c r="F8" s="7"/>
      <c r="G8" s="38"/>
      <c r="H8" s="38"/>
      <c r="I8" s="38"/>
      <c r="J8" s="38"/>
      <c r="K8" s="38"/>
      <c r="L8" s="38"/>
      <c r="M8" s="23"/>
    </row>
    <row r="9" spans="1:13">
      <c r="A9" t="s">
        <v>0</v>
      </c>
      <c r="E9" s="1"/>
      <c r="F9" s="1"/>
      <c r="G9" s="1" t="s">
        <v>4</v>
      </c>
      <c r="H9" s="1"/>
      <c r="I9" s="1"/>
      <c r="J9" s="1"/>
      <c r="K9" s="1"/>
      <c r="L9" s="1"/>
      <c r="M9" s="1" t="s">
        <v>9</v>
      </c>
    </row>
    <row r="10" spans="1:13">
      <c r="A10" s="2" t="s">
        <v>3</v>
      </c>
      <c r="C10" s="2" t="s">
        <v>1</v>
      </c>
      <c r="E10" s="10" t="s">
        <v>70</v>
      </c>
      <c r="F10" s="1"/>
      <c r="G10" s="10" t="s">
        <v>6</v>
      </c>
      <c r="H10" s="1"/>
      <c r="I10" s="10" t="s">
        <v>7</v>
      </c>
      <c r="J10" s="1"/>
      <c r="K10" s="11" t="s">
        <v>10</v>
      </c>
      <c r="L10" s="1"/>
      <c r="M10" s="10" t="s">
        <v>8</v>
      </c>
    </row>
    <row r="12" spans="1:13">
      <c r="A12">
        <v>1</v>
      </c>
      <c r="C12" t="s">
        <v>521</v>
      </c>
      <c r="E12" s="123">
        <v>904</v>
      </c>
      <c r="G12" s="6">
        <f>-'3.18.1'!H15</f>
        <v>-393875.13199999998</v>
      </c>
      <c r="I12" s="1" t="s">
        <v>443</v>
      </c>
      <c r="K12" s="124">
        <v>0.43154999999999999</v>
      </c>
      <c r="M12" s="46">
        <f>G12*K12</f>
        <v>-169976.8132146</v>
      </c>
    </row>
    <row r="13" spans="1:13">
      <c r="E13" s="123"/>
      <c r="I13" s="1"/>
      <c r="K13" s="124"/>
    </row>
    <row r="14" spans="1:13">
      <c r="A14">
        <v>2</v>
      </c>
      <c r="C14" t="s">
        <v>522</v>
      </c>
      <c r="E14" s="123">
        <v>557</v>
      </c>
      <c r="G14" s="183">
        <v>0</v>
      </c>
      <c r="I14" s="1" t="s">
        <v>14</v>
      </c>
      <c r="K14" s="124">
        <v>0.43154999999999999</v>
      </c>
      <c r="M14" s="180">
        <f>G14*K14</f>
        <v>0</v>
      </c>
    </row>
    <row r="15" spans="1:13">
      <c r="E15" s="123"/>
      <c r="G15" s="6"/>
      <c r="I15" s="1"/>
      <c r="K15" s="124"/>
    </row>
    <row r="16" spans="1:13" ht="16.5" thickBot="1">
      <c r="A16">
        <v>3</v>
      </c>
      <c r="C16" t="s">
        <v>506</v>
      </c>
      <c r="E16" s="123"/>
      <c r="G16" s="184">
        <v>0</v>
      </c>
      <c r="I16" s="1"/>
      <c r="K16" s="124"/>
      <c r="M16" s="185">
        <v>0</v>
      </c>
    </row>
    <row r="17" spans="1:13" ht="16.5" thickTop="1">
      <c r="E17" s="123"/>
      <c r="G17" s="6"/>
      <c r="I17" s="1"/>
      <c r="K17" s="124"/>
    </row>
    <row r="18" spans="1:13">
      <c r="A18" s="122"/>
      <c r="B18" s="41"/>
      <c r="C18" s="4"/>
      <c r="D18" s="41"/>
      <c r="E18" s="42"/>
      <c r="F18" s="41"/>
      <c r="G18" s="44"/>
      <c r="H18" s="41"/>
      <c r="I18" s="8"/>
      <c r="J18" s="42"/>
      <c r="K18" s="51"/>
      <c r="L18" s="41"/>
      <c r="M18" s="44"/>
    </row>
    <row r="19" spans="1:13">
      <c r="A19" s="4"/>
      <c r="B19" s="41"/>
      <c r="C19" s="4"/>
      <c r="D19" s="41"/>
      <c r="E19" s="42"/>
      <c r="F19" s="41"/>
      <c r="G19" s="44"/>
      <c r="H19" s="41"/>
      <c r="I19" s="8"/>
      <c r="J19" s="42"/>
      <c r="K19" s="51"/>
      <c r="L19" s="41"/>
      <c r="M19" s="44"/>
    </row>
    <row r="20" spans="1:13">
      <c r="A20" s="41"/>
      <c r="B20" s="41"/>
      <c r="C20" s="4"/>
      <c r="D20" s="41"/>
      <c r="E20" s="42"/>
      <c r="F20" s="41"/>
      <c r="G20" s="44"/>
      <c r="H20" s="41"/>
      <c r="I20" s="8"/>
      <c r="J20" s="42"/>
      <c r="K20" s="51"/>
      <c r="L20" s="41"/>
      <c r="M20" s="44"/>
    </row>
    <row r="21" spans="1:13">
      <c r="A21" s="122"/>
      <c r="B21" s="41"/>
      <c r="C21" s="4"/>
      <c r="D21" s="41"/>
      <c r="E21" s="42"/>
      <c r="F21" s="41"/>
      <c r="G21" s="44"/>
      <c r="H21" s="41"/>
      <c r="I21" s="8"/>
      <c r="J21" s="42"/>
      <c r="K21" s="51"/>
      <c r="L21" s="41"/>
      <c r="M21" s="44"/>
    </row>
    <row r="22" spans="1:13">
      <c r="A22" s="41"/>
      <c r="B22" s="4"/>
      <c r="C22" s="4"/>
      <c r="D22" s="4"/>
      <c r="E22" s="41"/>
      <c r="F22" s="41"/>
      <c r="G22" s="41"/>
      <c r="H22" s="41"/>
      <c r="I22" s="41"/>
      <c r="J22" s="41"/>
      <c r="K22" s="41"/>
      <c r="L22" s="41"/>
      <c r="M22" s="41"/>
    </row>
    <row r="23" spans="1:13">
      <c r="A23" s="4"/>
      <c r="B23" s="4"/>
      <c r="C23" s="4"/>
      <c r="D23" s="4"/>
      <c r="E23" s="4"/>
      <c r="F23" s="4"/>
      <c r="G23" s="12"/>
      <c r="H23" s="4"/>
      <c r="I23" s="4"/>
      <c r="J23" s="4"/>
      <c r="K23" s="4"/>
      <c r="L23" s="4"/>
      <c r="M23" s="12"/>
    </row>
    <row r="24" spans="1:13">
      <c r="A24" s="4"/>
      <c r="B24" s="4"/>
      <c r="C24" s="4"/>
      <c r="D24" s="4"/>
      <c r="E24" s="4"/>
      <c r="F24" s="4"/>
      <c r="G24" s="4"/>
      <c r="H24" s="4"/>
      <c r="I24" s="4"/>
      <c r="J24" s="4"/>
      <c r="K24" s="4"/>
      <c r="L24" s="4"/>
      <c r="M24" s="4"/>
    </row>
    <row r="25" spans="1:13">
      <c r="A25" s="4"/>
      <c r="B25" s="4"/>
      <c r="C25" s="39"/>
      <c r="D25" s="4"/>
      <c r="E25" s="4"/>
      <c r="F25" s="4"/>
      <c r="G25" s="4"/>
      <c r="H25" s="4"/>
      <c r="I25" s="4"/>
      <c r="J25" s="4"/>
      <c r="K25" s="4"/>
      <c r="L25" s="4"/>
      <c r="M25" s="4"/>
    </row>
    <row r="26" spans="1:13">
      <c r="A26" s="4"/>
      <c r="B26" s="4"/>
      <c r="C26" s="122"/>
      <c r="D26" s="4"/>
      <c r="E26" s="42"/>
      <c r="F26" s="4"/>
      <c r="G26" s="44"/>
      <c r="H26" s="41"/>
      <c r="I26" s="8"/>
      <c r="J26" s="42"/>
      <c r="K26" s="51"/>
      <c r="L26" s="41"/>
      <c r="M26" s="44"/>
    </row>
    <row r="27" spans="1:13">
      <c r="A27" s="4"/>
      <c r="B27" s="4"/>
      <c r="C27" s="4"/>
      <c r="D27" s="4"/>
      <c r="E27" s="42"/>
      <c r="F27" s="41"/>
      <c r="G27" s="44"/>
      <c r="H27" s="41"/>
      <c r="I27" s="8"/>
      <c r="J27" s="42"/>
      <c r="K27" s="51"/>
      <c r="L27" s="41"/>
      <c r="M27" s="44"/>
    </row>
    <row r="28" spans="1:13">
      <c r="A28" s="4"/>
      <c r="B28" s="4"/>
      <c r="C28" s="4"/>
      <c r="D28" s="4"/>
      <c r="E28" s="4"/>
      <c r="F28" s="4"/>
      <c r="G28" s="4"/>
      <c r="H28" s="4"/>
      <c r="I28" s="4"/>
      <c r="J28" s="4"/>
      <c r="K28" s="4"/>
      <c r="L28" s="4"/>
      <c r="M28" s="4"/>
    </row>
    <row r="29" spans="1:13">
      <c r="A29" s="4"/>
      <c r="B29" s="4"/>
      <c r="C29" s="4"/>
      <c r="D29" s="4"/>
      <c r="E29" s="4"/>
      <c r="F29" s="4"/>
      <c r="G29" s="12"/>
      <c r="H29" s="4"/>
      <c r="I29" s="4"/>
      <c r="J29" s="4"/>
      <c r="K29" s="4"/>
      <c r="L29" s="4"/>
      <c r="M29" s="12"/>
    </row>
    <row r="30" spans="1:13">
      <c r="A30" s="4"/>
      <c r="B30" s="4"/>
      <c r="C30" s="4"/>
      <c r="D30" s="4"/>
      <c r="E30" s="4"/>
      <c r="F30" s="4"/>
      <c r="G30" s="4"/>
      <c r="H30" s="4"/>
      <c r="I30" s="4"/>
      <c r="J30" s="4"/>
      <c r="K30" s="4"/>
      <c r="L30" s="4"/>
      <c r="M30" s="4"/>
    </row>
    <row r="31" spans="1:13">
      <c r="A31" s="4"/>
      <c r="B31" s="4"/>
      <c r="C31" s="4"/>
      <c r="D31" s="4"/>
      <c r="E31" s="4"/>
      <c r="F31" s="4"/>
      <c r="G31" s="12"/>
      <c r="H31" s="4"/>
      <c r="I31" s="4"/>
      <c r="J31" s="4"/>
      <c r="K31" s="4"/>
      <c r="L31" s="4"/>
      <c r="M31" s="12"/>
    </row>
    <row r="32" spans="1:13">
      <c r="A32" s="4"/>
      <c r="B32" s="4"/>
      <c r="C32" s="4"/>
      <c r="D32" s="4"/>
      <c r="E32" s="4"/>
      <c r="F32" s="4"/>
      <c r="G32" s="4"/>
      <c r="H32" s="4"/>
      <c r="I32" s="4"/>
      <c r="J32" s="4"/>
      <c r="K32" s="4"/>
      <c r="L32" s="4"/>
      <c r="M32" s="4"/>
    </row>
    <row r="33" spans="1:13">
      <c r="A33" s="4"/>
      <c r="B33" s="4"/>
      <c r="C33" s="4"/>
      <c r="D33" s="4"/>
      <c r="E33" s="4"/>
      <c r="F33" s="4"/>
      <c r="G33" s="4"/>
      <c r="H33" s="4"/>
      <c r="I33" s="4"/>
      <c r="J33" s="4"/>
      <c r="K33" s="4"/>
      <c r="L33" s="4"/>
      <c r="M33" s="4"/>
    </row>
    <row r="35" spans="1:13">
      <c r="C35" t="s">
        <v>5</v>
      </c>
    </row>
    <row r="37" spans="1:13">
      <c r="C37" s="209" t="s">
        <v>637</v>
      </c>
      <c r="D37" s="210"/>
      <c r="E37" s="210"/>
      <c r="F37" s="210"/>
      <c r="G37" s="210"/>
      <c r="H37" s="210"/>
      <c r="I37" s="210"/>
      <c r="J37" s="210"/>
      <c r="K37" s="210"/>
      <c r="L37" s="210"/>
      <c r="M37" s="211"/>
    </row>
    <row r="38" spans="1:13">
      <c r="C38" s="212"/>
      <c r="D38" s="213"/>
      <c r="E38" s="213"/>
      <c r="F38" s="213"/>
      <c r="G38" s="213"/>
      <c r="H38" s="213"/>
      <c r="I38" s="213"/>
      <c r="J38" s="213"/>
      <c r="K38" s="213"/>
      <c r="L38" s="213"/>
      <c r="M38" s="214"/>
    </row>
    <row r="39" spans="1:13">
      <c r="C39" s="215"/>
      <c r="D39" s="216"/>
      <c r="E39" s="216"/>
      <c r="F39" s="216"/>
      <c r="G39" s="216"/>
      <c r="H39" s="216"/>
      <c r="I39" s="216"/>
      <c r="J39" s="216"/>
      <c r="K39" s="216"/>
      <c r="L39" s="216"/>
      <c r="M39" s="217"/>
    </row>
  </sheetData>
  <mergeCells count="1">
    <mergeCell ref="C37:M39"/>
  </mergeCells>
  <phoneticPr fontId="8" type="noConversion"/>
  <pageMargins left="0.75" right="0.75" top="1" bottom="1" header="0.5" footer="0.5"/>
  <pageSetup scale="88" orientation="portrait"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I20"/>
  <sheetViews>
    <sheetView workbookViewId="0">
      <selection activeCell="G5" sqref="G5"/>
    </sheetView>
  </sheetViews>
  <sheetFormatPr defaultRowHeight="15.75"/>
  <sheetData>
    <row r="1" spans="1:9">
      <c r="A1" s="7" t="s">
        <v>15</v>
      </c>
      <c r="B1" s="7"/>
      <c r="C1" s="7"/>
      <c r="D1" s="7"/>
      <c r="E1" s="7"/>
      <c r="F1" s="7"/>
      <c r="G1" s="7" t="s">
        <v>244</v>
      </c>
      <c r="H1" s="7"/>
    </row>
    <row r="2" spans="1:9">
      <c r="A2" s="17" t="s">
        <v>13</v>
      </c>
      <c r="B2" s="7"/>
      <c r="C2" s="7"/>
      <c r="D2" s="7"/>
      <c r="E2" s="7"/>
      <c r="F2" s="7"/>
      <c r="G2" t="s">
        <v>365</v>
      </c>
      <c r="H2" s="7"/>
    </row>
    <row r="3" spans="1:9">
      <c r="A3" s="5" t="s">
        <v>514</v>
      </c>
      <c r="B3" s="7"/>
      <c r="C3" s="7"/>
      <c r="D3" s="7"/>
      <c r="E3" s="7"/>
      <c r="F3" s="7"/>
      <c r="G3" t="s">
        <v>649</v>
      </c>
      <c r="H3" s="7"/>
    </row>
    <row r="4" spans="1:9">
      <c r="A4" t="s">
        <v>357</v>
      </c>
      <c r="B4" s="7"/>
      <c r="C4" s="7"/>
      <c r="D4" s="7"/>
      <c r="E4" s="7"/>
      <c r="F4" s="7"/>
      <c r="G4" t="s">
        <v>670</v>
      </c>
      <c r="H4" s="7"/>
      <c r="I4" s="7"/>
    </row>
    <row r="5" spans="1:9">
      <c r="B5" s="7"/>
      <c r="C5" s="7"/>
      <c r="D5" s="7"/>
      <c r="E5" s="7"/>
      <c r="F5" s="7"/>
      <c r="G5" s="7"/>
      <c r="H5" s="7"/>
      <c r="I5" s="7"/>
    </row>
    <row r="6" spans="1:9">
      <c r="A6" s="7"/>
      <c r="B6" s="7"/>
      <c r="C6" s="7"/>
      <c r="D6" s="16"/>
      <c r="E6" s="7"/>
      <c r="F6" s="7"/>
      <c r="G6" s="7"/>
      <c r="H6" s="7"/>
      <c r="I6" s="7"/>
    </row>
    <row r="7" spans="1:9">
      <c r="A7" s="3" t="s">
        <v>515</v>
      </c>
      <c r="H7" s="10" t="s">
        <v>2</v>
      </c>
    </row>
    <row r="9" spans="1:9">
      <c r="A9" t="s">
        <v>516</v>
      </c>
      <c r="H9" s="46">
        <v>72496</v>
      </c>
    </row>
    <row r="10" spans="1:9">
      <c r="A10" t="s">
        <v>517</v>
      </c>
      <c r="H10" s="46">
        <v>125588</v>
      </c>
    </row>
    <row r="11" spans="1:9">
      <c r="A11" t="s">
        <v>518</v>
      </c>
      <c r="H11" s="47">
        <v>177536</v>
      </c>
    </row>
    <row r="12" spans="1:9">
      <c r="H12" s="46"/>
    </row>
    <row r="13" spans="1:9">
      <c r="A13" t="s">
        <v>519</v>
      </c>
      <c r="H13" s="46">
        <f>SUM(H9:H12)</f>
        <v>375620</v>
      </c>
    </row>
    <row r="14" spans="1:9">
      <c r="A14" s="20" t="s">
        <v>510</v>
      </c>
      <c r="B14" s="4"/>
      <c r="C14" s="4"/>
      <c r="D14" s="4"/>
      <c r="E14" s="50"/>
      <c r="F14" s="50"/>
      <c r="H14" s="49">
        <v>4.8599999999999997E-2</v>
      </c>
    </row>
    <row r="15" spans="1:9" ht="16.5" thickBot="1">
      <c r="A15" s="20" t="s">
        <v>520</v>
      </c>
      <c r="B15" s="4"/>
      <c r="C15" s="4"/>
      <c r="D15" s="4"/>
      <c r="E15" s="50"/>
      <c r="F15" s="50"/>
      <c r="H15" s="125">
        <f>H13*(1+H14)</f>
        <v>393875.13199999998</v>
      </c>
    </row>
    <row r="16" spans="1:9" ht="16.5" thickTop="1"/>
    <row r="18" spans="1:1">
      <c r="A18" t="s">
        <v>16</v>
      </c>
    </row>
    <row r="19" spans="1:1">
      <c r="A19" t="s">
        <v>663</v>
      </c>
    </row>
    <row r="20" spans="1:1">
      <c r="A20" t="s">
        <v>664</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M30"/>
  <sheetViews>
    <sheetView workbookViewId="0">
      <selection activeCell="E2" sqref="E2"/>
    </sheetView>
  </sheetViews>
  <sheetFormatPr defaultRowHeight="15.75"/>
  <cols>
    <col min="1" max="1" width="4.625" customWidth="1"/>
    <col min="2" max="2" width="1.625" customWidth="1"/>
    <col min="3" max="3" width="33.125" customWidth="1"/>
    <col min="4" max="4" width="2.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s>
  <sheetData>
    <row r="1" spans="1:13">
      <c r="A1" s="7" t="s">
        <v>15</v>
      </c>
      <c r="B1" s="7"/>
      <c r="C1" s="7"/>
      <c r="D1" s="7"/>
      <c r="E1" s="7"/>
      <c r="F1" s="7"/>
      <c r="G1" s="7"/>
      <c r="H1" s="7"/>
      <c r="I1" s="7" t="s">
        <v>244</v>
      </c>
      <c r="J1" s="7"/>
      <c r="K1" s="7"/>
      <c r="L1" s="7"/>
      <c r="M1" s="7"/>
    </row>
    <row r="2" spans="1:13">
      <c r="A2" s="17" t="s">
        <v>13</v>
      </c>
      <c r="B2" s="7"/>
      <c r="C2" s="7"/>
      <c r="D2" s="7"/>
      <c r="E2" s="7"/>
      <c r="F2" s="7"/>
      <c r="G2" s="7"/>
      <c r="H2" s="7"/>
      <c r="I2" t="s">
        <v>365</v>
      </c>
      <c r="J2" s="7"/>
      <c r="K2" s="7"/>
      <c r="L2" s="7"/>
      <c r="M2" s="7"/>
    </row>
    <row r="3" spans="1:13">
      <c r="A3" s="5" t="s">
        <v>717</v>
      </c>
      <c r="B3" s="7"/>
      <c r="C3" s="7"/>
      <c r="D3" s="7"/>
      <c r="E3" s="7"/>
      <c r="F3" s="7"/>
      <c r="G3" s="7"/>
      <c r="H3" s="7"/>
      <c r="I3" t="s">
        <v>718</v>
      </c>
      <c r="J3" s="7"/>
      <c r="K3" s="7"/>
      <c r="L3" s="7"/>
      <c r="M3" s="7"/>
    </row>
    <row r="4" spans="1:13">
      <c r="A4" t="s">
        <v>357</v>
      </c>
      <c r="B4" s="7"/>
      <c r="C4" s="7"/>
      <c r="D4" s="7"/>
      <c r="E4" s="7"/>
      <c r="F4" s="7"/>
      <c r="G4" s="7"/>
      <c r="H4" s="7"/>
      <c r="I4" t="s">
        <v>649</v>
      </c>
      <c r="J4" s="7"/>
      <c r="K4" s="9"/>
      <c r="L4" s="7"/>
      <c r="M4" s="7"/>
    </row>
    <row r="5" spans="1:13">
      <c r="B5" s="7"/>
      <c r="C5" s="7"/>
      <c r="D5" s="7"/>
      <c r="E5" s="7"/>
      <c r="F5" s="7"/>
      <c r="G5" s="7"/>
      <c r="H5" s="7"/>
      <c r="I5" s="7"/>
      <c r="J5" s="7"/>
      <c r="K5" s="7"/>
      <c r="L5" s="7"/>
      <c r="M5" s="7"/>
    </row>
    <row r="6" spans="1:13">
      <c r="A6" s="7"/>
      <c r="B6" s="7"/>
      <c r="C6" s="7"/>
      <c r="D6" s="19" t="s">
        <v>642</v>
      </c>
      <c r="F6" s="7"/>
      <c r="G6" s="7"/>
      <c r="H6" s="7"/>
      <c r="I6" s="7"/>
      <c r="J6" s="7"/>
      <c r="K6" s="7"/>
      <c r="L6" s="7"/>
      <c r="M6" s="7"/>
    </row>
    <row r="7" spans="1:13">
      <c r="A7" s="7"/>
      <c r="B7" s="7"/>
      <c r="C7" s="7"/>
      <c r="D7" s="7"/>
      <c r="E7" s="7"/>
      <c r="F7" s="7"/>
      <c r="G7" s="37"/>
      <c r="H7" s="37"/>
      <c r="I7" s="37"/>
      <c r="J7" s="37"/>
      <c r="K7" s="37"/>
      <c r="L7" s="38"/>
      <c r="M7" s="7"/>
    </row>
    <row r="8" spans="1:13">
      <c r="A8" s="7"/>
      <c r="B8" s="7"/>
      <c r="C8" s="7"/>
      <c r="D8" s="7"/>
      <c r="E8" s="7"/>
      <c r="F8" s="7"/>
      <c r="G8" s="38"/>
      <c r="H8" s="38"/>
      <c r="I8" s="38"/>
      <c r="J8" s="38"/>
      <c r="K8" s="38"/>
      <c r="L8" s="38"/>
      <c r="M8" s="7"/>
    </row>
    <row r="9" spans="1:13">
      <c r="A9" t="s">
        <v>0</v>
      </c>
      <c r="E9" s="1"/>
      <c r="F9" s="1"/>
      <c r="G9" s="1" t="s">
        <v>4</v>
      </c>
      <c r="H9" s="1"/>
      <c r="I9" s="1"/>
      <c r="J9" s="1"/>
      <c r="K9" s="1"/>
      <c r="L9" s="1"/>
      <c r="M9" s="1" t="s">
        <v>9</v>
      </c>
    </row>
    <row r="10" spans="1:13">
      <c r="A10" s="2" t="s">
        <v>3</v>
      </c>
      <c r="C10" s="2" t="s">
        <v>1</v>
      </c>
      <c r="E10" s="10" t="s">
        <v>70</v>
      </c>
      <c r="F10" s="1"/>
      <c r="G10" s="10" t="s">
        <v>6</v>
      </c>
      <c r="H10" s="1"/>
      <c r="I10" s="10" t="s">
        <v>7</v>
      </c>
      <c r="J10" s="1"/>
      <c r="K10" s="11" t="s">
        <v>10</v>
      </c>
      <c r="L10" s="1"/>
      <c r="M10" s="10" t="s">
        <v>8</v>
      </c>
    </row>
    <row r="12" spans="1:13">
      <c r="A12">
        <v>1</v>
      </c>
      <c r="C12" t="s">
        <v>719</v>
      </c>
      <c r="E12" s="1">
        <v>282</v>
      </c>
      <c r="G12" s="208"/>
      <c r="I12" s="1" t="s">
        <v>14</v>
      </c>
      <c r="K12" s="124">
        <v>0.43154999999999999</v>
      </c>
      <c r="M12" s="208"/>
    </row>
    <row r="24" spans="3:13">
      <c r="C24" t="s">
        <v>5</v>
      </c>
    </row>
    <row r="26" spans="3:13">
      <c r="C26" s="227"/>
      <c r="D26" s="228"/>
      <c r="E26" s="228"/>
      <c r="F26" s="228"/>
      <c r="G26" s="228"/>
      <c r="H26" s="228"/>
      <c r="I26" s="228"/>
      <c r="J26" s="228"/>
      <c r="K26" s="228"/>
      <c r="L26" s="228"/>
      <c r="M26" s="229"/>
    </row>
    <row r="27" spans="3:13">
      <c r="C27" s="230"/>
      <c r="D27" s="231"/>
      <c r="E27" s="231"/>
      <c r="F27" s="231"/>
      <c r="G27" s="231"/>
      <c r="H27" s="231"/>
      <c r="I27" s="231"/>
      <c r="J27" s="231"/>
      <c r="K27" s="231"/>
      <c r="L27" s="231"/>
      <c r="M27" s="232"/>
    </row>
    <row r="28" spans="3:13">
      <c r="C28" s="230"/>
      <c r="D28" s="231"/>
      <c r="E28" s="231"/>
      <c r="F28" s="231"/>
      <c r="G28" s="231"/>
      <c r="H28" s="231"/>
      <c r="I28" s="231"/>
      <c r="J28" s="231"/>
      <c r="K28" s="231"/>
      <c r="L28" s="231"/>
      <c r="M28" s="232"/>
    </row>
    <row r="29" spans="3:13">
      <c r="C29" s="230"/>
      <c r="D29" s="231"/>
      <c r="E29" s="231"/>
      <c r="F29" s="231"/>
      <c r="G29" s="231"/>
      <c r="H29" s="231"/>
      <c r="I29" s="231"/>
      <c r="J29" s="231"/>
      <c r="K29" s="231"/>
      <c r="L29" s="231"/>
      <c r="M29" s="232"/>
    </row>
    <row r="30" spans="3:13">
      <c r="C30" s="233"/>
      <c r="D30" s="234"/>
      <c r="E30" s="234"/>
      <c r="F30" s="234"/>
      <c r="G30" s="234"/>
      <c r="H30" s="234"/>
      <c r="I30" s="234"/>
      <c r="J30" s="234"/>
      <c r="K30" s="234"/>
      <c r="L30" s="234"/>
      <c r="M30" s="235"/>
    </row>
  </sheetData>
  <mergeCells count="1">
    <mergeCell ref="C26:M30"/>
  </mergeCell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topLeftCell="A4" workbookViewId="0">
      <selection activeCell="C38" sqref="C38"/>
    </sheetView>
  </sheetViews>
  <sheetFormatPr defaultRowHeight="15.75"/>
  <cols>
    <col min="1" max="1" width="3.5" customWidth="1"/>
    <col min="2" max="2" width="1.625" customWidth="1"/>
    <col min="3" max="3" width="41.25" customWidth="1"/>
    <col min="4" max="4" width="4.125" customWidth="1"/>
    <col min="5" max="5" width="8" customWidth="1"/>
    <col min="6" max="6" width="1" customWidth="1"/>
    <col min="7" max="7" width="12.75" customWidth="1"/>
    <col min="8" max="8" width="0.875" customWidth="1"/>
    <col min="9" max="9" width="6.125" customWidth="1"/>
    <col min="10" max="10" width="1" customWidth="1"/>
    <col min="11" max="11" width="8.375" customWidth="1"/>
    <col min="12" max="12" width="1" customWidth="1"/>
    <col min="13" max="13" width="12.5" customWidth="1"/>
  </cols>
  <sheetData>
    <row r="1" spans="1:13">
      <c r="A1" s="7" t="s">
        <v>15</v>
      </c>
      <c r="I1" s="7" t="s">
        <v>244</v>
      </c>
    </row>
    <row r="2" spans="1:13">
      <c r="A2" s="17" t="s">
        <v>13</v>
      </c>
      <c r="I2" t="s">
        <v>365</v>
      </c>
    </row>
    <row r="3" spans="1:13">
      <c r="A3" s="5" t="s">
        <v>645</v>
      </c>
      <c r="I3" t="s">
        <v>603</v>
      </c>
    </row>
    <row r="4" spans="1:13">
      <c r="A4" t="s">
        <v>357</v>
      </c>
      <c r="I4" t="s">
        <v>649</v>
      </c>
    </row>
    <row r="7" spans="1:13">
      <c r="A7" t="s">
        <v>0</v>
      </c>
      <c r="E7" s="1"/>
      <c r="F7" s="1"/>
      <c r="G7" s="1" t="s">
        <v>4</v>
      </c>
      <c r="H7" s="1"/>
      <c r="I7" s="1"/>
      <c r="J7" s="1"/>
      <c r="K7" s="1"/>
      <c r="L7" s="1"/>
      <c r="M7" s="1" t="s">
        <v>9</v>
      </c>
    </row>
    <row r="8" spans="1:13">
      <c r="A8" s="2" t="s">
        <v>3</v>
      </c>
      <c r="C8" s="2" t="s">
        <v>1</v>
      </c>
      <c r="E8" s="10" t="s">
        <v>70</v>
      </c>
      <c r="F8" s="1"/>
      <c r="G8" s="10" t="s">
        <v>6</v>
      </c>
      <c r="H8" s="1"/>
      <c r="I8" s="10" t="s">
        <v>7</v>
      </c>
      <c r="J8" s="1"/>
      <c r="K8" s="11" t="s">
        <v>10</v>
      </c>
      <c r="L8" s="1"/>
      <c r="M8" s="10" t="s">
        <v>8</v>
      </c>
    </row>
    <row r="10" spans="1:13">
      <c r="C10" s="3" t="s">
        <v>415</v>
      </c>
    </row>
    <row r="11" spans="1:13">
      <c r="A11">
        <v>1</v>
      </c>
      <c r="C11" t="s">
        <v>426</v>
      </c>
      <c r="E11" s="43">
        <v>355</v>
      </c>
      <c r="F11" s="23"/>
      <c r="G11" s="52">
        <v>-1479486</v>
      </c>
      <c r="H11" s="41"/>
      <c r="I11" s="8" t="s">
        <v>14</v>
      </c>
      <c r="J11" s="42"/>
      <c r="K11" s="51">
        <v>0.43154999999999999</v>
      </c>
      <c r="L11" s="41"/>
      <c r="M11" s="52">
        <f>G11*K11</f>
        <v>-638472.18330000003</v>
      </c>
    </row>
    <row r="13" spans="1:13">
      <c r="C13" s="3" t="s">
        <v>422</v>
      </c>
    </row>
    <row r="14" spans="1:13">
      <c r="A14">
        <v>2</v>
      </c>
      <c r="C14" t="s">
        <v>421</v>
      </c>
      <c r="E14" s="1" t="s">
        <v>429</v>
      </c>
      <c r="G14" s="40">
        <v>1165</v>
      </c>
      <c r="I14" s="8" t="s">
        <v>14</v>
      </c>
      <c r="J14" s="42"/>
      <c r="K14" s="51">
        <v>0.43154999999999999</v>
      </c>
      <c r="L14" s="41"/>
      <c r="M14" s="52">
        <f>G14*K14</f>
        <v>502.75574999999998</v>
      </c>
    </row>
    <row r="15" spans="1:13">
      <c r="E15" s="1"/>
    </row>
    <row r="16" spans="1:13">
      <c r="C16" s="3" t="s">
        <v>346</v>
      </c>
      <c r="E16" s="1"/>
    </row>
    <row r="17" spans="1:13">
      <c r="A17">
        <v>3</v>
      </c>
      <c r="C17" t="s">
        <v>423</v>
      </c>
      <c r="E17" s="1" t="s">
        <v>430</v>
      </c>
      <c r="G17" s="40">
        <v>-15148</v>
      </c>
      <c r="I17" s="8" t="s">
        <v>14</v>
      </c>
      <c r="J17" s="42"/>
      <c r="K17" s="51">
        <v>0.43154999999999999</v>
      </c>
      <c r="L17" s="41"/>
      <c r="M17" s="52">
        <f>G17*K17</f>
        <v>-6537.1193999999996</v>
      </c>
    </row>
    <row r="18" spans="1:13">
      <c r="E18" s="1"/>
    </row>
    <row r="19" spans="1:13">
      <c r="C19" s="3" t="s">
        <v>427</v>
      </c>
      <c r="E19" s="1"/>
    </row>
    <row r="20" spans="1:13">
      <c r="A20">
        <v>4</v>
      </c>
      <c r="C20" t="s">
        <v>428</v>
      </c>
      <c r="E20" s="1">
        <v>282</v>
      </c>
      <c r="G20" s="40">
        <v>-34651</v>
      </c>
      <c r="I20" s="8" t="s">
        <v>14</v>
      </c>
      <c r="J20" s="42"/>
      <c r="K20" s="51">
        <v>0.43154999999999999</v>
      </c>
      <c r="L20" s="41"/>
      <c r="M20" s="52">
        <f>G20*K20</f>
        <v>-14953.63905</v>
      </c>
    </row>
    <row r="21" spans="1:13">
      <c r="C21" s="3"/>
    </row>
    <row r="22" spans="1:13">
      <c r="G22" s="46"/>
    </row>
    <row r="23" spans="1:13">
      <c r="G23" s="106"/>
    </row>
    <row r="24" spans="1:13">
      <c r="G24" s="50"/>
    </row>
    <row r="25" spans="1:13">
      <c r="G25" s="50"/>
    </row>
    <row r="26" spans="1:13">
      <c r="G26" s="50"/>
    </row>
    <row r="27" spans="1:13">
      <c r="G27" s="46"/>
    </row>
    <row r="30" spans="1:13">
      <c r="C30" t="s">
        <v>5</v>
      </c>
    </row>
    <row r="32" spans="1:13">
      <c r="C32" s="209" t="s">
        <v>605</v>
      </c>
      <c r="D32" s="210"/>
      <c r="E32" s="210"/>
      <c r="F32" s="210"/>
      <c r="G32" s="210"/>
      <c r="H32" s="210"/>
      <c r="I32" s="210"/>
      <c r="J32" s="210"/>
      <c r="K32" s="210"/>
      <c r="L32" s="210"/>
      <c r="M32" s="211"/>
    </row>
    <row r="33" spans="3:13">
      <c r="C33" s="212"/>
      <c r="D33" s="213"/>
      <c r="E33" s="213"/>
      <c r="F33" s="213"/>
      <c r="G33" s="213"/>
      <c r="H33" s="213"/>
      <c r="I33" s="213"/>
      <c r="J33" s="213"/>
      <c r="K33" s="213"/>
      <c r="L33" s="213"/>
      <c r="M33" s="214"/>
    </row>
    <row r="34" spans="3:13">
      <c r="C34" s="212"/>
      <c r="D34" s="213"/>
      <c r="E34" s="213"/>
      <c r="F34" s="213"/>
      <c r="G34" s="213"/>
      <c r="H34" s="213"/>
      <c r="I34" s="213"/>
      <c r="J34" s="213"/>
      <c r="K34" s="213"/>
      <c r="L34" s="213"/>
      <c r="M34" s="214"/>
    </row>
    <row r="35" spans="3:13">
      <c r="C35" s="212"/>
      <c r="D35" s="213"/>
      <c r="E35" s="213"/>
      <c r="F35" s="213"/>
      <c r="G35" s="213"/>
      <c r="H35" s="213"/>
      <c r="I35" s="213"/>
      <c r="J35" s="213"/>
      <c r="K35" s="213"/>
      <c r="L35" s="213"/>
      <c r="M35" s="214"/>
    </row>
    <row r="36" spans="3:13">
      <c r="C36" s="215"/>
      <c r="D36" s="216"/>
      <c r="E36" s="216"/>
      <c r="F36" s="216"/>
      <c r="G36" s="216"/>
      <c r="H36" s="216"/>
      <c r="I36" s="216"/>
      <c r="J36" s="216"/>
      <c r="K36" s="216"/>
      <c r="L36" s="216"/>
      <c r="M36" s="217"/>
    </row>
  </sheetData>
  <mergeCells count="1">
    <mergeCell ref="C32:M36"/>
  </mergeCells>
  <pageMargins left="0.7" right="0.7" top="0.75" bottom="0.75" header="0.3" footer="0.3"/>
  <pageSetup scale="83"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workbookViewId="0">
      <selection activeCell="I21" sqref="I21"/>
    </sheetView>
  </sheetViews>
  <sheetFormatPr defaultRowHeight="15.75"/>
  <cols>
    <col min="1" max="1" width="3.875" customWidth="1"/>
    <col min="2" max="2" width="1.625" customWidth="1"/>
    <col min="3" max="3" width="31.25" customWidth="1"/>
    <col min="4" max="4" width="3.75" customWidth="1"/>
    <col min="5" max="5" width="8" customWidth="1"/>
    <col min="6" max="6" width="1" customWidth="1"/>
    <col min="7" max="7" width="12.375" customWidth="1"/>
    <col min="8" max="8" width="0.875" customWidth="1"/>
    <col min="9" max="9" width="6.875" customWidth="1"/>
    <col min="10" max="10" width="1" customWidth="1"/>
    <col min="11" max="11" width="9.125" customWidth="1"/>
    <col min="12" max="12" width="1" customWidth="1"/>
    <col min="13" max="13" width="12.5" customWidth="1"/>
    <col min="14" max="14" width="1.625" customWidth="1"/>
  </cols>
  <sheetData>
    <row r="1" spans="1:14">
      <c r="A1" s="7" t="s">
        <v>15</v>
      </c>
      <c r="K1" s="7" t="s">
        <v>244</v>
      </c>
    </row>
    <row r="2" spans="1:14">
      <c r="A2" s="17" t="s">
        <v>13</v>
      </c>
      <c r="K2" t="s">
        <v>365</v>
      </c>
    </row>
    <row r="3" spans="1:14">
      <c r="A3" s="5" t="s">
        <v>587</v>
      </c>
      <c r="K3" t="s">
        <v>602</v>
      </c>
    </row>
    <row r="4" spans="1:14">
      <c r="A4" t="s">
        <v>357</v>
      </c>
      <c r="K4" t="s">
        <v>649</v>
      </c>
    </row>
    <row r="7" spans="1:14">
      <c r="A7" t="s">
        <v>0</v>
      </c>
      <c r="E7" s="1"/>
      <c r="F7" s="1"/>
      <c r="G7" s="1" t="s">
        <v>4</v>
      </c>
      <c r="H7" s="1"/>
      <c r="I7" s="1"/>
      <c r="J7" s="1"/>
      <c r="K7" s="1"/>
      <c r="L7" s="1"/>
      <c r="M7" s="1" t="s">
        <v>9</v>
      </c>
    </row>
    <row r="8" spans="1:14">
      <c r="A8" s="2" t="s">
        <v>3</v>
      </c>
      <c r="C8" s="2" t="s">
        <v>1</v>
      </c>
      <c r="E8" s="10" t="s">
        <v>70</v>
      </c>
      <c r="F8" s="1"/>
      <c r="G8" s="10" t="s">
        <v>6</v>
      </c>
      <c r="H8" s="1"/>
      <c r="I8" s="10" t="s">
        <v>7</v>
      </c>
      <c r="J8" s="1"/>
      <c r="K8" s="11" t="s">
        <v>10</v>
      </c>
      <c r="L8" s="1"/>
      <c r="M8" s="10" t="s">
        <v>8</v>
      </c>
    </row>
    <row r="10" spans="1:14">
      <c r="C10" s="3" t="s">
        <v>12</v>
      </c>
    </row>
    <row r="11" spans="1:14">
      <c r="A11" s="43">
        <v>1</v>
      </c>
      <c r="B11" s="23"/>
      <c r="C11" t="s">
        <v>388</v>
      </c>
      <c r="D11" s="23"/>
      <c r="E11" s="43">
        <v>408</v>
      </c>
      <c r="F11" s="23"/>
      <c r="G11" s="44">
        <f>G23</f>
        <v>-13144229.701104954</v>
      </c>
      <c r="H11" s="41"/>
      <c r="I11" s="8" t="s">
        <v>459</v>
      </c>
      <c r="J11" s="42"/>
      <c r="K11" s="51">
        <v>1</v>
      </c>
      <c r="L11" s="41"/>
      <c r="M11" s="45">
        <f>G11*K11</f>
        <v>-13144229.701104954</v>
      </c>
    </row>
    <row r="12" spans="1:14">
      <c r="A12" s="8"/>
      <c r="B12" s="4"/>
      <c r="C12" s="4"/>
      <c r="D12" s="41"/>
      <c r="E12" s="42"/>
      <c r="F12" s="41"/>
      <c r="G12" s="44"/>
      <c r="H12" s="41"/>
      <c r="I12" s="8"/>
      <c r="J12" s="42"/>
      <c r="K12" s="51"/>
      <c r="L12" s="41"/>
      <c r="M12" s="44"/>
      <c r="N12" s="4"/>
    </row>
    <row r="13" spans="1:14">
      <c r="A13" s="8"/>
      <c r="B13" s="4"/>
      <c r="C13" s="4"/>
      <c r="D13" s="4"/>
      <c r="E13" s="4"/>
      <c r="F13" s="4"/>
      <c r="G13" s="4"/>
      <c r="H13" s="4"/>
      <c r="I13" s="4"/>
      <c r="J13" s="4"/>
      <c r="K13" s="4"/>
      <c r="L13" s="4"/>
      <c r="M13" s="4"/>
      <c r="N13" s="4"/>
    </row>
    <row r="14" spans="1:14">
      <c r="A14" s="8"/>
      <c r="B14" s="4"/>
      <c r="C14" s="4"/>
      <c r="D14" s="4"/>
      <c r="E14" s="4"/>
      <c r="F14" s="4"/>
      <c r="G14" s="12"/>
      <c r="H14" s="4"/>
      <c r="I14" s="4"/>
      <c r="J14" s="4"/>
      <c r="K14" s="4"/>
      <c r="L14" s="4"/>
      <c r="M14" s="12"/>
      <c r="N14" s="4"/>
    </row>
    <row r="15" spans="1:14">
      <c r="A15" s="8"/>
      <c r="B15" s="4"/>
      <c r="C15" s="4"/>
      <c r="D15" s="4"/>
      <c r="E15" s="4"/>
      <c r="F15" s="4"/>
      <c r="G15" s="4"/>
      <c r="H15" s="4"/>
      <c r="I15" s="4"/>
      <c r="J15" s="4"/>
      <c r="K15" s="4"/>
      <c r="L15" s="4"/>
      <c r="M15" s="4"/>
      <c r="N15" s="4"/>
    </row>
    <row r="16" spans="1:14">
      <c r="A16" s="1"/>
    </row>
    <row r="17" spans="1:13">
      <c r="A17" s="1"/>
    </row>
    <row r="18" spans="1:13">
      <c r="A18" s="1"/>
      <c r="C18" s="3" t="s">
        <v>335</v>
      </c>
    </row>
    <row r="19" spans="1:13">
      <c r="A19" s="1" t="s">
        <v>267</v>
      </c>
      <c r="C19" t="s">
        <v>594</v>
      </c>
      <c r="G19" s="44">
        <v>3789489</v>
      </c>
      <c r="I19" t="s">
        <v>595</v>
      </c>
    </row>
    <row r="20" spans="1:13">
      <c r="A20" s="1" t="s">
        <v>268</v>
      </c>
      <c r="C20" t="s">
        <v>596</v>
      </c>
      <c r="G20" s="177">
        <f>'3.5.1'!F45</f>
        <v>1.4549957260451336</v>
      </c>
      <c r="I20" t="s">
        <v>713</v>
      </c>
    </row>
    <row r="21" spans="1:13">
      <c r="A21" s="1" t="s">
        <v>269</v>
      </c>
      <c r="C21" t="s">
        <v>597</v>
      </c>
      <c r="G21" s="44">
        <f>G19*G20</f>
        <v>5513690.298895047</v>
      </c>
    </row>
    <row r="22" spans="1:13">
      <c r="A22" s="1" t="s">
        <v>270</v>
      </c>
      <c r="C22" t="s">
        <v>598</v>
      </c>
      <c r="G22" s="52">
        <v>18657920</v>
      </c>
      <c r="I22" t="s">
        <v>595</v>
      </c>
    </row>
    <row r="23" spans="1:13">
      <c r="A23" s="1" t="s">
        <v>271</v>
      </c>
      <c r="C23" t="s">
        <v>599</v>
      </c>
      <c r="G23" s="6">
        <f>G21-G22</f>
        <v>-13144229.701104954</v>
      </c>
    </row>
    <row r="24" spans="1:13">
      <c r="C24" s="4"/>
      <c r="D24" s="4"/>
      <c r="E24" s="4"/>
      <c r="F24" s="4"/>
      <c r="G24" s="44"/>
      <c r="H24" s="4"/>
      <c r="I24" s="4"/>
      <c r="J24" s="4"/>
      <c r="K24" s="4"/>
    </row>
    <row r="25" spans="1:13">
      <c r="C25" s="4"/>
      <c r="D25" s="4"/>
      <c r="E25" s="4"/>
      <c r="F25" s="4"/>
      <c r="G25" s="44"/>
      <c r="H25" s="4"/>
      <c r="I25" s="4"/>
      <c r="J25" s="4"/>
      <c r="K25" s="4"/>
    </row>
    <row r="26" spans="1:13">
      <c r="C26" s="4"/>
      <c r="D26" s="4"/>
      <c r="E26" s="4"/>
      <c r="F26" s="4"/>
      <c r="G26" s="12"/>
      <c r="H26" s="4"/>
      <c r="I26" s="4"/>
      <c r="J26" s="4"/>
      <c r="K26" s="4"/>
    </row>
    <row r="29" spans="1:13">
      <c r="C29" t="s">
        <v>5</v>
      </c>
    </row>
    <row r="31" spans="1:13">
      <c r="C31" s="209" t="s">
        <v>619</v>
      </c>
      <c r="D31" s="210"/>
      <c r="E31" s="210"/>
      <c r="F31" s="210"/>
      <c r="G31" s="210"/>
      <c r="H31" s="210"/>
      <c r="I31" s="210"/>
      <c r="J31" s="210"/>
      <c r="K31" s="210"/>
      <c r="L31" s="210"/>
      <c r="M31" s="211"/>
    </row>
    <row r="32" spans="1:13">
      <c r="C32" s="212"/>
      <c r="D32" s="213"/>
      <c r="E32" s="213"/>
      <c r="F32" s="213"/>
      <c r="G32" s="213"/>
      <c r="H32" s="213"/>
      <c r="I32" s="213"/>
      <c r="J32" s="213"/>
      <c r="K32" s="213"/>
      <c r="L32" s="213"/>
      <c r="M32" s="214"/>
    </row>
    <row r="33" spans="3:13">
      <c r="C33" s="212"/>
      <c r="D33" s="213"/>
      <c r="E33" s="213"/>
      <c r="F33" s="213"/>
      <c r="G33" s="213"/>
      <c r="H33" s="213"/>
      <c r="I33" s="213"/>
      <c r="J33" s="213"/>
      <c r="K33" s="213"/>
      <c r="L33" s="213"/>
      <c r="M33" s="214"/>
    </row>
    <row r="34" spans="3:13">
      <c r="C34" s="212"/>
      <c r="D34" s="213"/>
      <c r="E34" s="213"/>
      <c r="F34" s="213"/>
      <c r="G34" s="213"/>
      <c r="H34" s="213"/>
      <c r="I34" s="213"/>
      <c r="J34" s="213"/>
      <c r="K34" s="213"/>
      <c r="L34" s="213"/>
      <c r="M34" s="214"/>
    </row>
    <row r="35" spans="3:13">
      <c r="C35" s="212"/>
      <c r="D35" s="213"/>
      <c r="E35" s="213"/>
      <c r="F35" s="213"/>
      <c r="G35" s="213"/>
      <c r="H35" s="213"/>
      <c r="I35" s="213"/>
      <c r="J35" s="213"/>
      <c r="K35" s="213"/>
      <c r="L35" s="213"/>
      <c r="M35" s="214"/>
    </row>
    <row r="36" spans="3:13">
      <c r="C36" s="212"/>
      <c r="D36" s="213"/>
      <c r="E36" s="213"/>
      <c r="F36" s="213"/>
      <c r="G36" s="213"/>
      <c r="H36" s="213"/>
      <c r="I36" s="213"/>
      <c r="J36" s="213"/>
      <c r="K36" s="213"/>
      <c r="L36" s="213"/>
      <c r="M36" s="214"/>
    </row>
    <row r="37" spans="3:13">
      <c r="C37" s="212"/>
      <c r="D37" s="213"/>
      <c r="E37" s="213"/>
      <c r="F37" s="213"/>
      <c r="G37" s="213"/>
      <c r="H37" s="213"/>
      <c r="I37" s="213"/>
      <c r="J37" s="213"/>
      <c r="K37" s="213"/>
      <c r="L37" s="213"/>
      <c r="M37" s="214"/>
    </row>
    <row r="38" spans="3:13">
      <c r="C38" s="215"/>
      <c r="D38" s="216"/>
      <c r="E38" s="216"/>
      <c r="F38" s="216"/>
      <c r="G38" s="216"/>
      <c r="H38" s="216"/>
      <c r="I38" s="216"/>
      <c r="J38" s="216"/>
      <c r="K38" s="216"/>
      <c r="L38" s="216"/>
      <c r="M38" s="217"/>
    </row>
  </sheetData>
  <mergeCells count="1">
    <mergeCell ref="C31:M38"/>
  </mergeCells>
  <pageMargins left="0.7" right="0.7" top="0.75" bottom="0.75" header="0.3" footer="0.3"/>
  <pageSetup scale="8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topLeftCell="A22" workbookViewId="0">
      <selection activeCell="B53" sqref="B53"/>
    </sheetView>
  </sheetViews>
  <sheetFormatPr defaultRowHeight="15.75"/>
  <cols>
    <col min="1" max="1" width="4.125" customWidth="1"/>
    <col min="2" max="2" width="30.25" customWidth="1"/>
    <col min="3" max="3" width="13.875" bestFit="1" customWidth="1"/>
    <col min="4" max="5" width="15.875" customWidth="1"/>
    <col min="6" max="6" width="9.875" customWidth="1"/>
    <col min="7" max="7" width="15.875" customWidth="1"/>
    <col min="8" max="8" width="4.375" customWidth="1"/>
  </cols>
  <sheetData>
    <row r="1" spans="1:8">
      <c r="A1" s="7" t="s">
        <v>15</v>
      </c>
      <c r="F1" s="7" t="s">
        <v>244</v>
      </c>
    </row>
    <row r="2" spans="1:8">
      <c r="A2" s="17" t="s">
        <v>13</v>
      </c>
      <c r="F2" t="s">
        <v>365</v>
      </c>
    </row>
    <row r="3" spans="1:8">
      <c r="A3" s="5" t="s">
        <v>587</v>
      </c>
      <c r="F3" t="s">
        <v>649</v>
      </c>
    </row>
    <row r="4" spans="1:8">
      <c r="A4" t="s">
        <v>357</v>
      </c>
      <c r="F4" t="s">
        <v>711</v>
      </c>
    </row>
    <row r="5" spans="1:8">
      <c r="A5" t="s">
        <v>588</v>
      </c>
    </row>
    <row r="6" spans="1:8">
      <c r="H6" s="4"/>
    </row>
    <row r="7" spans="1:8">
      <c r="A7" s="129" t="s">
        <v>0</v>
      </c>
      <c r="B7" s="129" t="s">
        <v>1</v>
      </c>
      <c r="C7" s="130" t="s">
        <v>542</v>
      </c>
      <c r="D7" s="130" t="s">
        <v>581</v>
      </c>
      <c r="E7" s="130" t="s">
        <v>582</v>
      </c>
      <c r="F7" s="130" t="s">
        <v>487</v>
      </c>
      <c r="G7" s="130" t="s">
        <v>583</v>
      </c>
      <c r="H7" s="147"/>
    </row>
    <row r="8" spans="1:8">
      <c r="H8" s="4"/>
    </row>
    <row r="9" spans="1:8">
      <c r="A9" s="131">
        <v>1</v>
      </c>
      <c r="B9" s="132" t="s">
        <v>543</v>
      </c>
      <c r="C9" s="133"/>
    </row>
    <row r="10" spans="1:8">
      <c r="A10" s="131">
        <v>2</v>
      </c>
      <c r="B10" s="134" t="s">
        <v>544</v>
      </c>
      <c r="C10" s="131" t="s">
        <v>545</v>
      </c>
      <c r="D10" s="46">
        <v>3474487964.0699944</v>
      </c>
      <c r="E10" s="46">
        <v>1479892904.839998</v>
      </c>
      <c r="F10" s="152">
        <v>41.999559708267064</v>
      </c>
      <c r="G10" s="153">
        <f>E10*F10</f>
        <v>62154850418.668282</v>
      </c>
    </row>
    <row r="11" spans="1:8">
      <c r="A11" s="131">
        <v>3</v>
      </c>
      <c r="B11" s="134" t="s">
        <v>546</v>
      </c>
      <c r="C11" s="131" t="s">
        <v>547</v>
      </c>
      <c r="D11" s="46">
        <v>32637349.089999996</v>
      </c>
      <c r="E11" s="46">
        <v>13793008.527605012</v>
      </c>
      <c r="F11" s="152">
        <v>23.907209509552288</v>
      </c>
      <c r="G11" s="153">
        <f>E11*F11</f>
        <v>329752344.63649434</v>
      </c>
    </row>
    <row r="12" spans="1:8">
      <c r="A12" s="131">
        <v>4</v>
      </c>
      <c r="B12" s="134" t="s">
        <v>548</v>
      </c>
      <c r="C12" s="131" t="s">
        <v>549</v>
      </c>
      <c r="D12" s="46">
        <v>492522473.27999997</v>
      </c>
      <c r="E12" s="46">
        <v>205266413.84268209</v>
      </c>
      <c r="F12" s="152">
        <v>36.890062909904479</v>
      </c>
      <c r="G12" s="153">
        <f>E12*F12</f>
        <v>7572290919.9470301</v>
      </c>
    </row>
    <row r="13" spans="1:8">
      <c r="A13" s="131">
        <v>5</v>
      </c>
      <c r="B13" s="134" t="s">
        <v>550</v>
      </c>
      <c r="C13" s="131" t="s">
        <v>551</v>
      </c>
      <c r="D13" s="46">
        <v>402567598.45999891</v>
      </c>
      <c r="E13" s="46">
        <v>207313006.18259785</v>
      </c>
      <c r="F13" s="152">
        <v>36.890062909904479</v>
      </c>
      <c r="G13" s="153">
        <f>E13*F13</f>
        <v>7647789840.1174507</v>
      </c>
    </row>
    <row r="14" spans="1:8">
      <c r="A14" s="131">
        <v>6</v>
      </c>
      <c r="B14" s="135" t="s">
        <v>552</v>
      </c>
      <c r="C14" s="136"/>
      <c r="D14" s="148">
        <f>SUM(D10:D13)</f>
        <v>4402215384.8999939</v>
      </c>
      <c r="E14" s="148">
        <f>SUM(E10:E13)</f>
        <v>1906265333.3928831</v>
      </c>
      <c r="F14" s="186">
        <f>(G14/E14)-1</f>
        <v>39.762784782465673</v>
      </c>
      <c r="G14" s="151">
        <f>SUM(G10:G13)</f>
        <v>77704683523.369263</v>
      </c>
      <c r="H14" s="13" t="s">
        <v>584</v>
      </c>
    </row>
    <row r="15" spans="1:8">
      <c r="A15" s="131">
        <v>7</v>
      </c>
      <c r="C15" s="137"/>
    </row>
    <row r="16" spans="1:8">
      <c r="A16" s="131">
        <v>8</v>
      </c>
      <c r="C16" s="137"/>
    </row>
    <row r="17" spans="1:8">
      <c r="A17" s="131">
        <v>9</v>
      </c>
      <c r="B17" s="132" t="s">
        <v>553</v>
      </c>
      <c r="C17" s="137"/>
    </row>
    <row r="18" spans="1:8">
      <c r="A18" s="131">
        <v>10</v>
      </c>
      <c r="B18" s="138" t="s">
        <v>554</v>
      </c>
      <c r="C18" s="137"/>
    </row>
    <row r="19" spans="1:8">
      <c r="A19" s="131">
        <v>11</v>
      </c>
      <c r="B19" s="138" t="s">
        <v>555</v>
      </c>
      <c r="C19" s="131" t="s">
        <v>556</v>
      </c>
      <c r="D19" s="46">
        <v>618412475.11999893</v>
      </c>
      <c r="E19" s="46">
        <v>255341967.39216697</v>
      </c>
      <c r="F19" s="152">
        <v>29.582903156615131</v>
      </c>
      <c r="G19" s="153">
        <f t="shared" ref="G19:G25" si="0">E19*F19</f>
        <v>7553756693.1820545</v>
      </c>
    </row>
    <row r="20" spans="1:8">
      <c r="A20" s="131">
        <v>12</v>
      </c>
      <c r="B20" s="138" t="s">
        <v>557</v>
      </c>
      <c r="C20" s="131" t="s">
        <v>558</v>
      </c>
      <c r="D20" s="46">
        <v>446200118.09000105</v>
      </c>
      <c r="E20" s="46">
        <v>183963448.95355332</v>
      </c>
      <c r="F20" s="152">
        <v>40.608658712032778</v>
      </c>
      <c r="G20" s="153">
        <f t="shared" si="0"/>
        <v>7470508914.0433102</v>
      </c>
    </row>
    <row r="21" spans="1:8">
      <c r="A21" s="131">
        <v>13</v>
      </c>
      <c r="B21" s="138" t="s">
        <v>559</v>
      </c>
      <c r="C21" s="131" t="s">
        <v>560</v>
      </c>
      <c r="D21" s="46">
        <v>416825351.45999986</v>
      </c>
      <c r="E21" s="46">
        <v>173958567.9609859</v>
      </c>
      <c r="F21" s="152">
        <v>38.473693663348627</v>
      </c>
      <c r="G21" s="153">
        <f t="shared" si="0"/>
        <v>6692828653.8457842</v>
      </c>
    </row>
    <row r="22" spans="1:8">
      <c r="A22" s="131">
        <v>14</v>
      </c>
      <c r="B22" s="138" t="s">
        <v>561</v>
      </c>
      <c r="C22" s="131" t="s">
        <v>562</v>
      </c>
      <c r="D22" s="46">
        <v>136854648.86000001</v>
      </c>
      <c r="E22" s="46">
        <v>57009533.58717484</v>
      </c>
      <c r="F22" s="152">
        <v>38.473693663348627</v>
      </c>
      <c r="G22" s="153">
        <f t="shared" si="0"/>
        <v>2193367331.1233492</v>
      </c>
    </row>
    <row r="23" spans="1:8">
      <c r="A23" s="131">
        <v>15</v>
      </c>
      <c r="B23" s="138" t="s">
        <v>563</v>
      </c>
      <c r="C23" s="131" t="s">
        <v>263</v>
      </c>
      <c r="D23" s="46">
        <v>475604777.59668738</v>
      </c>
      <c r="E23" s="46">
        <v>197574196.16732308</v>
      </c>
      <c r="F23" s="152">
        <v>14.3125</v>
      </c>
      <c r="G23" s="153">
        <f t="shared" si="0"/>
        <v>2827780682.6448116</v>
      </c>
    </row>
    <row r="24" spans="1:8">
      <c r="A24" s="131">
        <v>16</v>
      </c>
      <c r="B24" s="138" t="s">
        <v>564</v>
      </c>
      <c r="C24" s="131" t="s">
        <v>263</v>
      </c>
      <c r="D24" s="46">
        <v>18523717.264172398</v>
      </c>
      <c r="E24" s="46">
        <v>7695062.6230231496</v>
      </c>
      <c r="F24" s="152">
        <v>167.50000578703475</v>
      </c>
      <c r="G24" s="153">
        <f t="shared" si="0"/>
        <v>1288923033.8879724</v>
      </c>
    </row>
    <row r="25" spans="1:8">
      <c r="A25" s="131">
        <v>17</v>
      </c>
      <c r="B25" s="139" t="s">
        <v>565</v>
      </c>
      <c r="C25" s="140" t="s">
        <v>263</v>
      </c>
      <c r="D25" s="47">
        <v>617082336.45913827</v>
      </c>
      <c r="E25" s="47">
        <v>279464962.37380332</v>
      </c>
      <c r="F25" s="187">
        <v>42.31</v>
      </c>
      <c r="G25" s="154">
        <f t="shared" si="0"/>
        <v>11824162558.03562</v>
      </c>
      <c r="H25" s="13" t="s">
        <v>586</v>
      </c>
    </row>
    <row r="26" spans="1:8">
      <c r="A26" s="131">
        <v>18</v>
      </c>
      <c r="B26" s="138" t="s">
        <v>566</v>
      </c>
      <c r="C26" s="141"/>
      <c r="D26" s="6">
        <f>SUM(D19:D25)</f>
        <v>2729503424.8499975</v>
      </c>
      <c r="E26" s="6">
        <f>SUM(E19:E25)</f>
        <v>1155007739.0580306</v>
      </c>
      <c r="F26" s="156">
        <f>G26/E26</f>
        <v>34.503082983031568</v>
      </c>
      <c r="G26" s="149">
        <f>SUM(G19:G25)</f>
        <v>39851327866.762901</v>
      </c>
    </row>
    <row r="27" spans="1:8">
      <c r="A27" s="131">
        <v>19</v>
      </c>
      <c r="B27" s="138"/>
      <c r="C27" s="137"/>
    </row>
    <row r="28" spans="1:8">
      <c r="A28" s="131">
        <v>20</v>
      </c>
      <c r="B28" s="138" t="s">
        <v>567</v>
      </c>
      <c r="C28" s="131" t="s">
        <v>568</v>
      </c>
      <c r="D28" s="46">
        <v>0</v>
      </c>
      <c r="E28" s="46">
        <v>0</v>
      </c>
      <c r="G28" s="153"/>
    </row>
    <row r="29" spans="1:8">
      <c r="A29" s="131">
        <v>21</v>
      </c>
      <c r="B29" s="138" t="s">
        <v>569</v>
      </c>
      <c r="C29" s="131">
        <v>555</v>
      </c>
      <c r="D29" s="46">
        <v>-36817673.389999896</v>
      </c>
      <c r="E29" s="46">
        <v>0</v>
      </c>
      <c r="G29" s="153"/>
    </row>
    <row r="30" spans="1:8">
      <c r="A30" s="131">
        <v>22</v>
      </c>
      <c r="B30" s="138"/>
      <c r="C30" s="137"/>
    </row>
    <row r="31" spans="1:8">
      <c r="A31" s="131">
        <v>23</v>
      </c>
      <c r="B31" s="138" t="s">
        <v>570</v>
      </c>
      <c r="C31" s="141"/>
      <c r="D31" s="149">
        <f>SUM(D26:D30)</f>
        <v>2692685751.4599977</v>
      </c>
      <c r="E31" s="149">
        <f>SUM(E26:E30)</f>
        <v>1155007739.0580306</v>
      </c>
      <c r="G31" s="155"/>
    </row>
    <row r="32" spans="1:8">
      <c r="A32" s="131">
        <v>24</v>
      </c>
      <c r="B32" s="138"/>
      <c r="C32" s="137"/>
    </row>
    <row r="33" spans="1:7">
      <c r="A33" s="131">
        <v>25</v>
      </c>
      <c r="B33" s="138" t="s">
        <v>571</v>
      </c>
      <c r="C33" s="137"/>
    </row>
    <row r="34" spans="1:7">
      <c r="A34" s="131">
        <v>26</v>
      </c>
      <c r="B34" s="138" t="s">
        <v>572</v>
      </c>
      <c r="C34" s="131">
        <v>408</v>
      </c>
      <c r="D34" s="46">
        <v>100361440.25</v>
      </c>
      <c r="E34" s="46">
        <v>41921417.040947348</v>
      </c>
      <c r="F34" s="152">
        <v>140.77381030089001</v>
      </c>
      <c r="G34" s="153">
        <f>E34*F34</f>
        <v>5901437610.0668192</v>
      </c>
    </row>
    <row r="35" spans="1:7">
      <c r="A35" s="131">
        <v>27</v>
      </c>
      <c r="B35" s="139" t="s">
        <v>573</v>
      </c>
      <c r="C35" s="140">
        <v>408</v>
      </c>
      <c r="D35" s="47">
        <v>36151288.239999995</v>
      </c>
      <c r="E35" s="47">
        <v>4307486.8580824425</v>
      </c>
      <c r="F35" s="152">
        <v>41.863279022091376</v>
      </c>
      <c r="G35" s="154">
        <f>E35*F35</f>
        <v>180325524.22389701</v>
      </c>
    </row>
    <row r="36" spans="1:7">
      <c r="A36" s="131">
        <v>28</v>
      </c>
      <c r="B36" s="138" t="s">
        <v>574</v>
      </c>
      <c r="C36" s="141"/>
      <c r="D36" s="150">
        <f>SUM(D34:D35)</f>
        <v>136512728.49000001</v>
      </c>
      <c r="E36" s="149">
        <f>SUM(E34:E35)</f>
        <v>46228903.899029791</v>
      </c>
      <c r="F36" s="156">
        <f>G36/E36</f>
        <v>131.55758889663733</v>
      </c>
      <c r="G36" s="149">
        <f>SUM(G34:G35)</f>
        <v>6081763134.2907162</v>
      </c>
    </row>
    <row r="37" spans="1:7">
      <c r="A37" s="131">
        <v>29</v>
      </c>
      <c r="C37" s="137"/>
    </row>
    <row r="38" spans="1:7">
      <c r="A38" s="131">
        <v>30</v>
      </c>
      <c r="B38" s="138" t="s">
        <v>575</v>
      </c>
      <c r="C38" s="137"/>
    </row>
    <row r="39" spans="1:7">
      <c r="A39" s="131">
        <v>31</v>
      </c>
      <c r="B39" s="138" t="s">
        <v>576</v>
      </c>
      <c r="C39" s="131">
        <v>409</v>
      </c>
      <c r="D39" s="46">
        <v>-482762100.3916164</v>
      </c>
      <c r="E39" s="46">
        <v>-185977091.63192922</v>
      </c>
      <c r="F39" s="152">
        <v>37.874994212957972</v>
      </c>
      <c r="G39" s="153">
        <f>E39*F39</f>
        <v>-7043881269.3020735</v>
      </c>
    </row>
    <row r="40" spans="1:7">
      <c r="A40" s="131">
        <v>32</v>
      </c>
      <c r="B40" s="139" t="s">
        <v>577</v>
      </c>
      <c r="C40" s="140">
        <v>409</v>
      </c>
      <c r="D40" s="47">
        <v>-58348092.871148378</v>
      </c>
      <c r="E40" s="47">
        <v>-22249113.739816021</v>
      </c>
      <c r="F40" s="158">
        <v>38.166704878216692</v>
      </c>
      <c r="G40" s="154">
        <f>E40*F40</f>
        <v>-849175357.9094342</v>
      </c>
    </row>
    <row r="41" spans="1:7">
      <c r="A41" s="131">
        <v>33</v>
      </c>
      <c r="B41" s="138" t="s">
        <v>578</v>
      </c>
      <c r="C41" s="141"/>
      <c r="D41" s="6">
        <f>SUM(D39:D40)</f>
        <v>-541110193.26276481</v>
      </c>
      <c r="E41" s="6">
        <f>SUM(E39:E40)</f>
        <v>-208226205.37174523</v>
      </c>
      <c r="F41" s="156">
        <f>G41/E41</f>
        <v>37.906163698848914</v>
      </c>
      <c r="G41" s="149">
        <f>SUM(G39:G40)</f>
        <v>-7893056627.2115078</v>
      </c>
    </row>
    <row r="42" spans="1:7">
      <c r="A42" s="131">
        <v>34</v>
      </c>
      <c r="C42" s="137"/>
    </row>
    <row r="43" spans="1:7">
      <c r="A43" s="131">
        <v>35</v>
      </c>
      <c r="B43" s="142" t="s">
        <v>579</v>
      </c>
      <c r="C43" s="143"/>
      <c r="D43" s="151">
        <f>SUM(D41,D36,D26)</f>
        <v>2324905960.0772328</v>
      </c>
      <c r="E43" s="151">
        <f>SUM(E41,E36,E26)</f>
        <v>993010437.58531523</v>
      </c>
      <c r="F43" s="156">
        <f>G43/E43</f>
        <v>38.307789056420539</v>
      </c>
      <c r="G43" s="151">
        <f>SUM(G41,G36,G26)</f>
        <v>38040034373.84211</v>
      </c>
    </row>
    <row r="44" spans="1:7">
      <c r="A44" s="131">
        <v>36</v>
      </c>
      <c r="C44" s="144"/>
    </row>
    <row r="45" spans="1:7">
      <c r="A45" s="131">
        <v>37</v>
      </c>
      <c r="B45" s="145" t="s">
        <v>580</v>
      </c>
      <c r="C45" s="146"/>
      <c r="F45" s="157">
        <f>F14-F43</f>
        <v>1.4549957260451336</v>
      </c>
    </row>
    <row r="46" spans="1:7">
      <c r="A46" s="131"/>
      <c r="B46" s="145"/>
      <c r="C46" s="146"/>
      <c r="F46" s="157"/>
    </row>
    <row r="48" spans="1:7">
      <c r="B48" t="s">
        <v>601</v>
      </c>
    </row>
    <row r="49" spans="2:2">
      <c r="B49" t="s">
        <v>600</v>
      </c>
    </row>
    <row r="50" spans="2:2">
      <c r="B50" s="13" t="s">
        <v>585</v>
      </c>
    </row>
    <row r="51" spans="2:2">
      <c r="B51" s="13" t="s">
        <v>650</v>
      </c>
    </row>
    <row r="52" spans="2:2">
      <c r="B52" t="s">
        <v>714</v>
      </c>
    </row>
  </sheetData>
  <pageMargins left="0.7" right="0.7" top="0.75" bottom="0.75" header="0.3" footer="0.3"/>
  <pageSetup scale="77"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workbookViewId="0">
      <selection activeCell="F5" sqref="F5"/>
    </sheetView>
  </sheetViews>
  <sheetFormatPr defaultRowHeight="15.75"/>
  <cols>
    <col min="3" max="3" width="12.125" bestFit="1" customWidth="1"/>
    <col min="4" max="4" width="8.125" bestFit="1" customWidth="1"/>
    <col min="5" max="5" width="13.75" bestFit="1" customWidth="1"/>
  </cols>
  <sheetData>
    <row r="1" spans="1:6">
      <c r="A1" s="7" t="s">
        <v>15</v>
      </c>
      <c r="F1" s="7" t="s">
        <v>244</v>
      </c>
    </row>
    <row r="2" spans="1:6">
      <c r="A2" s="17" t="s">
        <v>13</v>
      </c>
      <c r="F2" t="s">
        <v>365</v>
      </c>
    </row>
    <row r="3" spans="1:6">
      <c r="A3" s="5" t="s">
        <v>587</v>
      </c>
      <c r="F3" t="s">
        <v>649</v>
      </c>
    </row>
    <row r="4" spans="1:6">
      <c r="A4" t="s">
        <v>357</v>
      </c>
      <c r="F4" t="s">
        <v>712</v>
      </c>
    </row>
    <row r="5" spans="1:6">
      <c r="A5" t="s">
        <v>593</v>
      </c>
    </row>
    <row r="12" spans="1:6">
      <c r="B12" s="159" t="s">
        <v>589</v>
      </c>
    </row>
    <row r="13" spans="1:6">
      <c r="B13" s="159" t="s">
        <v>620</v>
      </c>
    </row>
    <row r="14" spans="1:6" ht="16.5" thickBot="1">
      <c r="B14" s="160"/>
      <c r="C14" s="160"/>
      <c r="D14" s="160"/>
      <c r="E14" s="160"/>
    </row>
    <row r="15" spans="1:6">
      <c r="B15" s="161" t="s">
        <v>590</v>
      </c>
      <c r="C15" s="162" t="s">
        <v>2</v>
      </c>
      <c r="D15" s="163" t="s">
        <v>487</v>
      </c>
      <c r="E15" s="164" t="s">
        <v>583</v>
      </c>
    </row>
    <row r="16" spans="1:6">
      <c r="B16" s="71">
        <v>1</v>
      </c>
      <c r="C16" s="46">
        <v>111243506.29999477</v>
      </c>
      <c r="D16" s="165">
        <f>E16/C16</f>
        <v>30.373166809830149</v>
      </c>
      <c r="E16" s="169">
        <v>3378817573.3601322</v>
      </c>
    </row>
    <row r="17" spans="1:5">
      <c r="B17" s="172">
        <v>2</v>
      </c>
      <c r="C17" s="46">
        <v>102126088.8199971</v>
      </c>
      <c r="D17" s="165">
        <f t="shared" ref="D17:D28" si="0">E17/C17</f>
        <v>37.743954261716418</v>
      </c>
      <c r="E17" s="170">
        <v>3854642425.3499589</v>
      </c>
    </row>
    <row r="18" spans="1:5">
      <c r="B18" s="172">
        <v>3</v>
      </c>
      <c r="C18" s="46">
        <v>135326327.80001986</v>
      </c>
      <c r="D18" s="165">
        <f t="shared" si="0"/>
        <v>32.239788894720782</v>
      </c>
      <c r="E18" s="170">
        <v>4362892240.1704245</v>
      </c>
    </row>
    <row r="19" spans="1:5">
      <c r="B19" s="172">
        <v>4</v>
      </c>
      <c r="C19" s="46">
        <v>137055898.62002018</v>
      </c>
      <c r="D19" s="165">
        <f t="shared" si="0"/>
        <v>44.499767404312777</v>
      </c>
      <c r="E19" s="170">
        <v>6098955609.9799709</v>
      </c>
    </row>
    <row r="20" spans="1:5">
      <c r="B20" s="172">
        <v>5</v>
      </c>
      <c r="C20" s="46">
        <v>124352711.47999536</v>
      </c>
      <c r="D20" s="165">
        <f t="shared" si="0"/>
        <v>33.176684214188981</v>
      </c>
      <c r="E20" s="170">
        <v>4125610639.9499588</v>
      </c>
    </row>
    <row r="21" spans="1:5">
      <c r="B21" s="172">
        <v>6</v>
      </c>
      <c r="C21" s="46">
        <v>121232086.30998984</v>
      </c>
      <c r="D21" s="165">
        <f t="shared" si="0"/>
        <v>34.045705418003536</v>
      </c>
      <c r="E21" s="170">
        <v>4127431897.7198935</v>
      </c>
    </row>
    <row r="22" spans="1:5">
      <c r="B22" s="172">
        <v>7</v>
      </c>
      <c r="C22" s="46">
        <v>120837229.06999116</v>
      </c>
      <c r="D22" s="165">
        <f t="shared" si="0"/>
        <v>35.614984503472925</v>
      </c>
      <c r="E22" s="170">
        <v>4303616040.7703428</v>
      </c>
    </row>
    <row r="23" spans="1:5">
      <c r="B23" s="172">
        <v>8</v>
      </c>
      <c r="C23" s="46">
        <v>118856366.28998958</v>
      </c>
      <c r="D23" s="165">
        <f t="shared" si="0"/>
        <v>34.543823472463018</v>
      </c>
      <c r="E23" s="170">
        <v>4105753335.6998038</v>
      </c>
    </row>
    <row r="24" spans="1:5">
      <c r="B24" s="172">
        <v>9</v>
      </c>
      <c r="C24" s="46">
        <v>129470735.09999266</v>
      </c>
      <c r="D24" s="165">
        <f t="shared" si="0"/>
        <v>38.039092957077536</v>
      </c>
      <c r="E24" s="170">
        <v>4924949327.6897821</v>
      </c>
    </row>
    <row r="25" spans="1:5">
      <c r="B25" s="172">
        <v>10</v>
      </c>
      <c r="C25" s="46">
        <v>136003319.12001339</v>
      </c>
      <c r="D25" s="165">
        <f t="shared" si="0"/>
        <v>32.78430841033898</v>
      </c>
      <c r="E25" s="170">
        <v>4458774758.8602715</v>
      </c>
    </row>
    <row r="26" spans="1:5">
      <c r="B26" s="172">
        <v>11</v>
      </c>
      <c r="C26" s="46">
        <v>132541490.77998887</v>
      </c>
      <c r="D26" s="165">
        <f t="shared" si="0"/>
        <v>37.433704418684293</v>
      </c>
      <c r="E26" s="170">
        <v>4961518989.0698729</v>
      </c>
    </row>
    <row r="27" spans="1:5">
      <c r="B27" s="173">
        <v>12</v>
      </c>
      <c r="C27" s="46">
        <v>132151259.69001918</v>
      </c>
      <c r="D27" s="165">
        <f t="shared" si="0"/>
        <v>32.576826748212873</v>
      </c>
      <c r="E27" s="171">
        <v>4305068691.4798422</v>
      </c>
    </row>
    <row r="28" spans="1:5" ht="16.5" thickBot="1">
      <c r="B28" s="174"/>
      <c r="C28" s="167">
        <f>SUM(C16:C27)</f>
        <v>1501197019.3800118</v>
      </c>
      <c r="D28" s="166">
        <f t="shared" si="0"/>
        <v>35.31050944398514</v>
      </c>
      <c r="E28" s="168">
        <f>SUM(E16:E27)</f>
        <v>53008031530.10025</v>
      </c>
    </row>
    <row r="30" spans="1:5">
      <c r="A30" t="s">
        <v>591</v>
      </c>
      <c r="D30" s="175">
        <v>7</v>
      </c>
    </row>
    <row r="32" spans="1:5" ht="16.5" thickBot="1">
      <c r="A32" t="s">
        <v>592</v>
      </c>
      <c r="D32" s="176">
        <f>SUM(D28:D30)</f>
        <v>42.31050944398514</v>
      </c>
    </row>
    <row r="33" spans="1:1" ht="16.5" thickTop="1"/>
    <row r="35" spans="1:1">
      <c r="A35" t="s">
        <v>621</v>
      </c>
    </row>
    <row r="36" spans="1:1">
      <c r="A36" t="s">
        <v>622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M32"/>
  <sheetViews>
    <sheetView topLeftCell="A4" workbookViewId="0">
      <selection activeCell="C39" sqref="C39"/>
    </sheetView>
  </sheetViews>
  <sheetFormatPr defaultRowHeight="15.75"/>
  <cols>
    <col min="1" max="1" width="3.5" customWidth="1"/>
    <col min="2" max="2" width="1.625" customWidth="1"/>
    <col min="3" max="3" width="41.25" customWidth="1"/>
    <col min="4" max="4" width="4.125" customWidth="1"/>
    <col min="5" max="5" width="8" customWidth="1"/>
    <col min="6" max="6" width="1" customWidth="1"/>
    <col min="7" max="7" width="12.75" customWidth="1"/>
    <col min="8" max="8" width="0.875" customWidth="1"/>
    <col min="9" max="9" width="6.125" customWidth="1"/>
    <col min="10" max="10" width="1" customWidth="1"/>
    <col min="11" max="11" width="8.375" customWidth="1"/>
    <col min="12" max="12" width="1" customWidth="1"/>
    <col min="13" max="13" width="14.25" customWidth="1"/>
  </cols>
  <sheetData>
    <row r="1" spans="1:13">
      <c r="A1" s="7" t="s">
        <v>15</v>
      </c>
      <c r="I1" s="7" t="s">
        <v>244</v>
      </c>
    </row>
    <row r="2" spans="1:13">
      <c r="A2" s="17" t="s">
        <v>13</v>
      </c>
      <c r="I2" t="s">
        <v>365</v>
      </c>
    </row>
    <row r="3" spans="1:13">
      <c r="A3" s="5" t="s">
        <v>352</v>
      </c>
      <c r="I3" t="s">
        <v>623</v>
      </c>
    </row>
    <row r="4" spans="1:13">
      <c r="A4" t="s">
        <v>357</v>
      </c>
      <c r="I4" t="s">
        <v>649</v>
      </c>
    </row>
    <row r="7" spans="1:13">
      <c r="A7" t="s">
        <v>0</v>
      </c>
      <c r="E7" s="1"/>
      <c r="F7" s="1"/>
      <c r="G7" s="1" t="s">
        <v>4</v>
      </c>
      <c r="H7" s="1"/>
      <c r="I7" s="1"/>
      <c r="J7" s="1"/>
      <c r="K7" s="1"/>
      <c r="L7" s="1"/>
      <c r="M7" s="1" t="s">
        <v>9</v>
      </c>
    </row>
    <row r="8" spans="1:13">
      <c r="A8" s="2" t="s">
        <v>3</v>
      </c>
      <c r="C8" s="2" t="s">
        <v>1</v>
      </c>
      <c r="E8" s="10" t="s">
        <v>70</v>
      </c>
      <c r="F8" s="1"/>
      <c r="G8" s="10" t="s">
        <v>6</v>
      </c>
      <c r="H8" s="1"/>
      <c r="I8" s="10" t="s">
        <v>7</v>
      </c>
      <c r="J8" s="1"/>
      <c r="K8" s="11" t="s">
        <v>10</v>
      </c>
      <c r="L8" s="1"/>
      <c r="M8" s="10" t="s">
        <v>8</v>
      </c>
    </row>
    <row r="10" spans="1:13">
      <c r="C10" s="39" t="s">
        <v>12</v>
      </c>
    </row>
    <row r="11" spans="1:13">
      <c r="A11">
        <v>1</v>
      </c>
      <c r="C11" t="s">
        <v>345</v>
      </c>
      <c r="E11" s="1">
        <v>537</v>
      </c>
      <c r="G11" s="44">
        <f>-3787888</f>
        <v>-3787888</v>
      </c>
      <c r="I11" s="8" t="s">
        <v>237</v>
      </c>
      <c r="J11" s="42"/>
      <c r="K11" s="51">
        <v>0.43154999999999999</v>
      </c>
      <c r="L11" s="41"/>
      <c r="M11" s="45">
        <f>G11*K11</f>
        <v>-1634663.0663999999</v>
      </c>
    </row>
    <row r="12" spans="1:13">
      <c r="A12">
        <v>2</v>
      </c>
      <c r="C12" t="s">
        <v>366</v>
      </c>
      <c r="E12" s="43">
        <v>557</v>
      </c>
      <c r="F12" s="23"/>
      <c r="G12" s="52">
        <f>-15824000-1376000</f>
        <v>-17200000</v>
      </c>
      <c r="H12" s="41"/>
      <c r="I12" s="8" t="s">
        <v>14</v>
      </c>
      <c r="J12" s="42"/>
      <c r="K12" s="51">
        <v>0.43154999999999999</v>
      </c>
      <c r="L12" s="41"/>
      <c r="M12" s="52">
        <f>G12*K12</f>
        <v>-7422660</v>
      </c>
    </row>
    <row r="13" spans="1:13">
      <c r="A13">
        <v>3</v>
      </c>
      <c r="E13" s="43"/>
      <c r="G13" s="94">
        <f>SUM(G11:G12)</f>
        <v>-20987888</v>
      </c>
      <c r="M13" s="94">
        <f>SUM(M11:M12)</f>
        <v>-9057323.066399999</v>
      </c>
    </row>
    <row r="14" spans="1:13">
      <c r="C14" s="3" t="s">
        <v>69</v>
      </c>
      <c r="E14" s="43"/>
      <c r="G14" s="44"/>
    </row>
    <row r="15" spans="1:13">
      <c r="A15">
        <v>4</v>
      </c>
      <c r="C15" t="s">
        <v>355</v>
      </c>
      <c r="E15" s="43">
        <v>332</v>
      </c>
      <c r="G15" s="44">
        <f>-'3.6.1'!F14</f>
        <v>-3957918</v>
      </c>
      <c r="I15" s="8" t="s">
        <v>237</v>
      </c>
      <c r="J15" s="42"/>
      <c r="K15" s="51">
        <v>0.43154999999999999</v>
      </c>
      <c r="L15" s="41"/>
      <c r="M15" s="45">
        <f>G15*K15</f>
        <v>-1708039.5129</v>
      </c>
    </row>
    <row r="16" spans="1:13">
      <c r="A16">
        <v>5</v>
      </c>
      <c r="C16" t="s">
        <v>354</v>
      </c>
      <c r="E16" s="43">
        <v>302</v>
      </c>
      <c r="G16" s="52">
        <f>-81814435</f>
        <v>-81814435</v>
      </c>
      <c r="I16" s="8" t="s">
        <v>237</v>
      </c>
      <c r="J16" s="42"/>
      <c r="K16" s="51">
        <v>0.43154999999999999</v>
      </c>
      <c r="L16" s="41"/>
      <c r="M16" s="52">
        <f>G16*K16</f>
        <v>-35307019.424249999</v>
      </c>
    </row>
    <row r="17" spans="1:13">
      <c r="A17">
        <v>6</v>
      </c>
      <c r="E17" s="43"/>
      <c r="G17" s="52">
        <f>SUM(G15:G16)</f>
        <v>-85772353</v>
      </c>
      <c r="I17" s="8"/>
      <c r="J17" s="42"/>
      <c r="K17" s="51"/>
      <c r="L17" s="41"/>
      <c r="M17" s="52">
        <f>SUM(M15:M16)</f>
        <v>-37015058.937150002</v>
      </c>
    </row>
    <row r="18" spans="1:13">
      <c r="C18" s="3" t="s">
        <v>346</v>
      </c>
      <c r="E18" s="43"/>
      <c r="G18" s="44"/>
    </row>
    <row r="19" spans="1:13">
      <c r="A19">
        <v>7</v>
      </c>
      <c r="C19" t="s">
        <v>378</v>
      </c>
      <c r="E19" s="1" t="s">
        <v>272</v>
      </c>
      <c r="G19" s="44">
        <f>-5613990</f>
        <v>-5613990</v>
      </c>
      <c r="I19" s="8" t="s">
        <v>237</v>
      </c>
      <c r="J19" s="42"/>
      <c r="K19" s="51">
        <v>0.43154999999999999</v>
      </c>
      <c r="L19" s="41"/>
      <c r="M19" s="45">
        <f t="shared" ref="M19" si="0">G19*K19</f>
        <v>-2422717.3845000002</v>
      </c>
    </row>
    <row r="20" spans="1:13">
      <c r="A20">
        <v>8</v>
      </c>
      <c r="C20" t="s">
        <v>379</v>
      </c>
      <c r="E20" s="1"/>
      <c r="G20" s="44"/>
      <c r="I20" s="8"/>
      <c r="J20" s="42"/>
      <c r="K20" s="51"/>
      <c r="L20" s="41"/>
      <c r="M20" s="45"/>
    </row>
    <row r="21" spans="1:13">
      <c r="C21" t="s">
        <v>380</v>
      </c>
      <c r="E21" s="1" t="s">
        <v>272</v>
      </c>
      <c r="G21" s="44">
        <f>G15*0.01884</f>
        <v>-74567.17512</v>
      </c>
      <c r="I21" s="8" t="s">
        <v>237</v>
      </c>
      <c r="J21" s="42"/>
      <c r="K21" s="51">
        <v>0.43154999999999999</v>
      </c>
      <c r="L21" s="41"/>
      <c r="M21" s="45">
        <f t="shared" ref="M21" si="1">G21*K21</f>
        <v>-32179.464423035999</v>
      </c>
    </row>
    <row r="22" spans="1:13">
      <c r="A22">
        <v>9</v>
      </c>
      <c r="C22" t="s">
        <v>347</v>
      </c>
      <c r="E22" s="43"/>
    </row>
    <row r="23" spans="1:13">
      <c r="C23" t="s">
        <v>348</v>
      </c>
      <c r="E23" s="1" t="s">
        <v>273</v>
      </c>
      <c r="G23" s="52">
        <f>-10788717</f>
        <v>-10788717</v>
      </c>
      <c r="I23" s="8" t="s">
        <v>237</v>
      </c>
      <c r="J23" s="42"/>
      <c r="K23" s="51">
        <v>0.43154999999999999</v>
      </c>
      <c r="L23" s="41"/>
      <c r="M23" s="52">
        <f>G23*K23</f>
        <v>-4655870.8213499999</v>
      </c>
    </row>
    <row r="24" spans="1:13">
      <c r="E24" s="43"/>
      <c r="G24" s="52">
        <f>SUM(G19:G23)</f>
        <v>-16477274.17512</v>
      </c>
      <c r="I24" s="8"/>
      <c r="J24" s="42"/>
      <c r="K24" s="51"/>
      <c r="L24" s="41"/>
      <c r="M24" s="52">
        <f>SUM(M19:M23)</f>
        <v>-7110767.6702730358</v>
      </c>
    </row>
    <row r="25" spans="1:13">
      <c r="E25" s="43"/>
    </row>
    <row r="26" spans="1:13">
      <c r="C26" s="3" t="s">
        <v>349</v>
      </c>
    </row>
    <row r="27" spans="1:13">
      <c r="A27">
        <v>10</v>
      </c>
      <c r="C27" t="s">
        <v>378</v>
      </c>
      <c r="E27" s="1" t="s">
        <v>274</v>
      </c>
      <c r="G27" s="6">
        <v>5624883</v>
      </c>
      <c r="I27" s="8" t="s">
        <v>237</v>
      </c>
      <c r="J27" s="42"/>
      <c r="K27" s="51">
        <v>0.43154999999999999</v>
      </c>
      <c r="L27" s="41"/>
      <c r="M27" s="45">
        <f t="shared" ref="M27" si="2">G27*K27</f>
        <v>2427418.2586499997</v>
      </c>
    </row>
    <row r="28" spans="1:13">
      <c r="A28">
        <v>11</v>
      </c>
      <c r="C28" t="s">
        <v>379</v>
      </c>
      <c r="E28" s="1"/>
      <c r="G28" s="6"/>
      <c r="I28" s="8"/>
      <c r="J28" s="42"/>
      <c r="K28" s="51"/>
      <c r="L28" s="41"/>
      <c r="M28" s="45"/>
    </row>
    <row r="29" spans="1:13">
      <c r="C29" t="s">
        <v>380</v>
      </c>
      <c r="E29" s="1" t="s">
        <v>274</v>
      </c>
      <c r="G29" s="6">
        <f>-G21</f>
        <v>74567.17512</v>
      </c>
      <c r="I29" s="8" t="s">
        <v>237</v>
      </c>
      <c r="J29" s="42"/>
      <c r="K29" s="51">
        <v>0.43154999999999999</v>
      </c>
      <c r="L29" s="41"/>
      <c r="M29" s="45">
        <f t="shared" ref="M29" si="3">G29*K29</f>
        <v>32179.464423035999</v>
      </c>
    </row>
    <row r="30" spans="1:13">
      <c r="A30">
        <v>12</v>
      </c>
      <c r="C30" t="s">
        <v>347</v>
      </c>
    </row>
    <row r="31" spans="1:13">
      <c r="C31" t="s">
        <v>348</v>
      </c>
      <c r="E31" s="1" t="s">
        <v>275</v>
      </c>
      <c r="G31" s="40">
        <v>5394358</v>
      </c>
      <c r="I31" s="8" t="s">
        <v>237</v>
      </c>
      <c r="J31" s="42"/>
      <c r="K31" s="51">
        <v>0.43154999999999999</v>
      </c>
      <c r="L31" s="41"/>
      <c r="M31" s="52">
        <f>G31*K31</f>
        <v>2327935.1949</v>
      </c>
    </row>
    <row r="32" spans="1:13">
      <c r="G32" s="94">
        <f>SUM(G27:G31)</f>
        <v>11093808.17512</v>
      </c>
      <c r="I32" s="8"/>
      <c r="J32" s="42"/>
      <c r="K32" s="51"/>
      <c r="L32" s="41"/>
      <c r="M32" s="52">
        <f>SUM(M27:M31)</f>
        <v>4787532.9179730359</v>
      </c>
    </row>
  </sheetData>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60"/>
  <sheetViews>
    <sheetView workbookViewId="0">
      <selection activeCell="A10" sqref="A10"/>
    </sheetView>
  </sheetViews>
  <sheetFormatPr defaultRowHeight="15.75"/>
  <cols>
    <col min="1" max="1" width="16.375" customWidth="1"/>
    <col min="5" max="5" width="11.75" customWidth="1"/>
    <col min="6" max="6" width="11.125" bestFit="1" customWidth="1"/>
  </cols>
  <sheetData>
    <row r="1" spans="1:8">
      <c r="A1" s="7" t="s">
        <v>15</v>
      </c>
      <c r="G1" s="7" t="s">
        <v>244</v>
      </c>
    </row>
    <row r="2" spans="1:8">
      <c r="A2" s="17" t="s">
        <v>13</v>
      </c>
      <c r="G2" t="s">
        <v>365</v>
      </c>
    </row>
    <row r="3" spans="1:8">
      <c r="A3" s="5" t="s">
        <v>352</v>
      </c>
      <c r="G3" t="s">
        <v>649</v>
      </c>
    </row>
    <row r="4" spans="1:8">
      <c r="A4" t="s">
        <v>357</v>
      </c>
      <c r="G4" t="s">
        <v>665</v>
      </c>
    </row>
    <row r="6" spans="1:8">
      <c r="A6" t="s">
        <v>367</v>
      </c>
    </row>
    <row r="9" spans="1:8">
      <c r="F9" s="10" t="s">
        <v>2</v>
      </c>
    </row>
    <row r="11" spans="1:8">
      <c r="A11" t="s">
        <v>368</v>
      </c>
      <c r="E11" s="46"/>
      <c r="F11" s="46">
        <v>86119305</v>
      </c>
      <c r="G11" s="46" t="s">
        <v>369</v>
      </c>
      <c r="H11" s="46"/>
    </row>
    <row r="12" spans="1:8">
      <c r="A12" t="s">
        <v>370</v>
      </c>
      <c r="E12" s="46"/>
      <c r="F12" s="47">
        <v>82161387</v>
      </c>
      <c r="G12" s="102" t="s">
        <v>371</v>
      </c>
      <c r="H12" s="46"/>
    </row>
    <row r="13" spans="1:8">
      <c r="E13" s="46"/>
      <c r="F13" s="46"/>
      <c r="G13" s="46"/>
      <c r="H13" s="46"/>
    </row>
    <row r="14" spans="1:8">
      <c r="A14" t="s">
        <v>373</v>
      </c>
      <c r="E14" s="46"/>
      <c r="F14" s="103">
        <f>F11-F12</f>
        <v>3957918</v>
      </c>
      <c r="G14" s="46"/>
      <c r="H14" s="46"/>
    </row>
    <row r="15" spans="1:8">
      <c r="E15" s="46"/>
      <c r="F15" s="46"/>
      <c r="G15" s="46"/>
      <c r="H15" s="46"/>
    </row>
    <row r="16" spans="1:8">
      <c r="H16" s="46"/>
    </row>
    <row r="17" spans="1:8">
      <c r="A17" s="3" t="s">
        <v>381</v>
      </c>
      <c r="E17" s="46"/>
      <c r="F17" s="46"/>
      <c r="G17" s="46"/>
      <c r="H17" s="46"/>
    </row>
    <row r="18" spans="1:8">
      <c r="A18" t="s">
        <v>374</v>
      </c>
      <c r="E18" s="46"/>
      <c r="F18" s="46">
        <v>2387608</v>
      </c>
      <c r="G18" s="102" t="s">
        <v>371</v>
      </c>
      <c r="H18" s="46"/>
    </row>
    <row r="19" spans="1:8">
      <c r="A19" t="s">
        <v>375</v>
      </c>
      <c r="E19" s="46"/>
      <c r="F19" s="46">
        <f>-165435-109959</f>
        <v>-275394</v>
      </c>
      <c r="G19" s="46"/>
      <c r="H19" s="46"/>
    </row>
    <row r="20" spans="1:8">
      <c r="A20" t="s">
        <v>376</v>
      </c>
      <c r="E20" s="46"/>
      <c r="F20" s="47">
        <v>2195444</v>
      </c>
      <c r="G20" s="46" t="s">
        <v>369</v>
      </c>
      <c r="H20" s="46"/>
    </row>
    <row r="21" spans="1:8">
      <c r="A21" t="s">
        <v>377</v>
      </c>
      <c r="E21" s="46"/>
      <c r="F21" s="46">
        <f>SUM(F18:F20)</f>
        <v>4307658</v>
      </c>
      <c r="G21" s="46"/>
      <c r="H21" s="46"/>
    </row>
    <row r="22" spans="1:8">
      <c r="E22" s="46"/>
      <c r="F22" s="46"/>
      <c r="G22" s="46"/>
      <c r="H22" s="46"/>
    </row>
    <row r="23" spans="1:8">
      <c r="E23" s="46"/>
      <c r="F23" s="46"/>
      <c r="G23" s="46"/>
      <c r="H23" s="46"/>
    </row>
    <row r="24" spans="1:8">
      <c r="E24" s="46"/>
      <c r="F24" s="46"/>
      <c r="G24" s="46"/>
      <c r="H24" s="46"/>
    </row>
    <row r="25" spans="1:8">
      <c r="E25" s="46"/>
      <c r="F25" s="46"/>
      <c r="G25" s="46"/>
      <c r="H25" s="46"/>
    </row>
    <row r="26" spans="1:8">
      <c r="A26" s="13" t="s">
        <v>372</v>
      </c>
      <c r="E26" s="46"/>
      <c r="F26" s="46"/>
      <c r="G26" s="46"/>
      <c r="H26" s="46"/>
    </row>
    <row r="27" spans="1:8">
      <c r="E27" s="46"/>
      <c r="F27" s="46"/>
      <c r="G27" s="46"/>
      <c r="H27" s="46"/>
    </row>
    <row r="28" spans="1:8">
      <c r="E28" s="46"/>
      <c r="F28" s="46"/>
      <c r="G28" s="46"/>
      <c r="H28" s="46"/>
    </row>
    <row r="29" spans="1:8">
      <c r="E29" s="46"/>
      <c r="F29" s="46"/>
      <c r="G29" s="46"/>
      <c r="H29" s="46"/>
    </row>
    <row r="30" spans="1:8">
      <c r="E30" s="46"/>
      <c r="F30" s="46"/>
      <c r="G30" s="46"/>
      <c r="H30" s="46"/>
    </row>
    <row r="31" spans="1:8">
      <c r="E31" s="46"/>
      <c r="F31" s="46"/>
      <c r="G31" s="46"/>
      <c r="H31" s="46"/>
    </row>
    <row r="32" spans="1:8">
      <c r="E32" s="46"/>
      <c r="F32" s="46"/>
      <c r="G32" s="46"/>
      <c r="H32" s="46"/>
    </row>
    <row r="33" spans="5:8">
      <c r="E33" s="46"/>
      <c r="F33" s="46"/>
      <c r="G33" s="46"/>
      <c r="H33" s="46"/>
    </row>
    <row r="34" spans="5:8">
      <c r="E34" s="46"/>
      <c r="F34" s="46"/>
      <c r="G34" s="46"/>
      <c r="H34" s="46"/>
    </row>
    <row r="35" spans="5:8">
      <c r="E35" s="46"/>
      <c r="F35" s="46"/>
      <c r="G35" s="46"/>
      <c r="H35" s="46"/>
    </row>
    <row r="36" spans="5:8">
      <c r="E36" s="46"/>
      <c r="F36" s="46"/>
      <c r="G36" s="46"/>
      <c r="H36" s="46"/>
    </row>
    <row r="37" spans="5:8">
      <c r="E37" s="46"/>
      <c r="F37" s="46"/>
      <c r="G37" s="46"/>
      <c r="H37" s="46"/>
    </row>
    <row r="38" spans="5:8">
      <c r="E38" s="46"/>
      <c r="F38" s="46"/>
      <c r="G38" s="46"/>
      <c r="H38" s="46"/>
    </row>
    <row r="39" spans="5:8">
      <c r="E39" s="46"/>
      <c r="F39" s="46"/>
      <c r="G39" s="46"/>
      <c r="H39" s="46"/>
    </row>
    <row r="40" spans="5:8">
      <c r="E40" s="46"/>
      <c r="F40" s="46"/>
      <c r="G40" s="46"/>
      <c r="H40" s="46"/>
    </row>
    <row r="41" spans="5:8">
      <c r="E41" s="46"/>
      <c r="F41" s="46"/>
      <c r="G41" s="46"/>
      <c r="H41" s="46"/>
    </row>
    <row r="42" spans="5:8">
      <c r="E42" s="46"/>
      <c r="F42" s="46"/>
      <c r="G42" s="46"/>
      <c r="H42" s="46"/>
    </row>
    <row r="43" spans="5:8">
      <c r="E43" s="46"/>
      <c r="F43" s="46"/>
      <c r="G43" s="46"/>
      <c r="H43" s="46"/>
    </row>
    <row r="44" spans="5:8">
      <c r="E44" s="46"/>
      <c r="F44" s="46"/>
      <c r="G44" s="46"/>
      <c r="H44" s="46"/>
    </row>
    <row r="45" spans="5:8">
      <c r="E45" s="46"/>
      <c r="F45" s="46"/>
      <c r="G45" s="46"/>
      <c r="H45" s="46"/>
    </row>
    <row r="46" spans="5:8">
      <c r="E46" s="46"/>
      <c r="F46" s="46"/>
      <c r="G46" s="46"/>
      <c r="H46" s="46"/>
    </row>
    <row r="47" spans="5:8">
      <c r="E47" s="46"/>
      <c r="F47" s="46"/>
      <c r="G47" s="46"/>
      <c r="H47" s="46"/>
    </row>
    <row r="48" spans="5:8">
      <c r="E48" s="46"/>
      <c r="F48" s="46"/>
      <c r="G48" s="46"/>
      <c r="H48" s="46"/>
    </row>
    <row r="49" spans="5:8">
      <c r="E49" s="46"/>
      <c r="F49" s="46"/>
      <c r="G49" s="46"/>
      <c r="H49" s="46"/>
    </row>
    <row r="50" spans="5:8">
      <c r="E50" s="46"/>
      <c r="F50" s="46"/>
      <c r="G50" s="46"/>
      <c r="H50" s="46"/>
    </row>
    <row r="51" spans="5:8">
      <c r="E51" s="46"/>
      <c r="F51" s="46"/>
      <c r="G51" s="46"/>
      <c r="H51" s="46"/>
    </row>
    <row r="52" spans="5:8">
      <c r="E52" s="46"/>
      <c r="F52" s="46"/>
      <c r="G52" s="46"/>
      <c r="H52" s="46"/>
    </row>
    <row r="53" spans="5:8">
      <c r="E53" s="46"/>
      <c r="F53" s="46"/>
      <c r="G53" s="46"/>
      <c r="H53" s="46"/>
    </row>
    <row r="54" spans="5:8">
      <c r="E54" s="46"/>
      <c r="F54" s="46"/>
      <c r="G54" s="46"/>
      <c r="H54" s="46"/>
    </row>
    <row r="55" spans="5:8">
      <c r="E55" s="46"/>
      <c r="F55" s="46"/>
      <c r="G55" s="46"/>
      <c r="H55" s="46"/>
    </row>
    <row r="56" spans="5:8">
      <c r="E56" s="46"/>
      <c r="F56" s="46"/>
      <c r="G56" s="46"/>
      <c r="H56" s="46"/>
    </row>
    <row r="57" spans="5:8">
      <c r="E57" s="46"/>
      <c r="F57" s="46"/>
      <c r="G57" s="46"/>
      <c r="H57" s="46"/>
    </row>
    <row r="58" spans="5:8">
      <c r="E58" s="46"/>
      <c r="F58" s="46"/>
      <c r="G58" s="46"/>
      <c r="H58" s="46"/>
    </row>
    <row r="59" spans="5:8">
      <c r="E59" s="46"/>
      <c r="F59" s="46"/>
      <c r="G59" s="46"/>
      <c r="H59" s="46"/>
    </row>
    <row r="60" spans="5:8">
      <c r="E60" s="46"/>
      <c r="F60" s="46"/>
      <c r="G60" s="46"/>
      <c r="H60" s="46"/>
    </row>
  </sheetData>
  <pageMargins left="0.7" right="0.7" top="0.75" bottom="0.75" header="0.3" footer="0.3"/>
  <pageSetup scale="91"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O52"/>
  <sheetViews>
    <sheetView topLeftCell="A13" workbookViewId="0">
      <selection activeCell="C40" sqref="C40"/>
    </sheetView>
  </sheetViews>
  <sheetFormatPr defaultRowHeight="15.75"/>
  <cols>
    <col min="1" max="1" width="6.875" customWidth="1"/>
    <col min="2" max="2" width="44.875" customWidth="1"/>
    <col min="3" max="5" width="12" customWidth="1"/>
    <col min="6" max="6" width="13.125" customWidth="1"/>
    <col min="7" max="10" width="12" customWidth="1"/>
    <col min="11" max="11" width="9.125" customWidth="1"/>
    <col min="12" max="12" width="1" customWidth="1"/>
    <col min="13" max="13" width="12.5" customWidth="1"/>
    <col min="14" max="14" width="1.625" customWidth="1"/>
  </cols>
  <sheetData>
    <row r="1" spans="1:15">
      <c r="A1" s="7" t="s">
        <v>15</v>
      </c>
      <c r="B1" s="189"/>
      <c r="C1" s="189"/>
      <c r="D1" s="189"/>
      <c r="E1" s="189"/>
      <c r="F1" s="189"/>
      <c r="G1" s="189"/>
      <c r="H1" s="189"/>
      <c r="I1" s="9" t="s">
        <v>244</v>
      </c>
      <c r="J1" s="189"/>
      <c r="K1" s="38"/>
      <c r="L1" s="4"/>
      <c r="M1" s="4"/>
      <c r="N1" s="4"/>
      <c r="O1" s="4"/>
    </row>
    <row r="2" spans="1:15">
      <c r="A2" s="17" t="s">
        <v>13</v>
      </c>
      <c r="B2" s="189"/>
      <c r="C2" s="189"/>
      <c r="D2" s="189"/>
      <c r="E2" s="189"/>
      <c r="F2" s="189"/>
      <c r="G2" s="189"/>
      <c r="H2" s="189"/>
      <c r="I2" s="9" t="s">
        <v>365</v>
      </c>
      <c r="J2" s="189"/>
      <c r="K2" s="4"/>
      <c r="L2" s="4"/>
      <c r="M2" s="4"/>
      <c r="N2" s="4"/>
      <c r="O2" s="4"/>
    </row>
    <row r="3" spans="1:15">
      <c r="A3" s="17" t="s">
        <v>671</v>
      </c>
      <c r="B3" s="189"/>
      <c r="C3" s="189"/>
      <c r="D3" s="189"/>
      <c r="E3" s="189"/>
      <c r="F3" s="189"/>
      <c r="G3" s="189"/>
      <c r="H3" s="189"/>
      <c r="I3" s="9" t="s">
        <v>672</v>
      </c>
      <c r="J3" s="189"/>
      <c r="K3" s="4"/>
      <c r="L3" s="4"/>
      <c r="M3" s="4"/>
      <c r="N3" s="4"/>
      <c r="O3" s="4"/>
    </row>
    <row r="4" spans="1:15">
      <c r="A4" s="17" t="s">
        <v>673</v>
      </c>
      <c r="B4" s="189"/>
      <c r="C4" s="189"/>
      <c r="D4" s="189"/>
      <c r="E4" s="189"/>
      <c r="F4" s="189"/>
      <c r="G4" s="189"/>
      <c r="H4" s="189"/>
      <c r="I4" s="9" t="s">
        <v>674</v>
      </c>
      <c r="J4" s="189"/>
      <c r="K4" s="4"/>
      <c r="L4" s="4"/>
      <c r="M4" s="4"/>
      <c r="N4" s="4"/>
      <c r="O4" s="4"/>
    </row>
    <row r="5" spans="1:15">
      <c r="A5" s="189"/>
      <c r="B5" s="190"/>
      <c r="C5" s="190"/>
      <c r="D5" s="190"/>
      <c r="E5" s="190"/>
      <c r="F5" s="190"/>
      <c r="G5" s="190"/>
      <c r="H5" s="190"/>
      <c r="I5" s="190"/>
      <c r="J5" s="190"/>
      <c r="K5" s="4"/>
      <c r="L5" s="4"/>
      <c r="M5" s="4"/>
      <c r="N5" s="4"/>
      <c r="O5" s="4"/>
    </row>
    <row r="6" spans="1:15">
      <c r="A6" s="189"/>
      <c r="B6" s="189"/>
      <c r="C6" s="189"/>
      <c r="D6" s="189"/>
      <c r="E6" s="189"/>
      <c r="F6" s="189"/>
      <c r="G6" s="189"/>
      <c r="H6" s="189"/>
      <c r="I6" s="189"/>
      <c r="J6" s="189"/>
      <c r="K6" s="4"/>
      <c r="L6" s="4"/>
      <c r="M6" s="4"/>
      <c r="N6" s="4"/>
      <c r="O6" s="4"/>
    </row>
    <row r="7" spans="1:15">
      <c r="A7" s="189"/>
      <c r="B7" s="189"/>
      <c r="C7" s="189"/>
      <c r="D7" s="189"/>
      <c r="E7" s="189"/>
      <c r="F7" s="189"/>
      <c r="G7" s="189"/>
      <c r="H7" s="189"/>
      <c r="I7" s="189"/>
      <c r="J7" s="189"/>
      <c r="K7" s="8"/>
      <c r="L7" s="8"/>
      <c r="M7" s="8"/>
      <c r="N7" s="4"/>
      <c r="O7" s="4"/>
    </row>
    <row r="8" spans="1:15">
      <c r="A8" s="191" t="s">
        <v>0</v>
      </c>
      <c r="B8" s="191"/>
      <c r="C8" s="189"/>
      <c r="D8" s="189"/>
      <c r="E8" s="189"/>
      <c r="F8" s="189"/>
      <c r="G8" s="189"/>
      <c r="H8" s="189"/>
      <c r="I8" s="189"/>
      <c r="J8" s="189"/>
      <c r="K8" s="188"/>
      <c r="L8" s="8"/>
      <c r="M8" s="8"/>
      <c r="N8" s="4"/>
      <c r="O8" s="4"/>
    </row>
    <row r="9" spans="1:15">
      <c r="A9" s="192" t="s">
        <v>3</v>
      </c>
      <c r="B9" s="193" t="s">
        <v>1</v>
      </c>
      <c r="C9" s="194" t="s">
        <v>675</v>
      </c>
      <c r="D9" s="194" t="s">
        <v>676</v>
      </c>
      <c r="E9" s="194" t="s">
        <v>677</v>
      </c>
      <c r="F9" s="194" t="s">
        <v>9</v>
      </c>
      <c r="G9" s="194" t="s">
        <v>678</v>
      </c>
      <c r="H9" s="194" t="s">
        <v>679</v>
      </c>
      <c r="I9" s="194" t="s">
        <v>680</v>
      </c>
      <c r="J9" s="194" t="s">
        <v>4</v>
      </c>
      <c r="K9" s="4"/>
      <c r="L9" s="4"/>
      <c r="M9" s="4"/>
      <c r="N9" s="4"/>
      <c r="O9" s="4"/>
    </row>
    <row r="10" spans="1:15">
      <c r="A10" s="195" t="s">
        <v>371</v>
      </c>
      <c r="B10" s="195" t="s">
        <v>681</v>
      </c>
      <c r="C10" s="195" t="s">
        <v>682</v>
      </c>
      <c r="D10" s="195" t="s">
        <v>683</v>
      </c>
      <c r="E10" s="195" t="s">
        <v>684</v>
      </c>
      <c r="F10" s="195" t="s">
        <v>685</v>
      </c>
      <c r="G10" s="195" t="s">
        <v>686</v>
      </c>
      <c r="H10" s="195" t="s">
        <v>687</v>
      </c>
      <c r="I10" s="195" t="s">
        <v>688</v>
      </c>
      <c r="J10" s="195" t="s">
        <v>689</v>
      </c>
      <c r="K10" s="4"/>
      <c r="L10" s="4"/>
      <c r="M10" s="4"/>
      <c r="N10" s="4"/>
      <c r="O10" s="4"/>
    </row>
    <row r="11" spans="1:15">
      <c r="A11" s="189"/>
      <c r="B11" s="196" t="s">
        <v>690</v>
      </c>
      <c r="C11" s="189"/>
      <c r="D11" s="189"/>
      <c r="E11" s="189"/>
      <c r="F11" s="189"/>
      <c r="G11" s="189"/>
      <c r="H11" s="189"/>
      <c r="I11" s="189"/>
      <c r="J11" s="189"/>
      <c r="K11" s="51"/>
      <c r="L11" s="41"/>
      <c r="M11" s="44"/>
      <c r="N11" s="4"/>
      <c r="O11" s="4"/>
    </row>
    <row r="12" spans="1:15">
      <c r="A12" s="191">
        <v>1</v>
      </c>
      <c r="B12" s="197">
        <v>2006</v>
      </c>
      <c r="C12" s="198">
        <v>0.10533794088748905</v>
      </c>
      <c r="D12" s="198">
        <v>0.11309847504178627</v>
      </c>
      <c r="E12" s="198">
        <v>0.1646386208565882</v>
      </c>
      <c r="F12" s="198">
        <v>7.1934637978993576E-2</v>
      </c>
      <c r="G12" s="198">
        <v>0.10397955333077169</v>
      </c>
      <c r="H12" s="198">
        <v>6.1136813157721681E-2</v>
      </c>
      <c r="I12" s="189"/>
      <c r="J12" s="189"/>
      <c r="K12" s="51"/>
      <c r="L12" s="41"/>
      <c r="M12" s="44"/>
      <c r="N12" s="4"/>
      <c r="O12" s="4"/>
    </row>
    <row r="13" spans="1:15">
      <c r="A13" s="191">
        <v>2</v>
      </c>
      <c r="B13" s="197">
        <v>2007</v>
      </c>
      <c r="C13" s="198">
        <v>0.10550087833294075</v>
      </c>
      <c r="D13" s="198">
        <v>0.11127052998195142</v>
      </c>
      <c r="E13" s="198">
        <v>0.20311491746400923</v>
      </c>
      <c r="F13" s="198">
        <v>7.6786476201097686E-2</v>
      </c>
      <c r="G13" s="198">
        <v>9.4455053509780562E-2</v>
      </c>
      <c r="H13" s="198">
        <v>7.1556831714623348E-2</v>
      </c>
      <c r="I13" s="189"/>
      <c r="J13" s="189"/>
      <c r="K13" s="4"/>
      <c r="L13" s="4"/>
      <c r="M13" s="4"/>
      <c r="N13" s="4"/>
      <c r="O13" s="4"/>
    </row>
    <row r="14" spans="1:15">
      <c r="A14" s="191">
        <v>3</v>
      </c>
      <c r="B14" s="197">
        <v>2008</v>
      </c>
      <c r="C14" s="198">
        <v>0.11687420094550172</v>
      </c>
      <c r="D14" s="198">
        <v>0.11999257022347987</v>
      </c>
      <c r="E14" s="198">
        <v>0.11957179736277301</v>
      </c>
      <c r="F14" s="198">
        <v>7.3346647978536961E-2</v>
      </c>
      <c r="G14" s="198">
        <v>0.11374457599637</v>
      </c>
      <c r="H14" s="198">
        <v>5.3856739650110397E-2</v>
      </c>
      <c r="I14" s="189"/>
      <c r="J14" s="189"/>
      <c r="K14" s="4"/>
      <c r="L14" s="4"/>
      <c r="M14" s="12"/>
      <c r="N14" s="4"/>
      <c r="O14" s="4"/>
    </row>
    <row r="15" spans="1:15">
      <c r="A15" s="191">
        <v>4</v>
      </c>
      <c r="B15" s="197">
        <f t="shared" ref="B15:B17" si="0">+B14+1</f>
        <v>2009</v>
      </c>
      <c r="C15" s="198">
        <v>0.11931633131171449</v>
      </c>
      <c r="D15" s="198">
        <v>0.10562165206274243</v>
      </c>
      <c r="E15" s="198">
        <v>0.13327902617170428</v>
      </c>
      <c r="F15" s="198">
        <v>6.3553228625564007E-2</v>
      </c>
      <c r="G15" s="198">
        <v>8.9445318854562528E-2</v>
      </c>
      <c r="H15" s="198">
        <v>7.0324635510480071E-2</v>
      </c>
      <c r="I15" s="189"/>
      <c r="J15" s="189"/>
      <c r="K15" s="4"/>
      <c r="L15" s="4"/>
      <c r="M15" s="4"/>
      <c r="N15" s="4"/>
      <c r="O15" s="4"/>
    </row>
    <row r="16" spans="1:15">
      <c r="A16" s="191">
        <v>5</v>
      </c>
      <c r="B16" s="197">
        <f t="shared" si="0"/>
        <v>2010</v>
      </c>
      <c r="C16" s="198">
        <v>0.12976457690730281</v>
      </c>
      <c r="D16" s="198">
        <v>0.10812445872515819</v>
      </c>
      <c r="E16" s="198">
        <v>0.13256935458971308</v>
      </c>
      <c r="F16" s="198">
        <v>6.1963494739444069E-2</v>
      </c>
      <c r="G16" s="198">
        <v>9.6083600197757635E-2</v>
      </c>
      <c r="H16" s="198">
        <v>5.8224090432417386E-2</v>
      </c>
      <c r="I16" s="189"/>
      <c r="J16" s="189"/>
      <c r="K16" s="4"/>
      <c r="L16" s="4"/>
      <c r="M16" s="4"/>
      <c r="N16" s="4"/>
      <c r="O16" s="4"/>
    </row>
    <row r="17" spans="1:15">
      <c r="A17" s="191">
        <v>6</v>
      </c>
      <c r="B17" s="197">
        <f t="shared" si="0"/>
        <v>2011</v>
      </c>
      <c r="C17" s="198">
        <v>0.10992210565856086</v>
      </c>
      <c r="D17" s="198">
        <v>0.11247866354048264</v>
      </c>
      <c r="E17" s="198">
        <v>0.17453683731556002</v>
      </c>
      <c r="F17" s="198">
        <v>6.1966691388612327E-2</v>
      </c>
      <c r="G17" s="198">
        <v>7.4525026807788164E-2</v>
      </c>
      <c r="H17" s="198">
        <v>6.6358346067444174E-2</v>
      </c>
      <c r="I17" s="189"/>
      <c r="J17" s="189"/>
      <c r="K17" s="4"/>
      <c r="L17" s="4"/>
      <c r="M17" s="4"/>
      <c r="N17" s="4"/>
      <c r="O17" s="4"/>
    </row>
    <row r="18" spans="1:15">
      <c r="A18" s="191"/>
      <c r="B18" s="197"/>
      <c r="C18" s="198"/>
      <c r="D18" s="198"/>
      <c r="E18" s="198"/>
      <c r="F18" s="198"/>
      <c r="G18" s="198"/>
      <c r="H18" s="198"/>
      <c r="I18" s="189"/>
      <c r="J18" s="189"/>
      <c r="K18" s="4"/>
      <c r="L18" s="4"/>
      <c r="M18" s="4"/>
      <c r="N18" s="4"/>
      <c r="O18" s="4"/>
    </row>
    <row r="19" spans="1:15">
      <c r="A19" s="191">
        <v>7</v>
      </c>
      <c r="B19" s="189" t="s">
        <v>691</v>
      </c>
      <c r="C19" s="199">
        <f>AVERAGE(C12:C16)</f>
        <v>0.11535878567698976</v>
      </c>
      <c r="D19" s="199">
        <f t="shared" ref="D19:H20" si="1">AVERAGE(D12:D16)</f>
        <v>0.11162153720702364</v>
      </c>
      <c r="E19" s="199">
        <f t="shared" si="1"/>
        <v>0.15063474328895757</v>
      </c>
      <c r="F19" s="199">
        <f t="shared" si="1"/>
        <v>6.9516897104727263E-2</v>
      </c>
      <c r="G19" s="199">
        <f t="shared" si="1"/>
        <v>9.9541620377848486E-2</v>
      </c>
      <c r="H19" s="199">
        <f t="shared" si="1"/>
        <v>6.3019822093070582E-2</v>
      </c>
      <c r="I19" s="189"/>
      <c r="J19" s="189"/>
      <c r="K19" s="4"/>
      <c r="L19" s="4"/>
      <c r="M19" s="4"/>
      <c r="N19" s="4"/>
      <c r="O19" s="4"/>
    </row>
    <row r="20" spans="1:15">
      <c r="A20" s="191">
        <v>8</v>
      </c>
      <c r="B20" s="200" t="s">
        <v>692</v>
      </c>
      <c r="C20" s="199">
        <f>AVERAGE(C13:C17)</f>
        <v>0.11627561863120413</v>
      </c>
      <c r="D20" s="199">
        <f t="shared" si="1"/>
        <v>0.1114975749067629</v>
      </c>
      <c r="E20" s="199">
        <f t="shared" si="1"/>
        <v>0.15261438658075194</v>
      </c>
      <c r="F20" s="199">
        <f t="shared" si="1"/>
        <v>6.7523307786651013E-2</v>
      </c>
      <c r="G20" s="199">
        <f t="shared" si="1"/>
        <v>9.3650715073251775E-2</v>
      </c>
      <c r="H20" s="199">
        <f t="shared" si="1"/>
        <v>6.406412867501507E-2</v>
      </c>
      <c r="I20" s="189"/>
      <c r="J20" s="189"/>
      <c r="K20" s="4"/>
      <c r="L20" s="4"/>
      <c r="M20" s="4"/>
      <c r="N20" s="4"/>
      <c r="O20" s="4"/>
    </row>
    <row r="21" spans="1:15">
      <c r="A21" s="191"/>
      <c r="B21" s="200"/>
      <c r="C21" s="199"/>
      <c r="D21" s="199"/>
      <c r="E21" s="199"/>
      <c r="F21" s="199"/>
      <c r="G21" s="199"/>
      <c r="H21" s="199"/>
      <c r="I21" s="189"/>
      <c r="J21" s="189"/>
      <c r="K21" s="4"/>
      <c r="L21" s="4"/>
      <c r="M21" s="4"/>
      <c r="N21" s="4"/>
      <c r="O21" s="4"/>
    </row>
    <row r="22" spans="1:15">
      <c r="A22" s="191"/>
      <c r="B22" s="201" t="s">
        <v>693</v>
      </c>
      <c r="C22" s="189"/>
      <c r="D22" s="189"/>
      <c r="E22" s="189"/>
      <c r="F22" s="189"/>
      <c r="G22" s="189"/>
      <c r="H22" s="189"/>
      <c r="I22" s="189"/>
      <c r="J22" s="189"/>
      <c r="K22" s="4"/>
      <c r="L22" s="4"/>
      <c r="M22" s="4"/>
      <c r="N22" s="4"/>
      <c r="O22" s="4"/>
    </row>
    <row r="23" spans="1:15">
      <c r="A23" s="191">
        <v>9</v>
      </c>
      <c r="B23" s="200" t="s">
        <v>694</v>
      </c>
      <c r="C23" s="202">
        <v>12886920</v>
      </c>
      <c r="D23" s="202">
        <v>3971240</v>
      </c>
      <c r="E23" s="202">
        <v>812240</v>
      </c>
      <c r="F23" s="202">
        <v>23765390</v>
      </c>
      <c r="G23" s="202">
        <v>3410390</v>
      </c>
      <c r="H23" s="202">
        <v>9426860</v>
      </c>
      <c r="I23" s="202">
        <v>222962</v>
      </c>
      <c r="J23" s="202">
        <f>SUM(C23:I23)</f>
        <v>54496002</v>
      </c>
      <c r="K23" s="4"/>
      <c r="L23" s="4"/>
      <c r="M23" s="4"/>
      <c r="N23" s="4"/>
      <c r="O23" s="4"/>
    </row>
    <row r="24" spans="1:15">
      <c r="A24" s="191">
        <v>10</v>
      </c>
      <c r="B24" s="189" t="s">
        <v>695</v>
      </c>
      <c r="C24" s="199">
        <f>C20</f>
        <v>0.11627561863120413</v>
      </c>
      <c r="D24" s="199">
        <f t="shared" ref="D24:H24" si="2">D20</f>
        <v>0.1114975749067629</v>
      </c>
      <c r="E24" s="199">
        <f t="shared" si="2"/>
        <v>0.15261438658075194</v>
      </c>
      <c r="F24" s="199">
        <f t="shared" si="2"/>
        <v>6.7523307786651013E-2</v>
      </c>
      <c r="G24" s="199">
        <f t="shared" si="2"/>
        <v>9.3650715073251775E-2</v>
      </c>
      <c r="H24" s="199">
        <f t="shared" si="2"/>
        <v>6.406412867501507E-2</v>
      </c>
      <c r="I24" s="199"/>
      <c r="J24" s="189"/>
      <c r="K24" s="4"/>
      <c r="L24" s="4"/>
      <c r="M24" s="4"/>
      <c r="N24" s="4"/>
      <c r="O24" s="4"/>
    </row>
    <row r="25" spans="1:15">
      <c r="A25" s="191">
        <v>11</v>
      </c>
      <c r="B25" s="189" t="s">
        <v>696</v>
      </c>
      <c r="C25" s="202">
        <f>C23*(1+C24)</f>
        <v>14385354.595250838</v>
      </c>
      <c r="D25" s="202">
        <f t="shared" ref="D25:I25" si="3">D23*(1+D24)</f>
        <v>4414023.6293727327</v>
      </c>
      <c r="E25" s="202">
        <f t="shared" si="3"/>
        <v>936199.50935634994</v>
      </c>
      <c r="F25" s="202">
        <f t="shared" si="3"/>
        <v>25370107.743639801</v>
      </c>
      <c r="G25" s="202">
        <f t="shared" si="3"/>
        <v>3729775.4621786671</v>
      </c>
      <c r="H25" s="202">
        <f t="shared" si="3"/>
        <v>10030783.572041351</v>
      </c>
      <c r="I25" s="202">
        <f t="shared" si="3"/>
        <v>222962</v>
      </c>
      <c r="J25" s="203">
        <f>SUM(C25:I25)</f>
        <v>59089206.511839747</v>
      </c>
      <c r="K25" s="4"/>
      <c r="L25" s="4"/>
      <c r="M25" s="4"/>
      <c r="N25" s="4"/>
      <c r="O25" s="4"/>
    </row>
    <row r="26" spans="1:15">
      <c r="A26" s="191">
        <v>12</v>
      </c>
      <c r="B26" s="200" t="s">
        <v>697</v>
      </c>
      <c r="C26" s="202"/>
      <c r="D26" s="202"/>
      <c r="E26" s="202"/>
      <c r="F26" s="202">
        <v>4327</v>
      </c>
      <c r="G26" s="202">
        <v>18216</v>
      </c>
      <c r="H26" s="202"/>
      <c r="I26" s="202"/>
      <c r="J26" s="202">
        <f>SUM(C26:I26)</f>
        <v>22543</v>
      </c>
      <c r="K26" s="4"/>
      <c r="L26" s="4"/>
      <c r="M26" s="4"/>
      <c r="N26" s="4"/>
      <c r="O26" s="4"/>
    </row>
    <row r="27" spans="1:15">
      <c r="A27" s="191">
        <v>13</v>
      </c>
      <c r="B27" s="200" t="s">
        <v>698</v>
      </c>
      <c r="C27" s="202"/>
      <c r="D27" s="202"/>
      <c r="E27" s="202"/>
      <c r="F27" s="202">
        <v>32885</v>
      </c>
      <c r="G27" s="202"/>
      <c r="H27" s="202"/>
      <c r="I27" s="202"/>
      <c r="J27" s="202">
        <f>SUM(C27:I27)</f>
        <v>32885</v>
      </c>
      <c r="K27" s="4"/>
      <c r="L27" s="4"/>
      <c r="M27" s="4"/>
      <c r="N27" s="4"/>
      <c r="O27" s="4"/>
    </row>
    <row r="28" spans="1:15">
      <c r="A28" s="191">
        <v>14</v>
      </c>
      <c r="B28" s="204" t="s">
        <v>699</v>
      </c>
      <c r="C28" s="205">
        <f>C25+C26-C27</f>
        <v>14385354.595250838</v>
      </c>
      <c r="D28" s="205">
        <f t="shared" ref="D28:J28" si="4">D25+D26-D27</f>
        <v>4414023.6293727327</v>
      </c>
      <c r="E28" s="205">
        <f t="shared" si="4"/>
        <v>936199.50935634994</v>
      </c>
      <c r="F28" s="205">
        <f t="shared" si="4"/>
        <v>25341549.743639801</v>
      </c>
      <c r="G28" s="205">
        <f t="shared" si="4"/>
        <v>3747991.4621786671</v>
      </c>
      <c r="H28" s="205">
        <f t="shared" si="4"/>
        <v>10030783.572041351</v>
      </c>
      <c r="I28" s="205">
        <f t="shared" si="4"/>
        <v>222962</v>
      </c>
      <c r="J28" s="206">
        <f t="shared" si="4"/>
        <v>59078864.511839747</v>
      </c>
      <c r="K28" s="4"/>
      <c r="L28" s="4"/>
      <c r="M28" s="4"/>
      <c r="N28" s="4"/>
      <c r="O28" s="4"/>
    </row>
    <row r="29" spans="1:15">
      <c r="A29" s="191"/>
      <c r="B29" s="189"/>
      <c r="C29" s="189"/>
      <c r="D29" s="189"/>
      <c r="E29" s="189"/>
      <c r="F29" s="189"/>
      <c r="G29" s="189"/>
      <c r="H29" s="189"/>
      <c r="I29" s="189"/>
      <c r="J29" s="189"/>
      <c r="K29" s="4"/>
      <c r="L29" s="4"/>
      <c r="M29" s="4"/>
      <c r="N29" s="4"/>
      <c r="O29" s="4"/>
    </row>
    <row r="30" spans="1:15">
      <c r="A30" s="191">
        <v>15</v>
      </c>
      <c r="B30" s="200" t="s">
        <v>700</v>
      </c>
      <c r="C30" s="203">
        <v>14369130</v>
      </c>
      <c r="D30" s="203">
        <v>4414500</v>
      </c>
      <c r="E30" s="203">
        <v>934630</v>
      </c>
      <c r="F30" s="203">
        <v>25388962</v>
      </c>
      <c r="G30" s="203">
        <v>3768096</v>
      </c>
      <c r="H30" s="203">
        <v>10009920</v>
      </c>
      <c r="I30" s="203">
        <v>222962</v>
      </c>
      <c r="J30" s="203">
        <f>SUM(C30:I30)</f>
        <v>59108200</v>
      </c>
      <c r="K30" s="4"/>
      <c r="L30" s="4"/>
      <c r="M30" s="4"/>
      <c r="N30" s="4"/>
      <c r="O30" s="4"/>
    </row>
    <row r="31" spans="1:15">
      <c r="A31" s="191">
        <v>16</v>
      </c>
      <c r="B31" s="189" t="s">
        <v>701</v>
      </c>
      <c r="C31" s="203">
        <f>C28-C30</f>
        <v>16224.595250837505</v>
      </c>
      <c r="D31" s="203">
        <f t="shared" ref="D31:J31" si="5">D28-D30</f>
        <v>-476.37062726728618</v>
      </c>
      <c r="E31" s="203">
        <f t="shared" si="5"/>
        <v>1569.5093563499395</v>
      </c>
      <c r="F31" s="203">
        <f t="shared" si="5"/>
        <v>-47412.256360199302</v>
      </c>
      <c r="G31" s="203">
        <f t="shared" si="5"/>
        <v>-20104.537821332924</v>
      </c>
      <c r="H31" s="203">
        <f t="shared" si="5"/>
        <v>20863.572041351348</v>
      </c>
      <c r="I31" s="203"/>
      <c r="J31" s="203">
        <f t="shared" si="5"/>
        <v>-29335.488160252571</v>
      </c>
      <c r="K31" s="4"/>
      <c r="L31" s="4"/>
      <c r="M31" s="4"/>
      <c r="N31" s="4"/>
      <c r="O31" s="4"/>
    </row>
    <row r="32" spans="1:15">
      <c r="A32" s="191"/>
      <c r="B32" s="189"/>
      <c r="C32" s="189"/>
      <c r="D32" s="189"/>
      <c r="E32" s="189"/>
      <c r="F32" s="189"/>
      <c r="G32" s="189"/>
      <c r="H32" s="189"/>
      <c r="I32" s="189"/>
      <c r="J32" s="189"/>
    </row>
    <row r="33" spans="1:10">
      <c r="A33" s="191"/>
      <c r="B33" s="201" t="s">
        <v>16</v>
      </c>
      <c r="C33" s="189"/>
      <c r="D33" s="189"/>
      <c r="E33" s="189"/>
      <c r="F33" s="189"/>
      <c r="G33" s="189"/>
      <c r="H33" s="189"/>
      <c r="I33" s="189"/>
      <c r="J33" s="189"/>
    </row>
    <row r="34" spans="1:10">
      <c r="A34" s="189"/>
      <c r="B34" s="189" t="s">
        <v>702</v>
      </c>
      <c r="C34" s="189"/>
      <c r="D34" s="189"/>
      <c r="E34" s="189"/>
      <c r="F34" s="189"/>
      <c r="G34" s="189"/>
      <c r="H34" s="189"/>
      <c r="I34" s="189"/>
      <c r="J34" s="189"/>
    </row>
    <row r="35" spans="1:10">
      <c r="A35" s="189"/>
      <c r="B35" s="189" t="s">
        <v>703</v>
      </c>
      <c r="C35" s="189"/>
      <c r="D35" s="189"/>
      <c r="E35" s="189"/>
      <c r="F35" s="189"/>
      <c r="G35" s="189"/>
      <c r="H35" s="189"/>
      <c r="I35" s="189"/>
      <c r="J35" s="189"/>
    </row>
    <row r="36" spans="1:10">
      <c r="A36" s="189"/>
      <c r="B36" s="189" t="s">
        <v>704</v>
      </c>
      <c r="C36" s="189"/>
      <c r="D36" s="189"/>
      <c r="E36" s="189"/>
      <c r="F36" s="189"/>
      <c r="G36" s="189"/>
      <c r="H36" s="189"/>
      <c r="I36" s="189"/>
      <c r="J36" s="189"/>
    </row>
    <row r="37" spans="1:10">
      <c r="A37" s="4"/>
    </row>
    <row r="38" spans="1:10">
      <c r="A38" s="4"/>
    </row>
    <row r="39" spans="1:10">
      <c r="A39" s="4"/>
    </row>
    <row r="40" spans="1:10">
      <c r="A40" s="4"/>
    </row>
    <row r="41" spans="1:10">
      <c r="A41" s="4"/>
    </row>
    <row r="42" spans="1:10">
      <c r="A42" s="4"/>
    </row>
    <row r="43" spans="1:10">
      <c r="A43" s="4"/>
    </row>
    <row r="44" spans="1:10">
      <c r="A44" s="4"/>
    </row>
    <row r="45" spans="1:10">
      <c r="A45" s="4"/>
    </row>
    <row r="46" spans="1:10">
      <c r="A46" s="4"/>
    </row>
    <row r="47" spans="1:10">
      <c r="A47" s="4"/>
    </row>
    <row r="48" spans="1:10">
      <c r="A48" s="4"/>
    </row>
    <row r="49" spans="1:1">
      <c r="A49" s="4"/>
    </row>
    <row r="50" spans="1:1">
      <c r="A50" s="4"/>
    </row>
    <row r="51" spans="1:1">
      <c r="A51" s="4"/>
    </row>
    <row r="52" spans="1:1">
      <c r="A52" s="4"/>
    </row>
  </sheetData>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3.2</vt:lpstr>
      <vt:lpstr>3.3</vt:lpstr>
      <vt:lpstr>3.4</vt:lpstr>
      <vt:lpstr>3.5</vt:lpstr>
      <vt:lpstr>3.5.1</vt:lpstr>
      <vt:lpstr>3.5.2</vt:lpstr>
      <vt:lpstr>3.6</vt:lpstr>
      <vt:lpstr>3.6.1</vt:lpstr>
      <vt:lpstr>3.7</vt:lpstr>
      <vt:lpstr>3.8</vt:lpstr>
      <vt:lpstr>3.9</vt:lpstr>
      <vt:lpstr>3.9.1</vt:lpstr>
      <vt:lpstr>3.9.2</vt:lpstr>
      <vt:lpstr>3.10</vt:lpstr>
      <vt:lpstr>3.10.1</vt:lpstr>
      <vt:lpstr>3.11</vt:lpstr>
      <vt:lpstr>3.12</vt:lpstr>
      <vt:lpstr>3.13</vt:lpstr>
      <vt:lpstr>3.13.1</vt:lpstr>
      <vt:lpstr>3.14</vt:lpstr>
      <vt:lpstr>3.14.1</vt:lpstr>
      <vt:lpstr>3.15</vt:lpstr>
      <vt:lpstr>3.15.1</vt:lpstr>
      <vt:lpstr>3.16</vt:lpstr>
      <vt:lpstr>3.17</vt:lpstr>
      <vt:lpstr>3.17.1</vt:lpstr>
      <vt:lpstr>3.18</vt:lpstr>
      <vt:lpstr>3.18.1</vt:lpstr>
      <vt:lpstr>3.19</vt:lpstr>
      <vt:lpstr>'3.14.1'!Print_Titles</vt:lpstr>
      <vt:lpstr>'3.2'!Print_Titles</vt:lpstr>
    </vt:vector>
  </TitlesOfParts>
  <Company>la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Ramas</dc:creator>
  <cp:lastModifiedBy>Melissa Robyn Paschal</cp:lastModifiedBy>
  <cp:lastPrinted>2012-06-05T18:36:17Z</cp:lastPrinted>
  <dcterms:created xsi:type="dcterms:W3CDTF">1998-04-03T16:01:20Z</dcterms:created>
  <dcterms:modified xsi:type="dcterms:W3CDTF">2012-06-12T20:02:45Z</dcterms:modified>
</cp:coreProperties>
</file>