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4880" windowHeight="9285"/>
  </bookViews>
  <sheets>
    <sheet name="SJB-2" sheetId="3" r:id="rId1"/>
    <sheet name="Exhibit RMP(WRG-2)" sheetId="10" r:id="rId2"/>
    <sheet name="Exhibit RMP(WRG-3)" sheetId="2" r:id="rId3"/>
    <sheet name="Exhibit RMP(WRG-4) Sch1" sheetId="4" r:id="rId4"/>
    <sheet name="Exhibit RMP(WRG-4)Sch23" sheetId="5" r:id="rId5"/>
    <sheet name="Exhibit RMP(WRG-4)Sch6" sheetId="6" r:id="rId6"/>
    <sheet name="Exhibit RMP(WRG-4)Sch8" sheetId="7" r:id="rId7"/>
    <sheet name="Exhibit RMP(WRG-4)Sch9" sheetId="8" r:id="rId8"/>
    <sheet name="Exhibit RMP(WRG-4)Sch10" sheetId="9" r:id="rId9"/>
    <sheet name="Baron Rate Spread" sheetId="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E">#REF!</definedName>
    <definedName name="__123Graph_A" localSheetId="2" hidden="1">'Exhibit RMP(WRG-3)'!$C$64:$C$73</definedName>
    <definedName name="__123Graph_AGRAPH1" localSheetId="2" hidden="1">'Exhibit RMP(WRG-3)'!$C$673:$C$673</definedName>
    <definedName name="__123Graph_B" localSheetId="2" hidden="1">'Exhibit RMP(WRG-3)'!#REF!</definedName>
    <definedName name="__123Graph_C" localSheetId="2" hidden="1">'Exhibit RMP(WRG-3)'!#REF!</definedName>
    <definedName name="__123Graph_D" localSheetId="2" hidden="1">'Exhibit RMP(WRG-3)'!#REF!</definedName>
    <definedName name="__123Graph_E" localSheetId="2" hidden="1">'Exhibit RMP(WRG-3)'!#REF!</definedName>
    <definedName name="__123Graph_F" localSheetId="2" hidden="1">'Exhibit RMP(WRG-3)'!$G$64:$G$73</definedName>
    <definedName name="__MEN3">[1]Jan!#REF!</definedName>
    <definedName name="__TOP1">[1]Jan!#REF!</definedName>
    <definedName name="_BLOCK">#REF!</definedName>
    <definedName name="_BLOCKT">#REF!</definedName>
    <definedName name="_COMP">#REF!</definedName>
    <definedName name="_COMPR">#REF!</definedName>
    <definedName name="_COMPT">#REF!</definedName>
    <definedName name="_Dist_Values" localSheetId="2" hidden="1">'Exhibit RMP(WRG-3)'!#REF!</definedName>
    <definedName name="_Fill" localSheetId="2" hidden="1">'Exhibit RMP(WRG-3)'!#REF!</definedName>
    <definedName name="_Fill" hidden="1">#REF!</definedName>
    <definedName name="_xlnm._FilterDatabase" localSheetId="2" hidden="1">'Exhibit RMP(WRG-3)'!$K$1:$K$798</definedName>
    <definedName name="_Key1" localSheetId="9" hidden="1">#REF!</definedName>
    <definedName name="_Key1" localSheetId="2" hidden="1">#REF!</definedName>
    <definedName name="_Key1" localSheetId="0" hidden="1">#REF!</definedName>
    <definedName name="_Key1" hidden="1">#REF!</definedName>
    <definedName name="_Key2" localSheetId="9" hidden="1">#REF!</definedName>
    <definedName name="_Key2" localSheetId="2" hidden="1">#REF!</definedName>
    <definedName name="_Key2" localSheetId="0" hidden="1">#REF!</definedName>
    <definedName name="_Key2" hidden="1">#REF!</definedName>
    <definedName name="_Order1" localSheetId="9" hidden="1">255</definedName>
    <definedName name="_Order1" localSheetId="0" hidden="1">255</definedName>
    <definedName name="_Order1" hidden="1">255</definedName>
    <definedName name="_Order2" localSheetId="9" hidden="1">255</definedName>
    <definedName name="_Order2" localSheetId="0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ort" localSheetId="9" hidden="1">#REF!</definedName>
    <definedName name="_Sort" localSheetId="2" hidden="1">#REF!</definedName>
    <definedName name="_Sort" localSheetId="0" hidden="1">#REF!</definedName>
    <definedName name="_Sort" hidden="1">#REF!</definedName>
    <definedName name="_SPL">#REF!</definedName>
    <definedName name="a" hidden="1">#REF!</definedName>
    <definedName name="ABSTRACT">#REF!</definedName>
    <definedName name="Acct108D_S">'[2]Func Study'!$H$2448</definedName>
    <definedName name="Acct108D00S">'[2]Func Study'!$H$2440</definedName>
    <definedName name="Acct108DSS">'[2]Func Study'!$H$2444</definedName>
    <definedName name="Acct151SE">'[2]Func Study'!#REF!</definedName>
    <definedName name="Acct228.42TROJD">[3]FuncStudy!$F$1867</definedName>
    <definedName name="ACCT2281">'[2]Func Study'!$H$2216</definedName>
    <definedName name="Acct2282">'[2]Func Study'!$H$2220</definedName>
    <definedName name="Acct2283">'[2]Func Study'!$H$2224</definedName>
    <definedName name="Acct2283S">'[2]Func Study'!$H$2228</definedName>
    <definedName name="Acct22842">'[2]Func Study'!$H$2237</definedName>
    <definedName name="Acct228SO">'[2]Func Study'!$H$2219</definedName>
    <definedName name="ACCT25398">'[2]Func Study'!$H$2249</definedName>
    <definedName name="Acct25399">'[2]Func Study'!$H$2256</definedName>
    <definedName name="Acct254">'[2]Func Study'!$H$2233</definedName>
    <definedName name="Acct282DITBAL">[3]FuncStudy!$F$1912</definedName>
    <definedName name="Acct350">'[2]Func Study'!$H$1660</definedName>
    <definedName name="Acct352">'[2]Func Study'!$H$1667</definedName>
    <definedName name="Acct353">'[2]Func Study'!$H$1673</definedName>
    <definedName name="Acct354">'[2]Func Study'!$H$1679</definedName>
    <definedName name="Acct355">'[2]Func Study'!$H$1685</definedName>
    <definedName name="Acct356">'[2]Func Study'!$H$1691</definedName>
    <definedName name="Acct357">'[2]Func Study'!$H$1697</definedName>
    <definedName name="Acct358">'[2]Func Study'!$H$1703</definedName>
    <definedName name="Acct359">'[2]Func Study'!$H$1709</definedName>
    <definedName name="Acct360">'[2]Func Study'!$H$1729</definedName>
    <definedName name="Acct361">'[2]Func Study'!$H$1735</definedName>
    <definedName name="Acct362">'[2]Func Study'!$H$1741</definedName>
    <definedName name="Acct364">'[2]Func Study'!$H$1748</definedName>
    <definedName name="Acct365">'[2]Func Study'!$H$1755</definedName>
    <definedName name="Acct366">'[2]Func Study'!$H$1762</definedName>
    <definedName name="Acct367">'[2]Func Study'!$H$1769</definedName>
    <definedName name="Acct368">'[2]Func Study'!$H$1775</definedName>
    <definedName name="Acct369">'[2]Func Study'!$H$1782</definedName>
    <definedName name="Acct370">'[2]Func Study'!$H$1793</definedName>
    <definedName name="Acct371">'[2]Func Study'!$H$1800</definedName>
    <definedName name="Acct372">'[2]Func Study'!$H$1807</definedName>
    <definedName name="Acct372A">'[2]Func Study'!$H$1806</definedName>
    <definedName name="Acct372DP">'[2]Func Study'!$H$1804</definedName>
    <definedName name="Acct372DS">'[2]Func Study'!$H$1805</definedName>
    <definedName name="Acct373">'[2]Func Study'!$H$1813</definedName>
    <definedName name="Acct403HPSG">'[2]Func Study'!#REF!</definedName>
    <definedName name="Acct444S">'[2]Func Study'!$H$264</definedName>
    <definedName name="Acct448S">'[2]Func Study'!$H$273</definedName>
    <definedName name="Acct450S">'[2]Func Study'!$H$297</definedName>
    <definedName name="Acct451S">'[2]Func Study'!$H$302</definedName>
    <definedName name="Acct454S">'[2]Func Study'!$H$312</definedName>
    <definedName name="Acct456S">'[2]Func Study'!$H$318</definedName>
    <definedName name="Acct502DNPPSU">'[2]Func Study'!#REF!</definedName>
    <definedName name="Acct580">'[2]Func Study'!$H$748</definedName>
    <definedName name="Acct581">'[2]Func Study'!$H$753</definedName>
    <definedName name="Acct582">'[2]Func Study'!$H$758</definedName>
    <definedName name="Acct583">'[2]Func Study'!$H$763</definedName>
    <definedName name="Acct584">'[2]Func Study'!$H$768</definedName>
    <definedName name="Acct585">'[2]Func Study'!$H$773</definedName>
    <definedName name="Acct586">'[2]Func Study'!$H$778</definedName>
    <definedName name="Acct587">'[2]Func Study'!$H$783</definedName>
    <definedName name="Acct588">'[2]Func Study'!$H$788</definedName>
    <definedName name="Acct589">'[2]Func Study'!$H$793</definedName>
    <definedName name="Acct590">'[2]Func Study'!$H$798</definedName>
    <definedName name="Acct591">'[2]Func Study'!$H$803</definedName>
    <definedName name="Acct592">'[2]Func Study'!$H$808</definedName>
    <definedName name="Acct593">'[2]Func Study'!$H$813</definedName>
    <definedName name="Acct594">'[2]Func Study'!$H$818</definedName>
    <definedName name="Acct595">'[2]Func Study'!$H$823</definedName>
    <definedName name="Acct596">'[2]Func Study'!$H$833</definedName>
    <definedName name="Acct597">'[2]Func Study'!$H$838</definedName>
    <definedName name="Acct598">'[2]Func Study'!$H$843</definedName>
    <definedName name="Acct928RE">'[2]Func Study'!$H$983</definedName>
    <definedName name="AcctAGA">'[2]Func Study'!$H$291</definedName>
    <definedName name="AcctFIT">'[2]Func Study'!$H$1422</definedName>
    <definedName name="AcctTable">[4]Variables!$AK$42:$AK$396</definedName>
    <definedName name="AcctTS0">'[2]Func Study'!$H$1717</definedName>
    <definedName name="ActualROE">[3]FuncStudy!$E$61</definedName>
    <definedName name="ActualROR">'[5]G+T+D+R+M'!$H$61</definedName>
    <definedName name="ACYear">[6]Variables!$C$13</definedName>
    <definedName name="Adjs2avg" localSheetId="1">[7]Inputs!$L$255:'[7]Inputs'!$T$505</definedName>
    <definedName name="Adjs2avg">[8]Inputs!$L$255:'[8]Inputs'!$T$505</definedName>
    <definedName name="AvgFactors">[4]Factors!$B$3:$P$99</definedName>
    <definedName name="AVOIDED_COSTS">'[9]Avoided Costs'!$A$3:$G$38</definedName>
    <definedName name="AvoidedCosts">'[6]Avoided Costs'!$A$3:$G$35</definedName>
    <definedName name="Capacity">#REF!</definedName>
    <definedName name="Check">#REF!</definedName>
    <definedName name="Classification">'[2]Func Study'!$AB$251</definedName>
    <definedName name="Comn">[5]Inputs!$K$21</definedName>
    <definedName name="COSFacVal">[2]Inputs!$W$11</definedName>
    <definedName name="Cust_Exp_Acct_903">#REF!</definedName>
    <definedName name="_xlnm.Database" localSheetId="3">[10]Invoice!#REF!</definedName>
    <definedName name="_xlnm.Database">[10]Invoice!#REF!</definedName>
    <definedName name="Debt_">[5]Inputs!$K$19</definedName>
    <definedName name="Demand" localSheetId="1">[2]Inputs!$D$9</definedName>
    <definedName name="Demand">[11]Inputs!$D$8</definedName>
    <definedName name="Demand2">[2]Inputs!$D$10</definedName>
    <definedName name="Dis">'[2]Func Study'!$AB$250</definedName>
    <definedName name="DisFac">'[2]Func Dist Factor Table'!$A$11:$G$25</definedName>
    <definedName name="DistSub_Year1">[6]Variables!$C$23</definedName>
    <definedName name="DistSub_Year2">[6]Variables!$D$23</definedName>
    <definedName name="DISTSUB_YR1">[9]Variables!$C$23</definedName>
    <definedName name="DISTSUB_YR2">[9]Variables!$D$23</definedName>
    <definedName name="Engy">[11]Inputs!$D$9</definedName>
    <definedName name="EscalationRegion">[6]Variables!$C$12</definedName>
    <definedName name="f101top">#REF!</definedName>
    <definedName name="f104top">#REF!</definedName>
    <definedName name="f138top">#REF!</definedName>
    <definedName name="f140top">#REF!</definedName>
    <definedName name="Factorck">'[2]COS Factor Table'!$S$15:$S$145</definedName>
    <definedName name="Factors3">#REF!</definedName>
    <definedName name="FactorType">[4]Variables!$AK$2:$AL$12</definedName>
    <definedName name="FACTP">#REF!</definedName>
    <definedName name="FactSum">'[2]COS Factor Table'!$A$14:$S$146</definedName>
    <definedName name="FIX">#REF!</definedName>
    <definedName name="FranchiseTax" localSheetId="1">[12]Variables!$B$33</definedName>
    <definedName name="FranchiseTax">[8]Variables!$D$26</definedName>
    <definedName name="Func">'[2]Func Factor Table'!$A$10:$H$78</definedName>
    <definedName name="Function">'[2]Func Study'!$AB$250</definedName>
    <definedName name="IncomeTaxOptVal">[5]Inputs!$Y$11</definedName>
    <definedName name="Instructions">#REF!</definedName>
    <definedName name="IRRIGATION">#REF!</definedName>
    <definedName name="Jurisdiction">[4]Variables!$AK$15</definedName>
    <definedName name="JurisNumber">[4]Variables!$AL$15</definedName>
    <definedName name="LIGHT_YR1">[9]Variables!$C$24</definedName>
    <definedName name="LIGHT_YR2">[9]Variables!$D$24</definedName>
    <definedName name="limcount" hidden="1">1</definedName>
    <definedName name="LinkCos">'[2]JAM Download'!$I$4</definedName>
    <definedName name="MACTIT">#REF!</definedName>
    <definedName name="Menu_Begin">#REF!</definedName>
    <definedName name="Menu_Caption">#REF!</definedName>
    <definedName name="Menu_Large">#REF!</definedName>
    <definedName name="Menu_Name">#REF!</definedName>
    <definedName name="Menu_OnAction">#REF!</definedName>
    <definedName name="Menu_Parent">#REF!</definedName>
    <definedName name="Menu_Small">#REF!</definedName>
    <definedName name="Meter_Year1">[6]Variables!$C$19</definedName>
    <definedName name="Meter_Year2">[6]Variables!$D$19</definedName>
    <definedName name="Method">[11]Inputs!$C$6</definedName>
    <definedName name="MTR_YR1">[9]Variables!$C$19</definedName>
    <definedName name="MTR_YR2">[9]Variables!$D$19</definedName>
    <definedName name="MTR_YR3">[13]Variables!$E$14</definedName>
    <definedName name="NetToGross" localSheetId="1">[2]Inputs!$H$21</definedName>
    <definedName name="NetToGross">[8]Variables!$D$23</definedName>
    <definedName name="NUM">#REF!</definedName>
    <definedName name="OH">[2]Inputs!$D$24</definedName>
    <definedName name="OperatingIncome">#REF!</definedName>
    <definedName name="option">'[14]Dist Misc'!$F$120</definedName>
    <definedName name="P">#REF!</definedName>
    <definedName name="Page160">#REF!</definedName>
    <definedName name="Page161">#REF!</definedName>
    <definedName name="Page162">#REF!</definedName>
    <definedName name="Page163">#REF!</definedName>
    <definedName name="Page164">#REF!</definedName>
    <definedName name="Page165">#REF!</definedName>
    <definedName name="Page166">#REF!</definedName>
    <definedName name="Page167">#REF!</definedName>
    <definedName name="Page168">#REF!</definedName>
    <definedName name="Page169">#REF!</definedName>
    <definedName name="Page170">#REF!</definedName>
    <definedName name="Page171">#REF!</definedName>
    <definedName name="Page172">#REF!</definedName>
    <definedName name="Page173">#REF!</definedName>
    <definedName name="Page174">#REF!</definedName>
    <definedName name="Page175">#REF!</definedName>
    <definedName name="Page176">#REF!</definedName>
    <definedName name="Page177">#REF!</definedName>
    <definedName name="Page178">#REF!</definedName>
    <definedName name="page63">'[3]Energy Factor'!#REF!</definedName>
    <definedName name="page64">'[3]Energy Factor'!#REF!</definedName>
    <definedName name="Page7">#REF!</definedName>
    <definedName name="page8">#REF!</definedName>
    <definedName name="PC_Year1">[6]Variables!$C$21</definedName>
    <definedName name="PC_Year2">[6]Variables!$D$21</definedName>
    <definedName name="PC_YR1">[9]Variables!$C$21</definedName>
    <definedName name="PC_YR2">[9]Variables!$D$21</definedName>
    <definedName name="PeakMethod">[11]Inputs!$T$5</definedName>
    <definedName name="PLUG">#REF!</definedName>
    <definedName name="Pref_">[5]Inputs!$K$20</definedName>
    <definedName name="_xlnm.Print_Area" localSheetId="9">'Baron Rate Spread'!$A$1:$S$65</definedName>
    <definedName name="_xlnm.Print_Area" localSheetId="2">'Exhibit RMP(WRG-3)'!$A$1:$O$798</definedName>
    <definedName name="_xlnm.Print_Area" localSheetId="3">'Exhibit RMP(WRG-4) Sch1'!$A$1:$W$35</definedName>
    <definedName name="_xlnm.Print_Area" localSheetId="8">'Exhibit RMP(WRG-4)Sch10'!$A$1:$T$35</definedName>
    <definedName name="_xlnm.Print_Area" localSheetId="4">'Exhibit RMP(WRG-4)Sch23'!$A$1:$S$28</definedName>
    <definedName name="_xlnm.Print_Area" localSheetId="5">'Exhibit RMP(WRG-4)Sch6'!$A$1:$S$31</definedName>
    <definedName name="_xlnm.Print_Area" localSheetId="6">'Exhibit RMP(WRG-4)Sch8'!$A$1:$U$62</definedName>
    <definedName name="_xlnm.Print_Area" localSheetId="7">'Exhibit RMP(WRG-4)Sch9'!$A$1:$U$62</definedName>
    <definedName name="_xlnm.Print_Area" localSheetId="0">'SJB-2'!$A$1:$T$52</definedName>
    <definedName name="_xlnm.Print_Area">#REF!</definedName>
    <definedName name="_xlnm.Print_Titles" localSheetId="9">'Baron Rate Spread'!$A:$K,'Baron Rate Spread'!$9:$13</definedName>
    <definedName name="_xlnm.Print_Titles" localSheetId="2">'Exhibit RMP(WRG-3)'!$1:$9</definedName>
    <definedName name="_xlnm.Print_Titles" localSheetId="0">'SJB-2'!$A:$K,'SJB-2'!$8:$13</definedName>
    <definedName name="Print_Titles_MI" localSheetId="2">'Exhibit RMP(WRG-3)'!$1:$9</definedName>
    <definedName name="ResourceSupplier" localSheetId="1">[12]Variables!$B$35</definedName>
    <definedName name="ResourceSupplier">[8]Variables!$D$28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localSheetId="8" hidden="1">{#N/A,#N/A,FALSE,"Loans";#N/A,#N/A,FALSE,"Program Costs";#N/A,#N/A,FALSE,"Measures";#N/A,#N/A,FALSE,"Net Lost Rev";#N/A,#N/A,FALSE,"Incentive"}</definedName>
    <definedName name="retail_CC" localSheetId="4" hidden="1">{#N/A,#N/A,FALSE,"Loans";#N/A,#N/A,FALSE,"Program Costs";#N/A,#N/A,FALSE,"Measures";#N/A,#N/A,FALSE,"Net Lost Rev";#N/A,#N/A,FALSE,"Incentive"}</definedName>
    <definedName name="retail_CC" localSheetId="5" hidden="1">{#N/A,#N/A,FALSE,"Loans";#N/A,#N/A,FALSE,"Program Costs";#N/A,#N/A,FALSE,"Measures";#N/A,#N/A,FALSE,"Net Lost Rev";#N/A,#N/A,FALSE,"Incentive"}</definedName>
    <definedName name="retail_CC" localSheetId="6" hidden="1">{#N/A,#N/A,FALSE,"Loans";#N/A,#N/A,FALSE,"Program Costs";#N/A,#N/A,FALSE,"Measures";#N/A,#N/A,FALSE,"Net Lost Rev";#N/A,#N/A,FALSE,"Incentive"}</definedName>
    <definedName name="retail_CC" localSheetId="7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localSheetId="8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localSheetId="5" hidden="1">{#N/A,#N/A,FALSE,"Loans";#N/A,#N/A,FALSE,"Program Costs";#N/A,#N/A,FALSE,"Measures";#N/A,#N/A,FALSE,"Net Lost Rev";#N/A,#N/A,FALSE,"Incentive"}</definedName>
    <definedName name="retail_CC1" localSheetId="6" hidden="1">{#N/A,#N/A,FALSE,"Loans";#N/A,#N/A,FALSE,"Program Costs";#N/A,#N/A,FALSE,"Measures";#N/A,#N/A,FALSE,"Net Lost Rev";#N/A,#N/A,FALSE,"Incentive"}</definedName>
    <definedName name="retail_CC1" localSheetId="7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venue1">'[9]PPL_905_Pg1 (RR by Class)'!$C$37</definedName>
    <definedName name="Service_Year1">[6]Variables!$C$18</definedName>
    <definedName name="Service_Year2">[6]Variables!$D$18</definedName>
    <definedName name="solver_adj" localSheetId="2" hidden="1">'Exhibit RMP(WRG-3)'!#REF!</definedName>
    <definedName name="solver_adj" localSheetId="4" hidden="1">'Exhibit RMP(WRG-4)Sch23'!$C$24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lin" localSheetId="4" hidden="1">0</definedName>
    <definedName name="solver_neg" localSheetId="2" hidden="1">2</definedName>
    <definedName name="solver_num" localSheetId="2" hidden="1">0</definedName>
    <definedName name="solver_num" localSheetId="4" hidden="1">0</definedName>
    <definedName name="solver_nwt" localSheetId="2" hidden="1">1</definedName>
    <definedName name="solver_opt" localSheetId="2" hidden="1">'Exhibit RMP(WRG-3)'!#REF!</definedName>
    <definedName name="solver_opt" localSheetId="4" hidden="1">'Exhibit RMP(WRG-4)Sch23'!$S$24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typ" localSheetId="4" hidden="1">3</definedName>
    <definedName name="solver_val" localSheetId="2" hidden="1">0</definedName>
    <definedName name="solver_val" localSheetId="4" hidden="1">0</definedName>
    <definedName name="SRV_YR1">[9]Variables!$C$18</definedName>
    <definedName name="SRV_YR2">[9]Variables!$D$18</definedName>
    <definedName name="Start">'[6]Circuit Model Intro'!#REF!</definedName>
    <definedName name="State">[6]Variables!$C$10</definedName>
    <definedName name="Streetlight_Year1">[6]Variables!$C$24</definedName>
    <definedName name="Streetlight_Year2">[6]Variables!$D$24</definedName>
    <definedName name="TargetROR">[5]Inputs!$L$9</definedName>
    <definedName name="Test_COS">'[2]Hot Sheet'!$F$120</definedName>
    <definedName name="TestPeriod">[2]Inputs!$C$6</definedName>
    <definedName name="TESTYEAR">[9]Variables!$C$11</definedName>
    <definedName name="TotalRateBase">'[3]G+T+D+R+M'!$H$58</definedName>
    <definedName name="TotTaxRate">[3]Inputs!$H$17</definedName>
    <definedName name="Trans_Year1">[6]Variables!$C$22</definedName>
    <definedName name="Trans_Year2">[6]Variables!$D$22</definedName>
    <definedName name="TRANS_YR1">[9]Variables!$C$22</definedName>
    <definedName name="TRANS_YR2">[9]Variables!$D$22</definedName>
    <definedName name="UAACT550SGW">[3]FuncStudy!$Y$405</definedName>
    <definedName name="UAACT554SGW">[3]FuncStudy!$Y$427</definedName>
    <definedName name="UAcct103">'[2]Func Study'!$AB$1645</definedName>
    <definedName name="UAcct105S">'[2]Func Study'!$AB$2033</definedName>
    <definedName name="UAcct105SEU">'[2]Func Study'!$AB$2037</definedName>
    <definedName name="UAcct105SGG">'[2]Func Study'!$AB$2038</definedName>
    <definedName name="UAcct105SGP1">'[2]Func Study'!$AB$2034</definedName>
    <definedName name="UAcct105SGP2">'[2]Func Study'!$AB$2036</definedName>
    <definedName name="UAcct105SGT">'[2]Func Study'!$AB$2035</definedName>
    <definedName name="UAcct1081390">'[2]Func Study'!$AB$2487</definedName>
    <definedName name="UAcct1081390Rcl">'[2]Func Study'!$AB$2486</definedName>
    <definedName name="UAcct1081399">'[2]Func Study'!$AB$2495</definedName>
    <definedName name="UAcct1081399Rcl">'[2]Func Study'!$AB$2494</definedName>
    <definedName name="UAcct108360">'[2]Func Study'!$AB$2389</definedName>
    <definedName name="UAcct108361">'[2]Func Study'!$AB$2393</definedName>
    <definedName name="UAcct108362">'[2]Func Study'!$AB$2397</definedName>
    <definedName name="UAcct108364">'[2]Func Study'!$AB$2401</definedName>
    <definedName name="UAcct108365">'[2]Func Study'!$AB$2405</definedName>
    <definedName name="UAcct108366">'[2]Func Study'!$AB$2409</definedName>
    <definedName name="UAcct108367">'[2]Func Study'!$AB$2413</definedName>
    <definedName name="UAcct108368">'[2]Func Study'!$AB$2417</definedName>
    <definedName name="UAcct108369">'[2]Func Study'!$AB$2421</definedName>
    <definedName name="UAcct108370">'[2]Func Study'!$AB$2425</definedName>
    <definedName name="UAcct108371">'[2]Func Study'!$AB$2429</definedName>
    <definedName name="UAcct108372">'[2]Func Study'!$AB$2433</definedName>
    <definedName name="UAcct108373">'[2]Func Study'!$AB$2437</definedName>
    <definedName name="UAcct108D">'[2]Func Study'!$AB$2449</definedName>
    <definedName name="UAcct108D00">'[2]Func Study'!$AB$2441</definedName>
    <definedName name="UAcct108Ds">'[2]Func Study'!$AB$2445</definedName>
    <definedName name="UAcct108Ep">'[2]Func Study'!$AB$2362</definedName>
    <definedName name="UAcct108Gpcn">'[2]Func Study'!$AB$2463</definedName>
    <definedName name="uacct108gpdeu">'[2]Func Study'!$AB$2466</definedName>
    <definedName name="UAcct108Gps">'[2]Func Study'!$AB$2459</definedName>
    <definedName name="UAcct108Gpse">'[2]Func Study'!$AB$2465</definedName>
    <definedName name="UAcct108Gpsg">'[2]Func Study'!$AB$2462</definedName>
    <definedName name="UAcct108Gpsgp">'[2]Func Study'!$AB$2460</definedName>
    <definedName name="UAcct108Gpsgu">'[2]Func Study'!$AB$2461</definedName>
    <definedName name="UAcct108Gpso">'[2]Func Study'!$AB$2464</definedName>
    <definedName name="UACCT108GPSSGCH">'[2]Func Study'!$AB$2468</definedName>
    <definedName name="UACCT108GPSSGCT">'[2]Func Study'!$AB$2467</definedName>
    <definedName name="UAcct108Hp">'[2]Func Study'!$AB$2349</definedName>
    <definedName name="UAcct108Mp">'[2]Func Study'!$AB$2480</definedName>
    <definedName name="UAcct108Np">'[2]Func Study'!$AB$2342</definedName>
    <definedName name="UAcct108Op">'[2]Func Study'!$AB$2357</definedName>
    <definedName name="UAcct108Opsgw">[3]FuncStudy!$Y$1980</definedName>
    <definedName name="UAcct108OPSSGCT">'[2]Func Study'!$AB$2356</definedName>
    <definedName name="UAcct108Sp">'[2]Func Study'!$AB$2336</definedName>
    <definedName name="uacct108spssgch">'[2]Func Study'!$AB$2335</definedName>
    <definedName name="UAcct108Tp">'[2]Func Study'!$AB$2380</definedName>
    <definedName name="UAcct111390">'[2]Func Study'!$AB$2554</definedName>
    <definedName name="UAcct111Clg">'[2]Func Study'!$AB$2523</definedName>
    <definedName name="UAcct111Clgcn">'[2]Func Study'!$AB$2519</definedName>
    <definedName name="UAcct111Clgsop">'[2]Func Study'!$AB$2522</definedName>
    <definedName name="UAcct111Clgsou">'[2]Func Study'!$AB$2521</definedName>
    <definedName name="UAcct111Clh">'[2]Func Study'!$AB$2529</definedName>
    <definedName name="UAcct111Cls">'[2]Func Study'!$AB$2514</definedName>
    <definedName name="UAcct111Ipcn">'[2]Func Study'!$AB$2538</definedName>
    <definedName name="UAcct111Ips">'[2]Func Study'!$AB$2533</definedName>
    <definedName name="UAcct111Ipse">'[2]Func Study'!$AB$2536</definedName>
    <definedName name="UAcct111Ipsg">'[2]Func Study'!$AB$2537</definedName>
    <definedName name="UAcct111Ipsgp">'[2]Func Study'!$AB$2534</definedName>
    <definedName name="UAcct111Ipsgu">'[2]Func Study'!$AB$2535</definedName>
    <definedName name="uacct111ipso">'[2]Func Study'!$AB$2541</definedName>
    <definedName name="UACCT111IPSSGCH">'[2]Func Study'!$AB$2540</definedName>
    <definedName name="UACCT111IPSSGCT">'[2]Func Study'!$AB$2539</definedName>
    <definedName name="UAcct114">'[2]Func Study'!$AB$2045</definedName>
    <definedName name="UAcct120">'[2]Func Study'!$AB$2049</definedName>
    <definedName name="UAcct124">'[2]Func Study'!$AB$2054</definedName>
    <definedName name="UAcct141">'[2]Func Study'!$AB$2199</definedName>
    <definedName name="UAcct151">'[2]Func Study'!$AB$2076</definedName>
    <definedName name="UAcct151Se">'[2]Func Study'!#REF!</definedName>
    <definedName name="uacct151ssech">'[2]Func Study'!$AB$2075</definedName>
    <definedName name="UAcct154">'[2]Func Study'!$AB$2110</definedName>
    <definedName name="uacct154ssgch">'[2]Func Study'!$AB$2109</definedName>
    <definedName name="UAcct163">'[2]Func Study'!$AB$2120</definedName>
    <definedName name="UAcct165">'[2]Func Study'!$AB$2135</definedName>
    <definedName name="UAcct165Se">'[2]Func Study'!$AB$2133</definedName>
    <definedName name="UAcct182">'[2]Func Study'!$AB$2061</definedName>
    <definedName name="UAcct18222">'[2]Func Study'!$AB$2189</definedName>
    <definedName name="UAcct182M">'[2]Func Study'!$AB$2145</definedName>
    <definedName name="UAcct182MSSGCT">[3]FuncStudy!$Y$1778</definedName>
    <definedName name="uacct182ssgch">'[2]Func Study'!$AB$2142</definedName>
    <definedName name="UAcct186">'[2]Func Study'!$AB$2069</definedName>
    <definedName name="UAcct1869">'[2]Func Study'!$AB$2194</definedName>
    <definedName name="UAcct186M">'[2]Func Study'!$AB$2156</definedName>
    <definedName name="UAcct186Mse">'[2]Func Study'!$AB$2153</definedName>
    <definedName name="UAcct190">'[2]Func Study'!$AB$2271</definedName>
    <definedName name="UAcct190CN">'[2]Func Study'!$AB$2260</definedName>
    <definedName name="UAcct190Dop">'[2]Func Study'!$AB$2261</definedName>
    <definedName name="UACCT190IBT">'[2]Func Study'!$AB$2263</definedName>
    <definedName name="UACCT190SSGCT">'[2]Func Study'!$AB$2270</definedName>
    <definedName name="UACCT2281">'[2]Func Study'!$AB$2216</definedName>
    <definedName name="UAcct2282">'[2]Func Study'!$AB$2220</definedName>
    <definedName name="UAcct2283">'[2]Func Study'!$AB$2224</definedName>
    <definedName name="UAcct2283S">'[2]Func Study'!$AB$2228</definedName>
    <definedName name="UAcct22842">'[2]Func Study'!$AB$2237</definedName>
    <definedName name="UAcct235">'[2]Func Study'!$AB$2212</definedName>
    <definedName name="UAcct252">'[2]Func Study'!$AB$2245</definedName>
    <definedName name="UAcct25316">'[2]Func Study'!$AB$2084</definedName>
    <definedName name="UAcct25317">'[2]Func Study'!$AB$2088</definedName>
    <definedName name="UAcct25318">'[2]Func Study'!$AB$2125</definedName>
    <definedName name="UAcct25319">'[2]Func Study'!$AB$2092</definedName>
    <definedName name="UACCT25398">'[2]Func Study'!$AB$2249</definedName>
    <definedName name="UAcct25399">'[2]Func Study'!$AB$2256</definedName>
    <definedName name="UAcct254">'[2]Func Study'!$AB$2233</definedName>
    <definedName name="UACCT254SO">'[2]Func Study'!$AB$2232</definedName>
    <definedName name="UAcct255">'[2]Func Study'!$AB$2321</definedName>
    <definedName name="UAcct281">'[2]Func Study'!$AB$2277</definedName>
    <definedName name="UAcct282">'[2]Func Study'!$AB$2295</definedName>
    <definedName name="UAcct282So">'[2]Func Study'!$AB$2283</definedName>
    <definedName name="UAcct283">'[2]Func Study'!$AB$2308</definedName>
    <definedName name="UAcct283So">'[2]Func Study'!$AB$2301</definedName>
    <definedName name="UACCT283SSGCH">'[2]Func Study'!$AB$2307</definedName>
    <definedName name="UAcct301S">'[2]Func Study'!$AB$1993</definedName>
    <definedName name="UAcct301Sg">'[2]Func Study'!$AB$1995</definedName>
    <definedName name="UAcct301So">'[2]Func Study'!$AB$1994</definedName>
    <definedName name="UAcct302S">'[2]Func Study'!$AB$1998</definedName>
    <definedName name="UAcct302Sg">'[2]Func Study'!$AB$1999</definedName>
    <definedName name="UAcct302Sgp">'[2]Func Study'!$AB$2000</definedName>
    <definedName name="UAcct302Sgu">'[2]Func Study'!$AB$2001</definedName>
    <definedName name="UAcct303Cn">'[2]Func Study'!$AB$2009</definedName>
    <definedName name="UAcct303S">'[2]Func Study'!$AB$2005</definedName>
    <definedName name="UAcct303Se">'[2]Func Study'!$AB$2008</definedName>
    <definedName name="UAcct303Sg">'[2]Func Study'!$AB$2006</definedName>
    <definedName name="UAcct303So">'[2]Func Study'!$AB$2007</definedName>
    <definedName name="UACCT303SSGCT">'[2]Func Study'!$AB$2011</definedName>
    <definedName name="UAcct310">'[2]Func Study'!$AB$1441</definedName>
    <definedName name="uacct310ssgch">'[2]Func Study'!$AB$1440</definedName>
    <definedName name="UAcct311">'[2]Func Study'!$AB$1448</definedName>
    <definedName name="uacct311ssgch">'[2]Func Study'!$AB$1447</definedName>
    <definedName name="UAcct312">'[2]Func Study'!$AB$1455</definedName>
    <definedName name="uacct312ssgch">'[2]Func Study'!$AB$1454</definedName>
    <definedName name="UAcct314">'[2]Func Study'!$AB$1462</definedName>
    <definedName name="uacct314ssgch">'[2]Func Study'!$AB$1461</definedName>
    <definedName name="UAcct315">'[2]Func Study'!$AB$1469</definedName>
    <definedName name="uacct315ssgch">'[2]Func Study'!$AB$1468</definedName>
    <definedName name="UAcct316">'[2]Func Study'!$AB$1476</definedName>
    <definedName name="uacct316ssgch">'[2]Func Study'!$AB$1475</definedName>
    <definedName name="UAcct320">'[2]Func Study'!$AB$1492</definedName>
    <definedName name="UAcct321">'[2]Func Study'!$AB$1497</definedName>
    <definedName name="UAcct322">'[2]Func Study'!$AB$1502</definedName>
    <definedName name="UAcct323">'[2]Func Study'!$AB$1507</definedName>
    <definedName name="UAcct324">'[2]Func Study'!$AB$1512</definedName>
    <definedName name="UAcct325">'[2]Func Study'!$AB$1517</definedName>
    <definedName name="UAcct33">'[2]Func Study'!$AB$290</definedName>
    <definedName name="UAcct330">'[2]Func Study'!$AB$1535</definedName>
    <definedName name="UAcct331">'[2]Func Study'!$AB$1541</definedName>
    <definedName name="UAcct332">'[2]Func Study'!$AB$1547</definedName>
    <definedName name="UAcct333">'[2]Func Study'!$AB$1553</definedName>
    <definedName name="UAcct334">'[2]Func Study'!$AB$1559</definedName>
    <definedName name="UAcct335">'[2]Func Study'!$AB$1565</definedName>
    <definedName name="UAcct336">'[2]Func Study'!$AB$1571</definedName>
    <definedName name="UAcct340">'[2]Func Study'!$AB$1600</definedName>
    <definedName name="UAcct340Sgw">[3]FuncStudy!$Y$1264</definedName>
    <definedName name="UAcct341">'[2]Func Study'!$AB$1605</definedName>
    <definedName name="UACCT341SGW">[3]FuncStudy!$Y$1270</definedName>
    <definedName name="uacct341ssgct">'[2]Func Study'!$AB$1604</definedName>
    <definedName name="UAcct342">'[2]Func Study'!$AB$1610</definedName>
    <definedName name="uacct342ssgct">'[2]Func Study'!$AB$1609</definedName>
    <definedName name="UAcct343">'[2]Func Study'!$AB$1617</definedName>
    <definedName name="UAcct343Sgw">[3]FuncStudy!$Y$1282</definedName>
    <definedName name="uacct343sscct">'[2]Func Study'!$AB$1616</definedName>
    <definedName name="UAcct344">'[2]Func Study'!$AB$1623</definedName>
    <definedName name="UACCT344SGW">[3]FuncStudy!$Y$1289</definedName>
    <definedName name="uacct344ssgct">'[2]Func Study'!$AB$1622</definedName>
    <definedName name="UAcct345">'[2]Func Study'!$AB$1628</definedName>
    <definedName name="UACCT345SGW">[3]FuncStudy!$Y$1295</definedName>
    <definedName name="uacct345ssgct">'[2]Func Study'!$AB$1627</definedName>
    <definedName name="UAcct346">'[2]Func Study'!$AB$1633</definedName>
    <definedName name="UAcct346SGW">[3]FuncStudy!$Y$1301</definedName>
    <definedName name="UAcct350">'[2]Func Study'!$AB$1660</definedName>
    <definedName name="UAcct352">'[2]Func Study'!$AB$1667</definedName>
    <definedName name="UAcct353">'[2]Func Study'!$AB$1673</definedName>
    <definedName name="UAcct354">'[2]Func Study'!$AB$1679</definedName>
    <definedName name="UAcct355">'[2]Func Study'!$AB$1685</definedName>
    <definedName name="UAcct356">'[2]Func Study'!$AB$1691</definedName>
    <definedName name="UAcct357">'[2]Func Study'!$AB$1697</definedName>
    <definedName name="UAcct358">'[2]Func Study'!$AB$1703</definedName>
    <definedName name="UAcct359">'[2]Func Study'!$AB$1709</definedName>
    <definedName name="UAcct360">'[2]Func Study'!$AB$1729</definedName>
    <definedName name="UAcct361">'[2]Func Study'!$AB$1735</definedName>
    <definedName name="UAcct362">'[2]Func Study'!$AB$1741</definedName>
    <definedName name="UAcct368">'[2]Func Study'!$AB$1775</definedName>
    <definedName name="UAcct369">'[2]Func Study'!$AB$1782</definedName>
    <definedName name="UAcct370">'[2]Func Study'!$AB$1793</definedName>
    <definedName name="UAcct372A">'[2]Func Study'!$AB$1806</definedName>
    <definedName name="UAcct372Dp">'[2]Func Study'!$AB$1804</definedName>
    <definedName name="UAcct372Ds">'[2]Func Study'!$AB$1805</definedName>
    <definedName name="UAcct373">'[2]Func Study'!$AB$1813</definedName>
    <definedName name="UAcct389Cn">'[2]Func Study'!$AB$1831</definedName>
    <definedName name="UAcct389S">'[2]Func Study'!$AB$1830</definedName>
    <definedName name="UAcct389Sg">'[2]Func Study'!$AB$1833</definedName>
    <definedName name="UAcct389Sgu">'[2]Func Study'!$AB$1832</definedName>
    <definedName name="UAcct389So">'[2]Func Study'!$AB$1834</definedName>
    <definedName name="UAcct390Cn">'[2]Func Study'!$AB$1841</definedName>
    <definedName name="UACCT390LS">'[2]Func Study'!$AB$1954</definedName>
    <definedName name="UAcct390LSG">'[2]Func Study'!$AB$1955</definedName>
    <definedName name="UAcct390LSO">'[2]Func Study'!$AB$1956</definedName>
    <definedName name="UAcct390S">'[2]Func Study'!$AB$1838</definedName>
    <definedName name="UAcct390Sgp">'[2]Func Study'!$AB$1839</definedName>
    <definedName name="UAcct390Sgu">'[2]Func Study'!$AB$1840</definedName>
    <definedName name="UAcct390Sop">'[2]Func Study'!$AB$1842</definedName>
    <definedName name="UAcct390Sou">'[2]Func Study'!$AB$1843</definedName>
    <definedName name="UAcct391Cn">'[2]Func Study'!$AB$1851</definedName>
    <definedName name="UAcct391S">'[2]Func Study'!$AB$1848</definedName>
    <definedName name="UAcct391Se">'[2]Func Study'!$AB$1853</definedName>
    <definedName name="UAcct391Sg">'[2]Func Study'!$AB$1852</definedName>
    <definedName name="UAcct391Sgp">'[2]Func Study'!$AB$1849</definedName>
    <definedName name="UAcct391Sgu">'[2]Func Study'!$AB$1850</definedName>
    <definedName name="UAcct391So">'[2]Func Study'!$AB$1854</definedName>
    <definedName name="uacct391ssgch">'[2]Func Study'!$AB$1855</definedName>
    <definedName name="UACCT391SSGCT">'[2]Func Study'!$AB$1856</definedName>
    <definedName name="UAcct392Cn">'[2]Func Study'!$AB$1863</definedName>
    <definedName name="UAcct392L">'[2]Func Study'!$AB$1964</definedName>
    <definedName name="UACCT392LRCL">'[2]Func Study'!$H$1967</definedName>
    <definedName name="UAcct392S">'[2]Func Study'!$AB$1860</definedName>
    <definedName name="UAcct392Se">'[2]Func Study'!$AB$1865</definedName>
    <definedName name="UAcct392Sg">'[2]Func Study'!$AB$1862</definedName>
    <definedName name="UAcct392Sgp">'[2]Func Study'!$AB$1866</definedName>
    <definedName name="UAcct392Sgu">'[2]Func Study'!$AB$1864</definedName>
    <definedName name="UAcct392So">'[2]Func Study'!$AB$1861</definedName>
    <definedName name="uacct392ssgch">'[2]Func Study'!$AB$1867</definedName>
    <definedName name="uacct392ssgct">'[2]Func Study'!$AB$1868</definedName>
    <definedName name="UAcct393S">'[2]Func Study'!$AB$1872</definedName>
    <definedName name="UAcct393Sg">'[2]Func Study'!$AB$1876</definedName>
    <definedName name="UAcct393Sgp">'[2]Func Study'!$AB$1873</definedName>
    <definedName name="UAcct393Sgu">'[2]Func Study'!$AB$1874</definedName>
    <definedName name="UAcct393So">'[2]Func Study'!$AB$1875</definedName>
    <definedName name="uacct393ssgct">'[2]Func Study'!$AB$1877</definedName>
    <definedName name="UAcct394S">'[2]Func Study'!$AB$1881</definedName>
    <definedName name="UAcct394Se">'[2]Func Study'!$AB$1885</definedName>
    <definedName name="UAcct394Sg">'[2]Func Study'!$AB$1886</definedName>
    <definedName name="UAcct394Sgp">'[2]Func Study'!$AB$1882</definedName>
    <definedName name="UAcct394Sgu">'[2]Func Study'!$AB$1883</definedName>
    <definedName name="UAcct394So">'[2]Func Study'!$AB$1884</definedName>
    <definedName name="UACCT394SSGCH">'[2]Func Study'!$AB$1887</definedName>
    <definedName name="UACCT394SSGCT">'[2]Func Study'!$AB$1888</definedName>
    <definedName name="UAcct395S">'[2]Func Study'!$AB$1892</definedName>
    <definedName name="UAcct395Se">'[2]Func Study'!$AB$1896</definedName>
    <definedName name="UAcct395Sg">'[2]Func Study'!$AB$1897</definedName>
    <definedName name="UAcct395Sgp">'[2]Func Study'!$AB$1893</definedName>
    <definedName name="UAcct395Sgu">'[2]Func Study'!$AB$1894</definedName>
    <definedName name="UAcct395So">'[2]Func Study'!$AB$1895</definedName>
    <definedName name="UACCT395SSGCH">'[2]Func Study'!$AB$1898</definedName>
    <definedName name="UACCT395SSGCT">'[2]Func Study'!$AB$1899</definedName>
    <definedName name="UAcct396S">'[2]Func Study'!$AB$1903</definedName>
    <definedName name="UAcct396Se">'[2]Func Study'!$AB$1908</definedName>
    <definedName name="UAcct396Sg">'[2]Func Study'!$AB$1905</definedName>
    <definedName name="UAcct396Sgp">'[2]Func Study'!$AB$1904</definedName>
    <definedName name="UAcct396Sgu">'[2]Func Study'!$AB$1907</definedName>
    <definedName name="UAcct396So">'[2]Func Study'!$AB$1906</definedName>
    <definedName name="UACCT396SSGCH">'[2]Func Study'!$AB$1910</definedName>
    <definedName name="UACCT396SSGCT">'[2]Func Study'!$AB$1909</definedName>
    <definedName name="UAcct397Cn">'[2]Func Study'!$AB$1921</definedName>
    <definedName name="UAcct397S">'[2]Func Study'!$AB$1917</definedName>
    <definedName name="UAcct397Se">'[2]Func Study'!$AB$1923</definedName>
    <definedName name="UAcct397Sg">'[2]Func Study'!$AB$1922</definedName>
    <definedName name="UAcct397Sgp">'[2]Func Study'!$AB$1918</definedName>
    <definedName name="UAcct397Sgu">'[2]Func Study'!$AB$1919</definedName>
    <definedName name="UAcct397So">'[2]Func Study'!$AB$1920</definedName>
    <definedName name="UACCT397SSGCH">'[2]Func Study'!$AB$1924</definedName>
    <definedName name="UACCT397SSGCT">'[2]Func Study'!$AB$1925</definedName>
    <definedName name="UAcct398Cn">'[2]Func Study'!$AB$1932</definedName>
    <definedName name="UAcct398S">'[2]Func Study'!$AB$1929</definedName>
    <definedName name="UAcct398Se">'[2]Func Study'!$AB$1934</definedName>
    <definedName name="UAcct398Sg">'[2]Func Study'!$AB$1935</definedName>
    <definedName name="UAcct398Sgp">'[2]Func Study'!$AB$1930</definedName>
    <definedName name="UAcct398Sgu">'[2]Func Study'!$AB$1931</definedName>
    <definedName name="UAcct398So">'[2]Func Study'!$AB$1933</definedName>
    <definedName name="UACCT398SSGCT">'[2]Func Study'!$AB$1936</definedName>
    <definedName name="UAcct399">'[2]Func Study'!$AB$1943</definedName>
    <definedName name="UAcct399G">'[2]Func Study'!$AB$1984</definedName>
    <definedName name="UAcct399L">'[2]Func Study'!$AB$1947</definedName>
    <definedName name="UAcct399Lrcl">'[2]Func Study'!$AB$1949</definedName>
    <definedName name="UAcct403360">'[2]Func Study'!$AB$1045</definedName>
    <definedName name="UAcct403361">'[2]Func Study'!$AB$1046</definedName>
    <definedName name="UAcct403362">'[2]Func Study'!$AB$1047</definedName>
    <definedName name="UAcct403364">'[2]Func Study'!$AB$1048</definedName>
    <definedName name="UAcct403365">'[2]Func Study'!$AB$1049</definedName>
    <definedName name="UAcct403366">'[2]Func Study'!$AB$1050</definedName>
    <definedName name="UAcct403367">'[2]Func Study'!$AB$1051</definedName>
    <definedName name="UAcct403368">'[2]Func Study'!$AB$1052</definedName>
    <definedName name="UAcct403369">'[2]Func Study'!$AB$1053</definedName>
    <definedName name="UAcct403370">'[2]Func Study'!$AB$1054</definedName>
    <definedName name="UAcct403371">'[2]Func Study'!$AB$1055</definedName>
    <definedName name="UAcct403372">'[2]Func Study'!$AB$1056</definedName>
    <definedName name="UAcct403373">'[2]Func Study'!$AB$1057</definedName>
    <definedName name="uacct403dgu">'[2]Func Study'!$AB$1068</definedName>
    <definedName name="UAcct403Ep">'[2]Func Study'!$AB$1084</definedName>
    <definedName name="UAcct403Gpcn">'[2]Func Study'!$AB$1065</definedName>
    <definedName name="UAcct403Gps">'[2]Func Study'!$AB$1061</definedName>
    <definedName name="UAcct403Gpseu">'[2]Func Study'!$AB$1064</definedName>
    <definedName name="UAcct403Gpsg">'[2]Func Study'!$AB$1066</definedName>
    <definedName name="UAcct403Gpsgp">'[2]Func Study'!$AB$1062</definedName>
    <definedName name="UAcct403Gpsgu">'[2]Func Study'!$AB$1063</definedName>
    <definedName name="UAcct403Gpso">'[2]Func Study'!$AB$1067</definedName>
    <definedName name="uacct403gpssgch">'[2]Func Study'!$AB$1070</definedName>
    <definedName name="UACCT403GPSSGCT">'[2]Func Study'!$AB$1069</definedName>
    <definedName name="UAcct403Gv0">'[2]Func Study'!$AB$1075</definedName>
    <definedName name="UAcct403Hp">'[2]Func Study'!$AB$1029</definedName>
    <definedName name="UAcct403Mp">'[2]Func Study'!$AB$1079</definedName>
    <definedName name="UAcct403Np">'[2]Func Study'!$AB$1024</definedName>
    <definedName name="UAcct403Op">'[2]Func Study'!$AB$1036</definedName>
    <definedName name="UAcct403Opsgu">[3]FuncStudy!$Y$796</definedName>
    <definedName name="uacct403opssg">'[2]Func Study'!$AB$1035</definedName>
    <definedName name="uacct403opssgct">'[2]Func Study'!$AB$1034</definedName>
    <definedName name="uacct403sgw">[3]FuncStudy!$Y$798</definedName>
    <definedName name="uacct403spdgp">'[2]Func Study'!$AB$1016</definedName>
    <definedName name="uacct403spdgu">'[2]Func Study'!$AB$1017</definedName>
    <definedName name="uacct403spsg">'[2]Func Study'!$AB$1018</definedName>
    <definedName name="uacct403ssgch">'[2]Func Study'!$AB$1019</definedName>
    <definedName name="UAcct403Tp">'[2]Func Study'!$AB$1042</definedName>
    <definedName name="UAcct404330">'[2]Func Study'!$AB$1126</definedName>
    <definedName name="UAcct404Clg">'[2]Func Study'!$AB$1099</definedName>
    <definedName name="UAcct404Clgsop">'[2]Func Study'!$AB$1097</definedName>
    <definedName name="UAcct404Clgsou">'[2]Func Study'!$AB$1095</definedName>
    <definedName name="UAcct404Cls">'[2]Func Study'!$AB$1104</definedName>
    <definedName name="UAcct404Ipcn">'[2]Func Study'!$AB$1111</definedName>
    <definedName name="UACCT404IPDGU">'[2]Func Study'!$AB$1114</definedName>
    <definedName name="UAcct404Ips">'[2]Func Study'!$AB$1107</definedName>
    <definedName name="UAcct404Ipse">'[2]Func Study'!$AB$1108</definedName>
    <definedName name="UACCT404IPSG">'[2]Func Study'!$AB$1109</definedName>
    <definedName name="UACCT404IPSGCT">'[2]Func Study'!$AB$1113</definedName>
    <definedName name="UACCT404IPSGP">'[2]Func Study'!$AB$1112</definedName>
    <definedName name="UAcct404Ipso">'[2]Func Study'!$AB$1110</definedName>
    <definedName name="UACCT404IPSSGCH">'[2]Func Study'!$AB$1115</definedName>
    <definedName name="UAcct404O">'[2]Func Study'!$AB$1120</definedName>
    <definedName name="UAcct405">'[2]Func Study'!$AB$1134</definedName>
    <definedName name="UAcct406">'[2]Func Study'!$AB$1142</definedName>
    <definedName name="UAcct407">'[2]Func Study'!$AB$1151</definedName>
    <definedName name="UAcct408">'[2]Func Study'!$AB$1170</definedName>
    <definedName name="UAcct408S">'[2]Func Study'!$AB$1162</definedName>
    <definedName name="UAcct40910FITOther">[3]FuncStudy!$Y$1135</definedName>
    <definedName name="UAcct40910Fitpmi">'[2]Func Study'!$AB$1415</definedName>
    <definedName name="UAcct40910FITPTC">[3]FuncStudy!$Y$1134</definedName>
    <definedName name="UAcct40910FITSitus">[3]FuncStudy!$Y$1136</definedName>
    <definedName name="UAcct40911Dgu">'[2]Func Study'!$AB$1378</definedName>
    <definedName name="UAcct40911S">'[2]Func Study'!$AB$1376</definedName>
    <definedName name="UAcct41010">'[2]Func Study'!$AB$1248</definedName>
    <definedName name="UAcct41020">'[2]Func Study'!$AB$1263</definedName>
    <definedName name="UAcct41111">'[2]Func Study'!$AB$1297</definedName>
    <definedName name="UAcct41120">'[2]Func Study'!$AB$1282</definedName>
    <definedName name="UAcct41140">'[2]Func Study'!$AB$1181</definedName>
    <definedName name="UAcct41141">'[2]Func Study'!$AB$1186</definedName>
    <definedName name="UAcct41160">'[2]Func Study'!$AB$355</definedName>
    <definedName name="UAcct41170">'[2]Func Study'!$AB$360</definedName>
    <definedName name="UAcct4118">'[2]Func Study'!$AB$364</definedName>
    <definedName name="UAcct41181">'[2]Func Study'!$AB$367</definedName>
    <definedName name="UAcct4194">'[2]Func Study'!$AB$371</definedName>
    <definedName name="UAcct419Doth">'[2]Func Study'!$AB$1223</definedName>
    <definedName name="UAcct421">'[2]Func Study'!$AB$380</definedName>
    <definedName name="UAcct4311">'[2]Func Study'!$AB$387</definedName>
    <definedName name="UAcct442Se">'[2]Func Study'!$AB$259</definedName>
    <definedName name="UAcct442Sg">'[2]Func Study'!$AB$260</definedName>
    <definedName name="UAcct447">'[2]Func Study'!$AB$284</definedName>
    <definedName name="UAcct447S">'[2]Func Study'!$AB$280</definedName>
    <definedName name="UAcct447Se">'[2]Func Study'!$AB$283</definedName>
    <definedName name="UAcct448S">'[2]Func Study'!$AB$273</definedName>
    <definedName name="UAcct448So">'[2]Func Study'!$AB$274</definedName>
    <definedName name="UAcct449">'[2]Func Study'!$AB$289</definedName>
    <definedName name="UAcct450">'[2]Func Study'!$AB$299</definedName>
    <definedName name="UAcct450S">'[2]Func Study'!$AB$297</definedName>
    <definedName name="UAcct450So">'[2]Func Study'!$AB$298</definedName>
    <definedName name="UAcct451S">'[2]Func Study'!$AB$302</definedName>
    <definedName name="UAcct451Sg">'[2]Func Study'!$AB$303</definedName>
    <definedName name="UAcct451So">'[2]Func Study'!$AB$304</definedName>
    <definedName name="UAcct453">'[2]Func Study'!$AB$309</definedName>
    <definedName name="UAcct454">'[2]Func Study'!$AB$315</definedName>
    <definedName name="UAcct454S">'[2]Func Study'!$AB$312</definedName>
    <definedName name="UAcct454Sg">'[2]Func Study'!$AB$313</definedName>
    <definedName name="UAcct454So">'[2]Func Study'!$AB$314</definedName>
    <definedName name="UAcct456">'[2]Func Study'!$AB$323</definedName>
    <definedName name="UAcct456Cn">'[2]Func Study'!$AB$319</definedName>
    <definedName name="UAcct456S">'[2]Func Study'!$AB$318</definedName>
    <definedName name="UAcct456Se">'[2]Func Study'!$AB$320</definedName>
    <definedName name="UAcct500">'[2]Func Study'!$AB$406</definedName>
    <definedName name="UACCT500SSGCH">'[2]Func Study'!$AB$405</definedName>
    <definedName name="UAcct501">'[2]Func Study'!$AB$414</definedName>
    <definedName name="UAcct501Se">'[2]Func Study'!$AB$409</definedName>
    <definedName name="UACCT501SENNPC">'[2]Func Study'!$AB$410</definedName>
    <definedName name="uacct501ssech">'[2]Func Study'!$AB$413</definedName>
    <definedName name="UACCT501SSECHNNPC">'[2]Func Study'!$AB$412</definedName>
    <definedName name="uacct501ssect">'[2]Func Study'!$AB$411</definedName>
    <definedName name="UAcct502">'[2]Func Study'!$AB$419</definedName>
    <definedName name="UAcct502Dnppsu">'[2]Func Study'!#REF!</definedName>
    <definedName name="uacct502snpps">'[2]Func Study'!$AB$417</definedName>
    <definedName name="uacct502ssgch">'[2]Func Study'!$AB$418</definedName>
    <definedName name="UAcct503">'[2]Func Study'!$AB$424</definedName>
    <definedName name="UAcct503Se">'[2]Func Study'!$AB$422</definedName>
    <definedName name="UACCT503SENNPC">'[2]Func Study'!$AB$423</definedName>
    <definedName name="UAcct505">'[2]Func Study'!$AB$429</definedName>
    <definedName name="uacct505snpps">'[2]Func Study'!$AB$427</definedName>
    <definedName name="uacct505ssgch">'[2]Func Study'!$AB$428</definedName>
    <definedName name="UAcct506">'[2]Func Study'!$AB$435</definedName>
    <definedName name="UAcct506Se">'[2]Func Study'!$AB$433</definedName>
    <definedName name="uacct506snpps">'[2]Func Study'!$AB$432</definedName>
    <definedName name="uacct506ssgch">'[2]Func Study'!$AB$434</definedName>
    <definedName name="UAcct507">'[2]Func Study'!$AB$444</definedName>
    <definedName name="uacct507ssgch">'[2]Func Study'!$AB$443</definedName>
    <definedName name="UAcct510">'[2]Func Study'!$AB$449</definedName>
    <definedName name="uacct510ssgch">'[2]Func Study'!$AB$448</definedName>
    <definedName name="UAcct511">'[2]Func Study'!$AB$454</definedName>
    <definedName name="uacct511ssgch">'[2]Func Study'!$AB$453</definedName>
    <definedName name="UAcct512">'[2]Func Study'!$AB$459</definedName>
    <definedName name="uacct512ssgch">'[2]Func Study'!$AB$458</definedName>
    <definedName name="UAcct513">'[2]Func Study'!$AB$464</definedName>
    <definedName name="uacct513ssgch">'[2]Func Study'!$AB$463</definedName>
    <definedName name="UAcct514">'[2]Func Study'!$AB$469</definedName>
    <definedName name="uacct514ssgch">'[2]Func Study'!$AB$468</definedName>
    <definedName name="UAcct517">'[2]Func Study'!$AB$478</definedName>
    <definedName name="UAcct518">'[2]Func Study'!$AB$482</definedName>
    <definedName name="UAcct519">'[2]Func Study'!$AB$487</definedName>
    <definedName name="UAcct520">'[2]Func Study'!$AB$491</definedName>
    <definedName name="UAcct523">'[2]Func Study'!$AB$495</definedName>
    <definedName name="UAcct524">'[2]Func Study'!$AB$499</definedName>
    <definedName name="UAcct528">'[2]Func Study'!$AB$503</definedName>
    <definedName name="UAcct529">'[2]Func Study'!$AB$507</definedName>
    <definedName name="UAcct530">'[2]Func Study'!$AB$511</definedName>
    <definedName name="UAcct531">'[2]Func Study'!$AB$515</definedName>
    <definedName name="UAcct532">'[2]Func Study'!$AB$519</definedName>
    <definedName name="UAcct535">'[2]Func Study'!$AB$531</definedName>
    <definedName name="UAcct536">'[2]Func Study'!$AB$535</definedName>
    <definedName name="UAcct537">'[2]Func Study'!$AB$539</definedName>
    <definedName name="UAcct538">'[2]Func Study'!$AB$543</definedName>
    <definedName name="UAcct539">'[2]Func Study'!$AB$547</definedName>
    <definedName name="UAcct540">'[2]Func Study'!$AB$551</definedName>
    <definedName name="UAcct541">'[2]Func Study'!$AB$555</definedName>
    <definedName name="UAcct542">'[2]Func Study'!$AB$559</definedName>
    <definedName name="UAcct543">'[2]Func Study'!$AB$563</definedName>
    <definedName name="UAcct544">'[2]Func Study'!$AB$567</definedName>
    <definedName name="UAcct545">'[2]Func Study'!$AB$571</definedName>
    <definedName name="UAcct546">'[2]Func Study'!$AB$584</definedName>
    <definedName name="UAcct547Se">'[2]Func Study'!$AB$587</definedName>
    <definedName name="UACCT547SSECT">'[2]Func Study'!$AB$588</definedName>
    <definedName name="UAcct548">'[2]Func Study'!$AB$594</definedName>
    <definedName name="uacct548ssgct">'[2]Func Study'!$AB$593</definedName>
    <definedName name="UAcct549">'[2]Func Study'!$AB$599</definedName>
    <definedName name="UAcct549sg">[3]FuncStudy!$Y$398</definedName>
    <definedName name="uacct550">'[2]Func Study'!$AB$610</definedName>
    <definedName name="UACCT550sg">[3]FuncStudy!$Y$404</definedName>
    <definedName name="uacct550ssgct">'[2]Func Study'!$AB$609</definedName>
    <definedName name="UAcct551">'[2]Func Study'!$AB$614</definedName>
    <definedName name="UAcct552">'[2]Func Study'!$AB$619</definedName>
    <definedName name="UAcct553">'[2]Func Study'!$AB$625</definedName>
    <definedName name="UACCT553SSGCT">'[2]Func Study'!$AB$624</definedName>
    <definedName name="UAcct554">'[2]Func Study'!$AB$630</definedName>
    <definedName name="UAcct554SSCT">[3]FuncStudy!$Y$426</definedName>
    <definedName name="UACCT554SSGCT">'[2]Func Study'!$AB$629</definedName>
    <definedName name="uacct555dgp">'[2]Func Study'!$AB$645</definedName>
    <definedName name="UAcct555Dgu">'[2]Func Study'!$AB$642</definedName>
    <definedName name="UAcct555S">'[2]Func Study'!$AB$641</definedName>
    <definedName name="UAcct555Se">'[2]Func Study'!$AB$643</definedName>
    <definedName name="uacct555ssgp">'[2]Func Study'!$AB$644</definedName>
    <definedName name="UAcct556">'[2]Func Study'!$AB$650</definedName>
    <definedName name="UAcct557">'[2]Func Study'!$AB$659</definedName>
    <definedName name="UACCT557SSGCT">'[2]Func Study'!$AB$657</definedName>
    <definedName name="UAcct560">'[2]Func Study'!$AB$682</definedName>
    <definedName name="UAcct561">'[2]Func Study'!$AB$686</definedName>
    <definedName name="UAcct562">'[2]Func Study'!$AB$690</definedName>
    <definedName name="UAcct563">'[2]Func Study'!$AB$694</definedName>
    <definedName name="UAcct564">'[2]Func Study'!$AB$698</definedName>
    <definedName name="UAcct565">'[2]Func Study'!$AB$703</definedName>
    <definedName name="UAcct565Se">'[2]Func Study'!$AB$702</definedName>
    <definedName name="UAcct566">'[2]Func Study'!$AB$707</definedName>
    <definedName name="UAcct567">'[2]Func Study'!$AB$711</definedName>
    <definedName name="UAcct568">'[2]Func Study'!$AB$715</definedName>
    <definedName name="UAcct569">'[2]Func Study'!$AB$719</definedName>
    <definedName name="UAcct570">'[2]Func Study'!$AB$723</definedName>
    <definedName name="UAcct571">'[2]Func Study'!$AB$727</definedName>
    <definedName name="UAcct572">'[2]Func Study'!$AB$731</definedName>
    <definedName name="UAcct573">'[2]Func Study'!$AB$735</definedName>
    <definedName name="UAcct580">'[2]Func Study'!$AB$748</definedName>
    <definedName name="UAcct581">'[2]Func Study'!$AB$753</definedName>
    <definedName name="UAcct582">'[2]Func Study'!$AB$758</definedName>
    <definedName name="UAcct583">'[2]Func Study'!$AB$763</definedName>
    <definedName name="UAcct584">'[2]Func Study'!$AB$768</definedName>
    <definedName name="UAcct585">'[2]Func Study'!$AB$773</definedName>
    <definedName name="UAcct586">'[2]Func Study'!$AB$778</definedName>
    <definedName name="UAcct587">'[2]Func Study'!$AB$783</definedName>
    <definedName name="UAcct588">'[2]Func Study'!$AB$788</definedName>
    <definedName name="UAcct589">'[2]Func Study'!$AB$793</definedName>
    <definedName name="UAcct590">'[2]Func Study'!$AB$798</definedName>
    <definedName name="UAcct591">'[2]Func Study'!$AB$803</definedName>
    <definedName name="UAcct592">'[2]Func Study'!$AB$808</definedName>
    <definedName name="UAcct593">'[2]Func Study'!$AB$813</definedName>
    <definedName name="UAcct594">'[2]Func Study'!$AB$818</definedName>
    <definedName name="UAcct595">'[2]Func Study'!$AB$823</definedName>
    <definedName name="UAcct596">'[2]Func Study'!$AB$833</definedName>
    <definedName name="UAcct597">'[2]Func Study'!$AB$838</definedName>
    <definedName name="UAcct598">'[2]Func Study'!$AB$843</definedName>
    <definedName name="UAcct901">'[2]Func Study'!$AB$855</definedName>
    <definedName name="UAcct902">'[2]Func Study'!$AB$860</definedName>
    <definedName name="UAcct903">'[2]Func Study'!$AB$865</definedName>
    <definedName name="UAcct904">'[2]Func Study'!$AB$871</definedName>
    <definedName name="UAcct905">'[2]Func Study'!$AB$876</definedName>
    <definedName name="UAcct907">'[2]Func Study'!$AB$890</definedName>
    <definedName name="UAcct908">'[2]Func Study'!$AB$895</definedName>
    <definedName name="UAcct909">'[2]Func Study'!$AB$900</definedName>
    <definedName name="UAcct910">'[2]Func Study'!$AB$905</definedName>
    <definedName name="UAcct911">'[2]Func Study'!$AB$916</definedName>
    <definedName name="UAcct912">'[2]Func Study'!$AB$921</definedName>
    <definedName name="UAcct913">'[2]Func Study'!$AB$926</definedName>
    <definedName name="UAcct916">'[2]Func Study'!$AB$931</definedName>
    <definedName name="UAcct920">'[2]Func Study'!$AB$942</definedName>
    <definedName name="UAcct920Cn">'[2]Func Study'!$AB$940</definedName>
    <definedName name="UAcct921">'[2]Func Study'!$AB$948</definedName>
    <definedName name="UAcct921Cn">'[2]Func Study'!$AB$946</definedName>
    <definedName name="UAcct923">'[2]Func Study'!$AB$954</definedName>
    <definedName name="UAcct923Cn">'[2]Func Study'!$AB$952</definedName>
    <definedName name="UAcct924">'[2]Func Study'!$AB$959</definedName>
    <definedName name="UAcct924S">[3]FuncStudy!$Y$722</definedName>
    <definedName name="UACCT924SG">'[2]Func Study'!$AB$958</definedName>
    <definedName name="UAcct924SO">[3]FuncStudy!$Y$724</definedName>
    <definedName name="UAcct925">'[2]Func Study'!$AB$963</definedName>
    <definedName name="UAcct926">'[2]Func Study'!$AB$969</definedName>
    <definedName name="UAcct927">'[2]Func Study'!$AB$974</definedName>
    <definedName name="UAcct928">'[2]Func Study'!$AB$981</definedName>
    <definedName name="UAcct928RE">'[2]Func Study'!$AB$983</definedName>
    <definedName name="UAcct929">'[2]Func Study'!$AB$988</definedName>
    <definedName name="UACCT930cn">'[2]Func Study'!$AB$992</definedName>
    <definedName name="UAcct930S">'[2]Func Study'!$AB$991</definedName>
    <definedName name="UAcct930So">'[2]Func Study'!$AB$993</definedName>
    <definedName name="UAcct931">'[2]Func Study'!$AB$999</definedName>
    <definedName name="UAcct935">'[2]Func Study'!$AB$1005</definedName>
    <definedName name="UAcctAGA">'[2]Func Study'!$AB$291</definedName>
    <definedName name="UAcctcwc">'[2]Func Study'!$AB$2163</definedName>
    <definedName name="UAcctd00">'[2]Func Study'!$AB$1817</definedName>
    <definedName name="UAcctdfad">'[2]Func Study'!$AB$392</definedName>
    <definedName name="UAcctdfap">'[2]Func Study'!$AB$390</definedName>
    <definedName name="UAcctdfat">'[2]Func Study'!$AB$391</definedName>
    <definedName name="UAcctds0">'[2]Func Study'!$AB$1821</definedName>
    <definedName name="uacctecdcoh">'[2]Func Study'!$AB$663</definedName>
    <definedName name="uacctecddgp">'[2]Func Study'!$AB$662</definedName>
    <definedName name="uacctecdmc">'[2]Func Study'!$AB$664</definedName>
    <definedName name="uacctecdqfsg">'[2]Func Study'!$AB$667</definedName>
    <definedName name="uacctecds">'[2]Func Study'!$AB$666</definedName>
    <definedName name="uacctecdsg">'[2]Func Study'!$AB$665</definedName>
    <definedName name="UAcctfit">'[2]Func Study'!$AB$1422</definedName>
    <definedName name="UAcctg00">'[2]Func Study'!$AB$1976</definedName>
    <definedName name="UAccth00">'[2]Func Study'!$AB$1578</definedName>
    <definedName name="UAccti00">'[2]Func Study'!$AB$2021</definedName>
    <definedName name="UAcctn00">'[2]Func Study'!$AB$1522</definedName>
    <definedName name="UAccto00">'[2]Func Study'!$AB$1638</definedName>
    <definedName name="UAcctowc">'[2]Func Study'!$AB$2175</definedName>
    <definedName name="uacctowcssech">'[2]Func Study'!$AB$2174</definedName>
    <definedName name="UAccts00">'[2]Func Study'!$AB$1481</definedName>
    <definedName name="UAcctSchM">'[2]Func Study'!$AB$1401</definedName>
    <definedName name="UAcctsttax">'[2]Func Study'!$AB$1405</definedName>
    <definedName name="UAcctt00">'[2]Func Study'!$AB$1713</definedName>
    <definedName name="UACT553SGW">[3]FuncStudy!$Y$421</definedName>
    <definedName name="UncollectibleAccounts" localSheetId="1">[12]Variables!$B$32</definedName>
    <definedName name="UncollectibleAccounts">[8]Variables!$D$25</definedName>
    <definedName name="USCHMAFS">'[2]Func Study'!$AB$1302</definedName>
    <definedName name="USCHMAFSE">'[2]Func Study'!$AB$1305</definedName>
    <definedName name="USCHMAFSG">'[2]Func Study'!$AB$1307</definedName>
    <definedName name="USCHMAFSNP">'[2]Func Study'!$AB$1303</definedName>
    <definedName name="USCHMAFSO">'[2]Func Study'!$AB$1304</definedName>
    <definedName name="USCHMAFTROJP">'[2]Func Study'!$AB$1306</definedName>
    <definedName name="USCHMAPBADDEBT">'[2]Func Study'!$AB$1316</definedName>
    <definedName name="USCHMAPS">'[2]Func Study'!$AB$1311</definedName>
    <definedName name="USCHMAPSE">'[2]Func Study'!$AB$1312</definedName>
    <definedName name="USCHMAPSG">'[2]Func Study'!$AB$1315</definedName>
    <definedName name="USCHMAPSNP">'[2]Func Study'!$AB$1313</definedName>
    <definedName name="USCHMAPSO">'[2]Func Study'!$AB$1314</definedName>
    <definedName name="USCHMATBADDEBT">'[2]Func Study'!$AB$1331</definedName>
    <definedName name="USCHMATCIAC">'[2]Func Study'!$AB$1322</definedName>
    <definedName name="USCHMATGPS">'[2]Func Study'!$AB$1328</definedName>
    <definedName name="USCHMATS">'[2]Func Study'!$AB$1320</definedName>
    <definedName name="USCHMATSCHMDEXP">'[2]Func Study'!$AB$1333</definedName>
    <definedName name="USCHMATSE">'[2]Func Study'!$AB$1326</definedName>
    <definedName name="USCHMATSG">'[2]Func Study'!$AB$1325</definedName>
    <definedName name="USCHMATSG2">'[2]Func Study'!$AB$1327</definedName>
    <definedName name="USCHMATSGCT">'[2]Func Study'!$AB$1321</definedName>
    <definedName name="USCHMATSNP">'[2]Func Study'!$AB$1323</definedName>
    <definedName name="USCHMATSNPD">'[2]Func Study'!$AB$1330</definedName>
    <definedName name="USCHMATSO">'[2]Func Study'!$AB$1329</definedName>
    <definedName name="USCHMATTAXDEPR">'[2]Func Study'!$AB$1332</definedName>
    <definedName name="USCHMATTROJD">'[2]Func Study'!$AB$1324</definedName>
    <definedName name="USCHMDFDGP">'[2]Func Study'!$AB$1340</definedName>
    <definedName name="USCHMDFDGU">'[2]Func Study'!$AB$1341</definedName>
    <definedName name="USCHMDFS">'[2]Func Study'!$AB$1339</definedName>
    <definedName name="USCHMDPIBT">'[2]Func Study'!$AB$1347</definedName>
    <definedName name="USCHMDPS">'[2]Func Study'!$AB$1344</definedName>
    <definedName name="USCHMDPSE">'[2]Func Study'!$AB$1345</definedName>
    <definedName name="USCHMDPSG">'[2]Func Study'!$AB$1348</definedName>
    <definedName name="USCHMDPSNP">'[2]Func Study'!$AB$1346</definedName>
    <definedName name="USCHMDPSO">'[2]Func Study'!$AB$1349</definedName>
    <definedName name="USCHMDTBADDEBT">'[2]Func Study'!$AB$1354</definedName>
    <definedName name="USCHMDTCN">'[2]Func Study'!$AB$1356</definedName>
    <definedName name="USCHMDTDGP">'[2]Func Study'!$AB$1358</definedName>
    <definedName name="USCHMDTGPS">'[2]Func Study'!$AB$1361</definedName>
    <definedName name="USCHMDTS">'[2]Func Study'!$AB$1353</definedName>
    <definedName name="USCHMDTSE">'[2]Func Study'!$AB$1359</definedName>
    <definedName name="USCHMDTSG">'[2]Func Study'!$AB$1360</definedName>
    <definedName name="USCHMDTSNP">'[2]Func Study'!$AB$1355</definedName>
    <definedName name="USCHMDTSNPD">'[2]Func Study'!$AB$1364</definedName>
    <definedName name="USCHMDTSO">'[2]Func Study'!$AB$1362</definedName>
    <definedName name="USCHMDTTAXDEPR">'[2]Func Study'!$AB$1363</definedName>
    <definedName name="USCHMDTTROJD">'[2]Func Study'!$AB$1357</definedName>
    <definedName name="UtGrossReceipts" localSheetId="1">[12]Variables!$B$36</definedName>
    <definedName name="UtGrossReceipts">[8]Variables!$D$29</definedName>
    <definedName name="ValidAccount">[4]Variables!$AK$43:$AK$369</definedName>
    <definedName name="WaRevenueTax" localSheetId="1">[12]Variables!$B$34</definedName>
    <definedName name="WaRevenueTax">[8]Variables!$D$27</definedName>
    <definedName name="WinterPeak">'[15]Load Data'!$D$9:$H$12,'[15]Load Data'!$D$20:$H$22</definedName>
    <definedName name="WN">#REF!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8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4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5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6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7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localSheetId="8" hidden="1">{#N/A,#N/A,FALSE,"Loans";#N/A,#N/A,FALSE,"Program Costs";#N/A,#N/A,FALSE,"Measures";#N/A,#N/A,FALSE,"Net Lost Rev";#N/A,#N/A,FALSE,"Incentive"}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localSheetId="5" hidden="1">{#N/A,#N/A,FALSE,"Loans";#N/A,#N/A,FALSE,"Program Costs";#N/A,#N/A,FALSE,"Measures";#N/A,#N/A,FALSE,"Net Lost Rev";#N/A,#N/A,FALSE,"Incentive"}</definedName>
    <definedName name="wrn.OR._.Carrying._.Charge._.JV." localSheetId="6" hidden="1">{#N/A,#N/A,FALSE,"Loans";#N/A,#N/A,FALSE,"Program Costs";#N/A,#N/A,FALSE,"Measures";#N/A,#N/A,FALSE,"Net Lost Rev";#N/A,#N/A,FALSE,"Incentive"}</definedName>
    <definedName name="wrn.OR._.Carrying._.Charge._.JV." localSheetId="7" hidden="1">{#N/A,#N/A,FALSE,"Loans";#N/A,#N/A,FALSE,"Program Costs";#N/A,#N/A,FALSE,"Measures";#N/A,#N/A,FALSE,"Net Lost Rev";#N/A,#N/A,FALSE,"Incentive"}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localSheetId="8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localSheetId="5" hidden="1">{#N/A,#N/A,FALSE,"Loans";#N/A,#N/A,FALSE,"Program Costs";#N/A,#N/A,FALSE,"Measures";#N/A,#N/A,FALSE,"Net Lost Rev";#N/A,#N/A,FALSE,"Incentive"}</definedName>
    <definedName name="wrn.OR._.Carrying._.Charge._.JV.1" localSheetId="6" hidden="1">{#N/A,#N/A,FALSE,"Loans";#N/A,#N/A,FALSE,"Program Costs";#N/A,#N/A,FALSE,"Measures";#N/A,#N/A,FALSE,"Net Lost Rev";#N/A,#N/A,FALSE,"Incentive"}</definedName>
    <definedName name="wrn.OR._.Carrying._.Charge._.JV.1" localSheetId="7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8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4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5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6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7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Xfmr_Year1">[6]Variables!$C$20</definedName>
    <definedName name="Xfmr_Year2">[6]Variables!$D$20</definedName>
    <definedName name="XFMR_YR1">[9]Variables!$C$20</definedName>
    <definedName name="XFMR_YR2">[9]Variables!$D$20</definedName>
    <definedName name="YEFactors">[4]Factors!$S$3:$AG$99</definedName>
  </definedNames>
  <calcPr calcId="125725" calcOnSave="0"/>
</workbook>
</file>

<file path=xl/calcChain.xml><?xml version="1.0" encoding="utf-8"?>
<calcChain xmlns="http://schemas.openxmlformats.org/spreadsheetml/2006/main">
  <c r="E28" i="10"/>
  <c r="D28"/>
  <c r="C28"/>
  <c r="A33" i="9"/>
  <c r="D33" s="1"/>
  <c r="A32"/>
  <c r="D32" s="1"/>
  <c r="D31"/>
  <c r="W30"/>
  <c r="R30"/>
  <c r="T30" s="1"/>
  <c r="X29"/>
  <c r="X30" s="1"/>
  <c r="D29"/>
  <c r="A29"/>
  <c r="D28"/>
  <c r="A28"/>
  <c r="D27"/>
  <c r="R26"/>
  <c r="T26" s="1"/>
  <c r="A25"/>
  <c r="D25" s="1"/>
  <c r="W24"/>
  <c r="D24"/>
  <c r="A24"/>
  <c r="W23"/>
  <c r="D23"/>
  <c r="R22"/>
  <c r="T22" s="1"/>
  <c r="W21"/>
  <c r="W22" s="1"/>
  <c r="A21"/>
  <c r="D21" s="1"/>
  <c r="A20"/>
  <c r="D20" s="1"/>
  <c r="D19"/>
  <c r="R18"/>
  <c r="T18" s="1"/>
  <c r="A17"/>
  <c r="D17" s="1"/>
  <c r="X16"/>
  <c r="X24" s="1"/>
  <c r="A16"/>
  <c r="D16" s="1"/>
  <c r="X15"/>
  <c r="X23" s="1"/>
  <c r="D15"/>
  <c r="W14"/>
  <c r="R14"/>
  <c r="T14" s="1"/>
  <c r="W13"/>
  <c r="A13"/>
  <c r="D13" s="1"/>
  <c r="W12"/>
  <c r="A12"/>
  <c r="D12" s="1"/>
  <c r="W11"/>
  <c r="D11"/>
  <c r="W10"/>
  <c r="C57" i="8"/>
  <c r="C58" s="1"/>
  <c r="C59" s="1"/>
  <c r="E56"/>
  <c r="E59" s="1"/>
  <c r="E55"/>
  <c r="E58" s="1"/>
  <c r="E54"/>
  <c r="E57" s="1"/>
  <c r="C54"/>
  <c r="C55" s="1"/>
  <c r="C56" s="1"/>
  <c r="A52"/>
  <c r="A53" s="1"/>
  <c r="A54" s="1"/>
  <c r="C51"/>
  <c r="C52" s="1"/>
  <c r="C53" s="1"/>
  <c r="S50"/>
  <c r="U50" s="1"/>
  <c r="K50"/>
  <c r="M50" s="1"/>
  <c r="E48"/>
  <c r="C47"/>
  <c r="C48" s="1"/>
  <c r="C49" s="1"/>
  <c r="E46"/>
  <c r="E49" s="1"/>
  <c r="E45"/>
  <c r="E44"/>
  <c r="E47" s="1"/>
  <c r="C44"/>
  <c r="C45" s="1"/>
  <c r="C46" s="1"/>
  <c r="A42"/>
  <c r="A43" s="1"/>
  <c r="A44" s="1"/>
  <c r="C41"/>
  <c r="C42" s="1"/>
  <c r="C43" s="1"/>
  <c r="S40"/>
  <c r="U40" s="1"/>
  <c r="K40"/>
  <c r="M40" s="1"/>
  <c r="C37"/>
  <c r="C38" s="1"/>
  <c r="C39" s="1"/>
  <c r="E36"/>
  <c r="E39" s="1"/>
  <c r="E35"/>
  <c r="E38" s="1"/>
  <c r="E34"/>
  <c r="E37" s="1"/>
  <c r="C34"/>
  <c r="C35" s="1"/>
  <c r="C36" s="1"/>
  <c r="A32"/>
  <c r="A33" s="1"/>
  <c r="A34" s="1"/>
  <c r="C31"/>
  <c r="C32" s="1"/>
  <c r="C33" s="1"/>
  <c r="X30"/>
  <c r="S30"/>
  <c r="U30" s="1"/>
  <c r="K30"/>
  <c r="M30" s="1"/>
  <c r="Y29"/>
  <c r="Y30" s="1"/>
  <c r="C27"/>
  <c r="C28" s="1"/>
  <c r="C29" s="1"/>
  <c r="E26"/>
  <c r="E29" s="1"/>
  <c r="E25"/>
  <c r="E28" s="1"/>
  <c r="C25"/>
  <c r="C26" s="1"/>
  <c r="X24"/>
  <c r="E24"/>
  <c r="E27" s="1"/>
  <c r="C24"/>
  <c r="X23"/>
  <c r="X22"/>
  <c r="A22"/>
  <c r="A23" s="1"/>
  <c r="A24" s="1"/>
  <c r="X21"/>
  <c r="C21"/>
  <c r="C22" s="1"/>
  <c r="C23" s="1"/>
  <c r="X20"/>
  <c r="U20"/>
  <c r="S20"/>
  <c r="M20"/>
  <c r="K20"/>
  <c r="C17"/>
  <c r="C18" s="1"/>
  <c r="C19" s="1"/>
  <c r="Y16"/>
  <c r="Y24" s="1"/>
  <c r="E16"/>
  <c r="E19" s="1"/>
  <c r="Y15"/>
  <c r="Y23" s="1"/>
  <c r="E15"/>
  <c r="E18" s="1"/>
  <c r="X14"/>
  <c r="E14"/>
  <c r="E17" s="1"/>
  <c r="C14"/>
  <c r="C15" s="1"/>
  <c r="C16" s="1"/>
  <c r="X13"/>
  <c r="X12"/>
  <c r="A12"/>
  <c r="A13" s="1"/>
  <c r="A14" s="1"/>
  <c r="X11"/>
  <c r="X19" s="1"/>
  <c r="C11"/>
  <c r="C12" s="1"/>
  <c r="C13" s="1"/>
  <c r="X10"/>
  <c r="E58" i="7"/>
  <c r="C57"/>
  <c r="C58" s="1"/>
  <c r="C59" s="1"/>
  <c r="E56"/>
  <c r="E59" s="1"/>
  <c r="E55"/>
  <c r="E54"/>
  <c r="E57" s="1"/>
  <c r="C54"/>
  <c r="C55" s="1"/>
  <c r="C56" s="1"/>
  <c r="A52"/>
  <c r="A53" s="1"/>
  <c r="A54" s="1"/>
  <c r="C51"/>
  <c r="C52" s="1"/>
  <c r="C53" s="1"/>
  <c r="S50"/>
  <c r="U50" s="1"/>
  <c r="K50"/>
  <c r="M50" s="1"/>
  <c r="C47"/>
  <c r="C48" s="1"/>
  <c r="C49" s="1"/>
  <c r="E46"/>
  <c r="E49" s="1"/>
  <c r="E45"/>
  <c r="E48" s="1"/>
  <c r="E44"/>
  <c r="E47" s="1"/>
  <c r="C44"/>
  <c r="C45" s="1"/>
  <c r="C46" s="1"/>
  <c r="A42"/>
  <c r="A43" s="1"/>
  <c r="A44" s="1"/>
  <c r="C41"/>
  <c r="C42" s="1"/>
  <c r="C43" s="1"/>
  <c r="S40"/>
  <c r="U40" s="1"/>
  <c r="K40"/>
  <c r="M40" s="1"/>
  <c r="C37"/>
  <c r="C38" s="1"/>
  <c r="C39" s="1"/>
  <c r="E36"/>
  <c r="E39" s="1"/>
  <c r="E35"/>
  <c r="E38" s="1"/>
  <c r="E34"/>
  <c r="E37" s="1"/>
  <c r="C34"/>
  <c r="C35" s="1"/>
  <c r="C36" s="1"/>
  <c r="X32"/>
  <c r="A32"/>
  <c r="A33" s="1"/>
  <c r="A34" s="1"/>
  <c r="Y31"/>
  <c r="Y32" s="1"/>
  <c r="C31"/>
  <c r="C32" s="1"/>
  <c r="C33" s="1"/>
  <c r="S30"/>
  <c r="U30" s="1"/>
  <c r="K30"/>
  <c r="M30" s="1"/>
  <c r="C28"/>
  <c r="C29" s="1"/>
  <c r="C27"/>
  <c r="X26"/>
  <c r="E26"/>
  <c r="E29" s="1"/>
  <c r="X25"/>
  <c r="E25"/>
  <c r="E28" s="1"/>
  <c r="X24"/>
  <c r="E24"/>
  <c r="E27" s="1"/>
  <c r="C24"/>
  <c r="C25" s="1"/>
  <c r="C26" s="1"/>
  <c r="X23"/>
  <c r="A22"/>
  <c r="A23" s="1"/>
  <c r="A24" s="1"/>
  <c r="X21"/>
  <c r="C21"/>
  <c r="C22" s="1"/>
  <c r="C23" s="1"/>
  <c r="S20"/>
  <c r="U20" s="1"/>
  <c r="K20"/>
  <c r="M20" s="1"/>
  <c r="Y17"/>
  <c r="Y26" s="1"/>
  <c r="C17"/>
  <c r="C18" s="1"/>
  <c r="C19" s="1"/>
  <c r="Y16"/>
  <c r="Y25" s="1"/>
  <c r="E16"/>
  <c r="E19" s="1"/>
  <c r="X15"/>
  <c r="E15"/>
  <c r="E18" s="1"/>
  <c r="X14"/>
  <c r="E14"/>
  <c r="E17" s="1"/>
  <c r="C14"/>
  <c r="C15" s="1"/>
  <c r="C16" s="1"/>
  <c r="X13"/>
  <c r="X22" s="1"/>
  <c r="X12"/>
  <c r="A12"/>
  <c r="A13" s="1"/>
  <c r="A14" s="1"/>
  <c r="X11"/>
  <c r="X20" s="1"/>
  <c r="C11"/>
  <c r="C12" s="1"/>
  <c r="C13" s="1"/>
  <c r="X10"/>
  <c r="V28" i="6"/>
  <c r="A28"/>
  <c r="A29" s="1"/>
  <c r="W27"/>
  <c r="W28" s="1"/>
  <c r="Q26"/>
  <c r="S26" s="1"/>
  <c r="A24"/>
  <c r="A25" s="1"/>
  <c r="V22"/>
  <c r="Q22"/>
  <c r="S22" s="1"/>
  <c r="V21"/>
  <c r="V20"/>
  <c r="A20"/>
  <c r="A21" s="1"/>
  <c r="V18"/>
  <c r="Q18"/>
  <c r="S18" s="1"/>
  <c r="A16"/>
  <c r="A17" s="1"/>
  <c r="W15"/>
  <c r="W22" s="1"/>
  <c r="W14"/>
  <c r="W21" s="1"/>
  <c r="Q14"/>
  <c r="S14" s="1"/>
  <c r="V13"/>
  <c r="V12"/>
  <c r="V19" s="1"/>
  <c r="A12"/>
  <c r="A13" s="1"/>
  <c r="V11"/>
  <c r="V10"/>
  <c r="V33" i="5"/>
  <c r="W32"/>
  <c r="W33" s="1"/>
  <c r="V27"/>
  <c r="V26"/>
  <c r="L26"/>
  <c r="V25"/>
  <c r="L25"/>
  <c r="V24"/>
  <c r="L24"/>
  <c r="V22"/>
  <c r="L22"/>
  <c r="L21"/>
  <c r="L20"/>
  <c r="W19"/>
  <c r="W27" s="1"/>
  <c r="W18"/>
  <c r="W26" s="1"/>
  <c r="V17"/>
  <c r="V16"/>
  <c r="V15"/>
  <c r="V23" s="1"/>
  <c r="Q15"/>
  <c r="V14"/>
  <c r="W13"/>
  <c r="V13"/>
  <c r="AB44" i="4"/>
  <c r="Z44"/>
  <c r="AB43"/>
  <c r="AA43"/>
  <c r="Z43"/>
  <c r="Z30"/>
  <c r="AA29"/>
  <c r="AB29" s="1"/>
  <c r="AA24"/>
  <c r="AB24" s="1"/>
  <c r="Z24"/>
  <c r="AA23"/>
  <c r="AB23" s="1"/>
  <c r="Z23"/>
  <c r="Z21"/>
  <c r="Q31" s="1"/>
  <c r="AB18"/>
  <c r="AA17"/>
  <c r="AB17" s="1"/>
  <c r="Z16"/>
  <c r="Z22" s="1"/>
  <c r="Z15"/>
  <c r="Z14"/>
  <c r="Z13"/>
  <c r="AA12"/>
  <c r="E31" s="1"/>
  <c r="Z12"/>
  <c r="C29" s="1"/>
  <c r="M49" i="3"/>
  <c r="O49" s="1"/>
  <c r="Q49" s="1"/>
  <c r="M37"/>
  <c r="O37" s="1"/>
  <c r="Q37" s="1"/>
  <c r="G27"/>
  <c r="A16"/>
  <c r="G18"/>
  <c r="E12"/>
  <c r="K795" i="2"/>
  <c r="O795" s="1"/>
  <c r="K794"/>
  <c r="O794" s="1"/>
  <c r="K793"/>
  <c r="O793" s="1"/>
  <c r="K792"/>
  <c r="O792" s="1"/>
  <c r="K791"/>
  <c r="O791" s="1"/>
  <c r="K790"/>
  <c r="O790" s="1"/>
  <c r="I796"/>
  <c r="C787"/>
  <c r="E787"/>
  <c r="I47" i="3" s="1"/>
  <c r="T782" i="2"/>
  <c r="I782"/>
  <c r="T781"/>
  <c r="C783"/>
  <c r="I48" i="3"/>
  <c r="C778" i="2"/>
  <c r="E776"/>
  <c r="T775"/>
  <c r="I775"/>
  <c r="I778" s="1"/>
  <c r="E775"/>
  <c r="C771"/>
  <c r="E769" s="1"/>
  <c r="K769" s="1"/>
  <c r="I770"/>
  <c r="I769"/>
  <c r="I768"/>
  <c r="I767"/>
  <c r="I766"/>
  <c r="I771" s="1"/>
  <c r="T765"/>
  <c r="C761"/>
  <c r="E759" s="1"/>
  <c r="I760"/>
  <c r="I759"/>
  <c r="I758"/>
  <c r="I756"/>
  <c r="I755"/>
  <c r="I753"/>
  <c r="I752"/>
  <c r="I751"/>
  <c r="I749"/>
  <c r="I748"/>
  <c r="I761" s="1"/>
  <c r="K748"/>
  <c r="C744"/>
  <c r="I744" s="1"/>
  <c r="C743"/>
  <c r="I743" s="1"/>
  <c r="C742"/>
  <c r="C745" s="1"/>
  <c r="C740"/>
  <c r="I740" s="1"/>
  <c r="C739"/>
  <c r="I739" s="1"/>
  <c r="C737"/>
  <c r="I737" s="1"/>
  <c r="C736"/>
  <c r="I736" s="1"/>
  <c r="C735"/>
  <c r="I735" s="1"/>
  <c r="C733"/>
  <c r="I733" s="1"/>
  <c r="E732"/>
  <c r="K732" s="1"/>
  <c r="C732"/>
  <c r="I732" s="1"/>
  <c r="I729"/>
  <c r="C729"/>
  <c r="K728"/>
  <c r="K729" s="1"/>
  <c r="K35" i="3" s="1"/>
  <c r="E729" i="2"/>
  <c r="I35" i="3" s="1"/>
  <c r="I724" i="2"/>
  <c r="I34" i="3"/>
  <c r="C724" i="2"/>
  <c r="K723"/>
  <c r="O723" s="1"/>
  <c r="K722"/>
  <c r="O722" s="1"/>
  <c r="E722"/>
  <c r="E723" s="1"/>
  <c r="K721"/>
  <c r="O721" s="1"/>
  <c r="E721"/>
  <c r="K720"/>
  <c r="O720" s="1"/>
  <c r="E720"/>
  <c r="K719"/>
  <c r="C716"/>
  <c r="E709" s="1"/>
  <c r="K709" s="1"/>
  <c r="I713"/>
  <c r="E712"/>
  <c r="K712" s="1"/>
  <c r="I711"/>
  <c r="E710"/>
  <c r="K710" s="1"/>
  <c r="I709"/>
  <c r="E708"/>
  <c r="K708" s="1"/>
  <c r="K706"/>
  <c r="I706"/>
  <c r="K705"/>
  <c r="I705"/>
  <c r="K704"/>
  <c r="I704"/>
  <c r="K703"/>
  <c r="I703"/>
  <c r="K702"/>
  <c r="I702"/>
  <c r="K701"/>
  <c r="I701"/>
  <c r="K700"/>
  <c r="I700"/>
  <c r="L697"/>
  <c r="E696"/>
  <c r="K696" s="1"/>
  <c r="I695"/>
  <c r="E694"/>
  <c r="K694" s="1"/>
  <c r="I692"/>
  <c r="K691"/>
  <c r="I691"/>
  <c r="K689"/>
  <c r="I689"/>
  <c r="K688"/>
  <c r="I688"/>
  <c r="K687"/>
  <c r="I687"/>
  <c r="K685"/>
  <c r="I685"/>
  <c r="K684"/>
  <c r="I684"/>
  <c r="K682"/>
  <c r="I682"/>
  <c r="K681"/>
  <c r="I681"/>
  <c r="K680"/>
  <c r="I680"/>
  <c r="K678"/>
  <c r="I678"/>
  <c r="K677"/>
  <c r="I677"/>
  <c r="C673"/>
  <c r="E645" s="1"/>
  <c r="I670"/>
  <c r="I669"/>
  <c r="I668"/>
  <c r="I667"/>
  <c r="I666"/>
  <c r="I665"/>
  <c r="I663"/>
  <c r="I662"/>
  <c r="I661"/>
  <c r="I660"/>
  <c r="I659"/>
  <c r="I658"/>
  <c r="I657"/>
  <c r="I653"/>
  <c r="I652"/>
  <c r="E651"/>
  <c r="I649"/>
  <c r="I646"/>
  <c r="I644"/>
  <c r="K641"/>
  <c r="I641"/>
  <c r="I639"/>
  <c r="I638"/>
  <c r="I637"/>
  <c r="I635"/>
  <c r="I634"/>
  <c r="K634"/>
  <c r="I629"/>
  <c r="E629"/>
  <c r="C629"/>
  <c r="C627"/>
  <c r="I627" s="1"/>
  <c r="C626"/>
  <c r="I626" s="1"/>
  <c r="C625"/>
  <c r="I625" s="1"/>
  <c r="C624"/>
  <c r="I624" s="1"/>
  <c r="C623"/>
  <c r="I623" s="1"/>
  <c r="C622"/>
  <c r="I622" s="1"/>
  <c r="C620"/>
  <c r="I620" s="1"/>
  <c r="C619"/>
  <c r="I619" s="1"/>
  <c r="C618"/>
  <c r="C617"/>
  <c r="I617" s="1"/>
  <c r="C616"/>
  <c r="I616" s="1"/>
  <c r="C615"/>
  <c r="I615" s="1"/>
  <c r="C614"/>
  <c r="I614" s="1"/>
  <c r="C610"/>
  <c r="I610" s="1"/>
  <c r="C609"/>
  <c r="I609" s="1"/>
  <c r="C608"/>
  <c r="I608" s="1"/>
  <c r="C606"/>
  <c r="I606" s="1"/>
  <c r="C605"/>
  <c r="I605" s="1"/>
  <c r="C603"/>
  <c r="I603" s="1"/>
  <c r="C602"/>
  <c r="I602" s="1"/>
  <c r="C601"/>
  <c r="I601" s="1"/>
  <c r="C599"/>
  <c r="I599" s="1"/>
  <c r="E598"/>
  <c r="K598" s="1"/>
  <c r="C598"/>
  <c r="I598" s="1"/>
  <c r="C596"/>
  <c r="I596" s="1"/>
  <c r="C595"/>
  <c r="I595" s="1"/>
  <c r="C594"/>
  <c r="I594" s="1"/>
  <c r="C592"/>
  <c r="I592" s="1"/>
  <c r="E591"/>
  <c r="K591" s="1"/>
  <c r="C591"/>
  <c r="I591" s="1"/>
  <c r="I585"/>
  <c r="I584"/>
  <c r="I582"/>
  <c r="I580"/>
  <c r="I578"/>
  <c r="M577"/>
  <c r="O577" s="1"/>
  <c r="K577"/>
  <c r="I577"/>
  <c r="I572"/>
  <c r="I571"/>
  <c r="I569"/>
  <c r="I567"/>
  <c r="I565"/>
  <c r="M564"/>
  <c r="O564" s="1"/>
  <c r="K564"/>
  <c r="I564"/>
  <c r="I559"/>
  <c r="I558"/>
  <c r="E557"/>
  <c r="I556"/>
  <c r="E555"/>
  <c r="I554"/>
  <c r="I552"/>
  <c r="M551"/>
  <c r="O551" s="1"/>
  <c r="K551"/>
  <c r="I551"/>
  <c r="E548"/>
  <c r="I32" i="3" s="1"/>
  <c r="O547" i="2"/>
  <c r="K547"/>
  <c r="I547"/>
  <c r="E547"/>
  <c r="C547"/>
  <c r="M546"/>
  <c r="M585" s="1"/>
  <c r="C546"/>
  <c r="I546" s="1"/>
  <c r="C545"/>
  <c r="I545" s="1"/>
  <c r="R544"/>
  <c r="C544"/>
  <c r="I544" s="1"/>
  <c r="C543"/>
  <c r="I543" s="1"/>
  <c r="C542"/>
  <c r="I542" s="1"/>
  <c r="C541"/>
  <c r="I541" s="1"/>
  <c r="C540"/>
  <c r="I540" s="1"/>
  <c r="C539"/>
  <c r="I539" s="1"/>
  <c r="T538"/>
  <c r="E538"/>
  <c r="O538" s="1"/>
  <c r="C538"/>
  <c r="I538" s="1"/>
  <c r="I31" i="3"/>
  <c r="C534" i="2"/>
  <c r="I529"/>
  <c r="C527"/>
  <c r="I524"/>
  <c r="K529"/>
  <c r="I522"/>
  <c r="C518"/>
  <c r="G45" i="3"/>
  <c r="E512" i="2"/>
  <c r="I44" i="3" s="1"/>
  <c r="I510" i="2"/>
  <c r="G44" i="3"/>
  <c r="E508" i="2"/>
  <c r="I508"/>
  <c r="E507"/>
  <c r="I507"/>
  <c r="E506"/>
  <c r="I506"/>
  <c r="E495"/>
  <c r="C497"/>
  <c r="I494"/>
  <c r="I493"/>
  <c r="I492"/>
  <c r="I491"/>
  <c r="I489"/>
  <c r="I488"/>
  <c r="I487"/>
  <c r="I486"/>
  <c r="I485"/>
  <c r="I484"/>
  <c r="I483"/>
  <c r="I482"/>
  <c r="I481"/>
  <c r="I479"/>
  <c r="I478"/>
  <c r="I477"/>
  <c r="I475"/>
  <c r="I474"/>
  <c r="E468"/>
  <c r="E457" s="1"/>
  <c r="C470"/>
  <c r="E467"/>
  <c r="I466"/>
  <c r="E464"/>
  <c r="I463"/>
  <c r="E462"/>
  <c r="I461"/>
  <c r="E460"/>
  <c r="I459"/>
  <c r="I458"/>
  <c r="I455"/>
  <c r="I454"/>
  <c r="I453"/>
  <c r="I451"/>
  <c r="I450"/>
  <c r="E449"/>
  <c r="I448"/>
  <c r="E447"/>
  <c r="I446"/>
  <c r="I445"/>
  <c r="I443"/>
  <c r="I441"/>
  <c r="I438"/>
  <c r="I437"/>
  <c r="E436"/>
  <c r="I435"/>
  <c r="E433"/>
  <c r="I432"/>
  <c r="I431"/>
  <c r="E501"/>
  <c r="G43" i="3" s="1"/>
  <c r="C501" i="2"/>
  <c r="E503"/>
  <c r="I502"/>
  <c r="C502"/>
  <c r="C500"/>
  <c r="I424"/>
  <c r="I423"/>
  <c r="I422"/>
  <c r="I421"/>
  <c r="I420"/>
  <c r="I418"/>
  <c r="I417"/>
  <c r="I416"/>
  <c r="I415"/>
  <c r="I414"/>
  <c r="C409"/>
  <c r="G42" i="3"/>
  <c r="E409" i="2"/>
  <c r="I42" i="3" s="1"/>
  <c r="I404" i="2"/>
  <c r="E402"/>
  <c r="I402"/>
  <c r="I400"/>
  <c r="E399"/>
  <c r="I399"/>
  <c r="I398"/>
  <c r="E397"/>
  <c r="I397"/>
  <c r="I396"/>
  <c r="E395"/>
  <c r="I395"/>
  <c r="I393"/>
  <c r="I392"/>
  <c r="E392"/>
  <c r="E391"/>
  <c r="I391"/>
  <c r="I390"/>
  <c r="E389"/>
  <c r="I389"/>
  <c r="I387"/>
  <c r="E386"/>
  <c r="I386"/>
  <c r="I385"/>
  <c r="E384"/>
  <c r="I384"/>
  <c r="I383"/>
  <c r="E382"/>
  <c r="I382"/>
  <c r="I381"/>
  <c r="E380"/>
  <c r="I380"/>
  <c r="I379"/>
  <c r="E378"/>
  <c r="I378"/>
  <c r="I377"/>
  <c r="I375"/>
  <c r="E375"/>
  <c r="E374"/>
  <c r="I374"/>
  <c r="I373"/>
  <c r="E372"/>
  <c r="I372"/>
  <c r="I371"/>
  <c r="E370"/>
  <c r="I370"/>
  <c r="I369"/>
  <c r="E368"/>
  <c r="I368"/>
  <c r="I367"/>
  <c r="E366"/>
  <c r="I366"/>
  <c r="E365"/>
  <c r="I365"/>
  <c r="E364"/>
  <c r="I364"/>
  <c r="E363"/>
  <c r="I363"/>
  <c r="E362"/>
  <c r="I362"/>
  <c r="E361"/>
  <c r="C405"/>
  <c r="I354"/>
  <c r="I353"/>
  <c r="I350"/>
  <c r="C351"/>
  <c r="I348"/>
  <c r="I347"/>
  <c r="I346"/>
  <c r="I345"/>
  <c r="C339"/>
  <c r="I337"/>
  <c r="C335"/>
  <c r="I333"/>
  <c r="I332"/>
  <c r="I331"/>
  <c r="I330"/>
  <c r="I329"/>
  <c r="I328"/>
  <c r="I323"/>
  <c r="C325"/>
  <c r="E321" s="1"/>
  <c r="K321" s="1"/>
  <c r="I321"/>
  <c r="K320"/>
  <c r="I320"/>
  <c r="I308"/>
  <c r="I315"/>
  <c r="C317"/>
  <c r="I313"/>
  <c r="K312"/>
  <c r="I312"/>
  <c r="E308"/>
  <c r="C308"/>
  <c r="C307"/>
  <c r="I307" s="1"/>
  <c r="C306"/>
  <c r="C309" s="1"/>
  <c r="C305"/>
  <c r="I305" s="1"/>
  <c r="E304"/>
  <c r="K304" s="1"/>
  <c r="C304"/>
  <c r="I304" s="1"/>
  <c r="I299"/>
  <c r="I298"/>
  <c r="C301"/>
  <c r="I296"/>
  <c r="I295"/>
  <c r="I294"/>
  <c r="K293"/>
  <c r="I293"/>
  <c r="I288"/>
  <c r="I287"/>
  <c r="C290"/>
  <c r="I285"/>
  <c r="I284"/>
  <c r="I283"/>
  <c r="K282"/>
  <c r="I282"/>
  <c r="I277"/>
  <c r="I276"/>
  <c r="C279"/>
  <c r="I274"/>
  <c r="I273"/>
  <c r="I272"/>
  <c r="K271"/>
  <c r="I271"/>
  <c r="E268"/>
  <c r="I25" i="3" s="1"/>
  <c r="K267" i="2"/>
  <c r="I267"/>
  <c r="E267"/>
  <c r="C267"/>
  <c r="C266"/>
  <c r="I266" s="1"/>
  <c r="C265"/>
  <c r="I265" s="1"/>
  <c r="C264"/>
  <c r="I264" s="1"/>
  <c r="C263"/>
  <c r="I263" s="1"/>
  <c r="C262"/>
  <c r="I262" s="1"/>
  <c r="C261"/>
  <c r="I261" s="1"/>
  <c r="E260"/>
  <c r="K260" s="1"/>
  <c r="C260"/>
  <c r="I260" s="1"/>
  <c r="I268" s="1"/>
  <c r="I255"/>
  <c r="C257"/>
  <c r="I251"/>
  <c r="I249"/>
  <c r="K248"/>
  <c r="I248"/>
  <c r="I243"/>
  <c r="C245"/>
  <c r="I239"/>
  <c r="I237"/>
  <c r="K236"/>
  <c r="I236"/>
  <c r="R233"/>
  <c r="E233"/>
  <c r="I24" i="3" s="1"/>
  <c r="K232" i="2"/>
  <c r="I232"/>
  <c r="E232"/>
  <c r="C232"/>
  <c r="C231"/>
  <c r="I231" s="1"/>
  <c r="C230"/>
  <c r="I230" s="1"/>
  <c r="C229"/>
  <c r="I229" s="1"/>
  <c r="C228"/>
  <c r="I228" s="1"/>
  <c r="C227"/>
  <c r="I227" s="1"/>
  <c r="C226"/>
  <c r="I226" s="1"/>
  <c r="C225"/>
  <c r="I225" s="1"/>
  <c r="E224"/>
  <c r="K224" s="1"/>
  <c r="C224"/>
  <c r="I224" s="1"/>
  <c r="E221"/>
  <c r="C221"/>
  <c r="E216"/>
  <c r="K216" s="1"/>
  <c r="E215"/>
  <c r="K215" s="1"/>
  <c r="E214"/>
  <c r="K214" s="1"/>
  <c r="E213"/>
  <c r="K213" s="1"/>
  <c r="E212"/>
  <c r="K212" s="1"/>
  <c r="I212"/>
  <c r="E211"/>
  <c r="K211" s="1"/>
  <c r="E210"/>
  <c r="K210" s="1"/>
  <c r="I210"/>
  <c r="E209"/>
  <c r="K209" s="1"/>
  <c r="E207"/>
  <c r="K207" s="1"/>
  <c r="I207"/>
  <c r="E206"/>
  <c r="K206" s="1"/>
  <c r="E205"/>
  <c r="K205" s="1"/>
  <c r="I205"/>
  <c r="E204"/>
  <c r="K204" s="1"/>
  <c r="E203"/>
  <c r="K203" s="1"/>
  <c r="I203"/>
  <c r="E202"/>
  <c r="K202" s="1"/>
  <c r="E200"/>
  <c r="K200" s="1"/>
  <c r="I200"/>
  <c r="E199"/>
  <c r="K199" s="1"/>
  <c r="E198"/>
  <c r="K198" s="1"/>
  <c r="I198"/>
  <c r="E197"/>
  <c r="K197" s="1"/>
  <c r="E196"/>
  <c r="K196" s="1"/>
  <c r="I196"/>
  <c r="E195"/>
  <c r="K195" s="1"/>
  <c r="E194"/>
  <c r="K194" s="1"/>
  <c r="I194"/>
  <c r="E193"/>
  <c r="K193" s="1"/>
  <c r="E192"/>
  <c r="K192" s="1"/>
  <c r="I192"/>
  <c r="E191"/>
  <c r="K191" s="1"/>
  <c r="E190"/>
  <c r="K190" s="1"/>
  <c r="I190"/>
  <c r="E188"/>
  <c r="K188" s="1"/>
  <c r="E187"/>
  <c r="K187" s="1"/>
  <c r="I187"/>
  <c r="E186"/>
  <c r="K186" s="1"/>
  <c r="E185"/>
  <c r="E217" s="1"/>
  <c r="I185"/>
  <c r="I179"/>
  <c r="I177"/>
  <c r="I175"/>
  <c r="I173"/>
  <c r="K172"/>
  <c r="I172"/>
  <c r="I167"/>
  <c r="I166"/>
  <c r="C169"/>
  <c r="I162"/>
  <c r="E148"/>
  <c r="K148" s="1"/>
  <c r="I160"/>
  <c r="E157"/>
  <c r="I21" i="3" s="1"/>
  <c r="K156" i="2"/>
  <c r="I156"/>
  <c r="E156"/>
  <c r="C156"/>
  <c r="C155"/>
  <c r="I155" s="1"/>
  <c r="C154"/>
  <c r="I154" s="1"/>
  <c r="C153"/>
  <c r="I153" s="1"/>
  <c r="C152"/>
  <c r="I152" s="1"/>
  <c r="C151"/>
  <c r="I151" s="1"/>
  <c r="C150"/>
  <c r="I150" s="1"/>
  <c r="C149"/>
  <c r="I149" s="1"/>
  <c r="C148"/>
  <c r="I148" s="1"/>
  <c r="I157" s="1"/>
  <c r="C120"/>
  <c r="I143"/>
  <c r="C140"/>
  <c r="C145" s="1"/>
  <c r="I141"/>
  <c r="E139"/>
  <c r="K139" s="1"/>
  <c r="I138"/>
  <c r="E137"/>
  <c r="K137" s="1"/>
  <c r="E143"/>
  <c r="K143" s="1"/>
  <c r="I136"/>
  <c r="I120"/>
  <c r="I131"/>
  <c r="I130"/>
  <c r="C128"/>
  <c r="C116" s="1"/>
  <c r="C121" s="1"/>
  <c r="I127"/>
  <c r="I125"/>
  <c r="K124"/>
  <c r="C112"/>
  <c r="I112" s="1"/>
  <c r="E120"/>
  <c r="C119"/>
  <c r="I119" s="1"/>
  <c r="C118"/>
  <c r="I118" s="1"/>
  <c r="C115"/>
  <c r="I115" s="1"/>
  <c r="C113"/>
  <c r="I113" s="1"/>
  <c r="E112"/>
  <c r="K112" s="1"/>
  <c r="I107"/>
  <c r="C104"/>
  <c r="C109" s="1"/>
  <c r="I105"/>
  <c r="E104"/>
  <c r="I102"/>
  <c r="E107"/>
  <c r="K107" s="1"/>
  <c r="I100"/>
  <c r="I95"/>
  <c r="C92"/>
  <c r="C97" s="1"/>
  <c r="I93"/>
  <c r="E92"/>
  <c r="I90"/>
  <c r="E95"/>
  <c r="K95" s="1"/>
  <c r="I88"/>
  <c r="I72"/>
  <c r="I83"/>
  <c r="C80"/>
  <c r="C68" s="1"/>
  <c r="C85"/>
  <c r="I79"/>
  <c r="I78"/>
  <c r="I77"/>
  <c r="E83"/>
  <c r="I76"/>
  <c r="E73"/>
  <c r="I20" i="3" s="1"/>
  <c r="E72" i="2"/>
  <c r="C72"/>
  <c r="C71"/>
  <c r="I71" s="1"/>
  <c r="C69"/>
  <c r="I69" s="1"/>
  <c r="C67"/>
  <c r="I67" s="1"/>
  <c r="C66"/>
  <c r="I66" s="1"/>
  <c r="C65"/>
  <c r="I65" s="1"/>
  <c r="E64"/>
  <c r="K64" s="1"/>
  <c r="C64"/>
  <c r="I64" s="1"/>
  <c r="I16" i="3"/>
  <c r="C57" i="2"/>
  <c r="C61" s="1"/>
  <c r="I56"/>
  <c r="E55"/>
  <c r="K55" s="1"/>
  <c r="I54"/>
  <c r="I52"/>
  <c r="I49"/>
  <c r="Q48"/>
  <c r="Q49" s="1"/>
  <c r="M49" s="1"/>
  <c r="I48"/>
  <c r="E47"/>
  <c r="K47" s="1"/>
  <c r="M46"/>
  <c r="T46" s="1"/>
  <c r="I46"/>
  <c r="E56"/>
  <c r="K56" s="1"/>
  <c r="R40"/>
  <c r="I37"/>
  <c r="E36"/>
  <c r="K36" s="1"/>
  <c r="I35"/>
  <c r="I33"/>
  <c r="E30"/>
  <c r="K30" s="1"/>
  <c r="M29"/>
  <c r="M35" s="1"/>
  <c r="I29"/>
  <c r="E37"/>
  <c r="K37" s="1"/>
  <c r="C21"/>
  <c r="R20"/>
  <c r="Z39" i="4" s="1"/>
  <c r="A18" s="1"/>
  <c r="K20" i="2"/>
  <c r="I20"/>
  <c r="I19"/>
  <c r="M18"/>
  <c r="E18"/>
  <c r="K18" s="1"/>
  <c r="M13"/>
  <c r="AC43" i="4" s="1"/>
  <c r="E13" i="2"/>
  <c r="K13" s="1"/>
  <c r="T12"/>
  <c r="I48" i="1"/>
  <c r="I47"/>
  <c r="G45"/>
  <c r="I44"/>
  <c r="G44"/>
  <c r="I43"/>
  <c r="G43"/>
  <c r="I42"/>
  <c r="G42"/>
  <c r="G46" s="1"/>
  <c r="Q41"/>
  <c r="Q44" s="1"/>
  <c r="N38"/>
  <c r="N39" s="1"/>
  <c r="L38"/>
  <c r="L39" s="1"/>
  <c r="K35"/>
  <c r="I35"/>
  <c r="I34"/>
  <c r="I32"/>
  <c r="I31"/>
  <c r="I25"/>
  <c r="G27"/>
  <c r="I24"/>
  <c r="I21"/>
  <c r="I20"/>
  <c r="G23"/>
  <c r="O17"/>
  <c r="I16"/>
  <c r="A16"/>
  <c r="I15"/>
  <c r="I18" s="1"/>
  <c r="G18"/>
  <c r="E12"/>
  <c r="E25" i="5" l="1"/>
  <c r="I12" i="4"/>
  <c r="AC12" s="1"/>
  <c r="I10"/>
  <c r="Q11"/>
  <c r="AE11" s="1"/>
  <c r="C10"/>
  <c r="C11"/>
  <c r="E29" i="6"/>
  <c r="I11" i="4"/>
  <c r="AC11" s="1"/>
  <c r="E10"/>
  <c r="G10" s="1"/>
  <c r="E12"/>
  <c r="Q13"/>
  <c r="AE13" s="1"/>
  <c r="Q14"/>
  <c r="AE14" s="1"/>
  <c r="Q15"/>
  <c r="AE15" s="1"/>
  <c r="Q16"/>
  <c r="AE16" s="1"/>
  <c r="Q19"/>
  <c r="AE19" s="1"/>
  <c r="E53" i="2"/>
  <c r="K53" s="1"/>
  <c r="E51"/>
  <c r="K51" s="1"/>
  <c r="K759"/>
  <c r="E743"/>
  <c r="K743" s="1"/>
  <c r="M48"/>
  <c r="T48" s="1"/>
  <c r="C503"/>
  <c r="E439"/>
  <c r="E442"/>
  <c r="E444"/>
  <c r="E452"/>
  <c r="I495"/>
  <c r="I497" s="1"/>
  <c r="I548"/>
  <c r="C630"/>
  <c r="E642"/>
  <c r="E749"/>
  <c r="E751"/>
  <c r="E752"/>
  <c r="E753"/>
  <c r="E755"/>
  <c r="E756"/>
  <c r="E758"/>
  <c r="E765"/>
  <c r="E766"/>
  <c r="K766" s="1"/>
  <c r="E767"/>
  <c r="K767" s="1"/>
  <c r="E768"/>
  <c r="E770" s="1"/>
  <c r="K770" s="1"/>
  <c r="Q10" i="4"/>
  <c r="Q12"/>
  <c r="AE12" s="1"/>
  <c r="I13"/>
  <c r="AC13" s="1"/>
  <c r="Q21"/>
  <c r="AE21" s="1"/>
  <c r="E14"/>
  <c r="E11"/>
  <c r="E13"/>
  <c r="E12" i="5"/>
  <c r="I31" i="4"/>
  <c r="Z46"/>
  <c r="E11" i="5"/>
  <c r="E13"/>
  <c r="F33" i="9"/>
  <c r="F11"/>
  <c r="AB46" i="4"/>
  <c r="T49" i="2"/>
  <c r="E93"/>
  <c r="K93" s="1"/>
  <c r="E90"/>
  <c r="K90" s="1"/>
  <c r="E105"/>
  <c r="K105" s="1"/>
  <c r="E102"/>
  <c r="K102" s="1"/>
  <c r="E166"/>
  <c r="E164"/>
  <c r="E162"/>
  <c r="I41" i="3"/>
  <c r="I41" i="1"/>
  <c r="C233" i="2"/>
  <c r="E241"/>
  <c r="E239"/>
  <c r="E237"/>
  <c r="E253"/>
  <c r="E251"/>
  <c r="K251" s="1"/>
  <c r="E249"/>
  <c r="K249" s="1"/>
  <c r="E275"/>
  <c r="E273"/>
  <c r="E297"/>
  <c r="E295"/>
  <c r="K295" s="1"/>
  <c r="E314"/>
  <c r="E313"/>
  <c r="E94"/>
  <c r="K94" s="1"/>
  <c r="E106"/>
  <c r="K106" s="1"/>
  <c r="G50" i="1"/>
  <c r="V17"/>
  <c r="M17"/>
  <c r="T35" i="2"/>
  <c r="M37"/>
  <c r="E58"/>
  <c r="E52"/>
  <c r="K52" s="1"/>
  <c r="E50"/>
  <c r="E49"/>
  <c r="K49" s="1"/>
  <c r="E48"/>
  <c r="K83"/>
  <c r="E71"/>
  <c r="K71" s="1"/>
  <c r="C73"/>
  <c r="E81"/>
  <c r="E82" s="1"/>
  <c r="E78"/>
  <c r="E141"/>
  <c r="E138"/>
  <c r="K138" s="1"/>
  <c r="E287"/>
  <c r="K287" s="1"/>
  <c r="E285"/>
  <c r="K285" s="1"/>
  <c r="E283"/>
  <c r="K283" s="1"/>
  <c r="C268"/>
  <c r="E89"/>
  <c r="K89" s="1"/>
  <c r="E91"/>
  <c r="K91" s="1"/>
  <c r="E101"/>
  <c r="K101" s="1"/>
  <c r="E103"/>
  <c r="K103" s="1"/>
  <c r="E142"/>
  <c r="K142" s="1"/>
  <c r="E161"/>
  <c r="E163"/>
  <c r="E165"/>
  <c r="I233"/>
  <c r="E238"/>
  <c r="E240"/>
  <c r="E242"/>
  <c r="E250"/>
  <c r="K250" s="1"/>
  <c r="E252"/>
  <c r="K252" s="1"/>
  <c r="E254"/>
  <c r="K254" s="1"/>
  <c r="AA44" i="4"/>
  <c r="AA16"/>
  <c r="Q18"/>
  <c r="K433" i="2"/>
  <c r="K436"/>
  <c r="K447"/>
  <c r="K449"/>
  <c r="K460"/>
  <c r="K462"/>
  <c r="K464"/>
  <c r="K467"/>
  <c r="E453"/>
  <c r="E450"/>
  <c r="E437"/>
  <c r="E459"/>
  <c r="E455"/>
  <c r="E446"/>
  <c r="E432"/>
  <c r="E493"/>
  <c r="E491"/>
  <c r="E487"/>
  <c r="E485"/>
  <c r="E484"/>
  <c r="E481"/>
  <c r="E478"/>
  <c r="E475"/>
  <c r="E489"/>
  <c r="E483"/>
  <c r="K555"/>
  <c r="K557"/>
  <c r="K724"/>
  <c r="O719"/>
  <c r="O724" s="1"/>
  <c r="M34" i="3" s="1"/>
  <c r="A17" i="1"/>
  <c r="A18" s="1"/>
  <c r="A20" s="1"/>
  <c r="O35"/>
  <c r="V35" s="1"/>
  <c r="O37"/>
  <c r="V37" s="1"/>
  <c r="O49"/>
  <c r="V49" s="1"/>
  <c r="I13" i="2"/>
  <c r="I14"/>
  <c r="I15"/>
  <c r="I16"/>
  <c r="I17"/>
  <c r="I18"/>
  <c r="M19"/>
  <c r="M20"/>
  <c r="C25"/>
  <c r="E14" s="1"/>
  <c r="E29"/>
  <c r="I30"/>
  <c r="M30"/>
  <c r="I32"/>
  <c r="I34"/>
  <c r="I36"/>
  <c r="E46"/>
  <c r="I47"/>
  <c r="M47"/>
  <c r="I51"/>
  <c r="I53"/>
  <c r="I55"/>
  <c r="R61"/>
  <c r="K76"/>
  <c r="I82"/>
  <c r="K88"/>
  <c r="K97" s="1"/>
  <c r="I89"/>
  <c r="I91"/>
  <c r="I94"/>
  <c r="K100"/>
  <c r="K109" s="1"/>
  <c r="I101"/>
  <c r="I103"/>
  <c r="I106"/>
  <c r="I124"/>
  <c r="I126"/>
  <c r="I129"/>
  <c r="E131"/>
  <c r="C133"/>
  <c r="E126" s="1"/>
  <c r="K136"/>
  <c r="I137"/>
  <c r="I139"/>
  <c r="I142"/>
  <c r="R157"/>
  <c r="K160"/>
  <c r="I161"/>
  <c r="I163"/>
  <c r="I165"/>
  <c r="I174"/>
  <c r="I176"/>
  <c r="I178"/>
  <c r="C181"/>
  <c r="K185"/>
  <c r="K217" s="1"/>
  <c r="K221" s="1"/>
  <c r="I186"/>
  <c r="I188"/>
  <c r="I191"/>
  <c r="I193"/>
  <c r="I195"/>
  <c r="I197"/>
  <c r="I199"/>
  <c r="I202"/>
  <c r="I204"/>
  <c r="I206"/>
  <c r="I209"/>
  <c r="I211"/>
  <c r="I213"/>
  <c r="I214"/>
  <c r="I215"/>
  <c r="I216"/>
  <c r="C217"/>
  <c r="I238"/>
  <c r="I240"/>
  <c r="I242"/>
  <c r="I250"/>
  <c r="I252"/>
  <c r="I254"/>
  <c r="E272"/>
  <c r="E274"/>
  <c r="I275"/>
  <c r="I279" s="1"/>
  <c r="E276"/>
  <c r="E284"/>
  <c r="K284" s="1"/>
  <c r="E286"/>
  <c r="E294"/>
  <c r="K294" s="1"/>
  <c r="E296"/>
  <c r="K296" s="1"/>
  <c r="I297"/>
  <c r="I301" s="1"/>
  <c r="E298"/>
  <c r="K298" s="1"/>
  <c r="I306"/>
  <c r="I309" s="1"/>
  <c r="I314"/>
  <c r="I317" s="1"/>
  <c r="E322"/>
  <c r="I355"/>
  <c r="I425"/>
  <c r="I611"/>
  <c r="I671"/>
  <c r="O796"/>
  <c r="I15" i="3"/>
  <c r="K329" i="2"/>
  <c r="I43" i="3"/>
  <c r="E500" i="2"/>
  <c r="K439"/>
  <c r="K442"/>
  <c r="K444"/>
  <c r="K452"/>
  <c r="K457"/>
  <c r="T585"/>
  <c r="K642"/>
  <c r="E599"/>
  <c r="K599" s="1"/>
  <c r="K645"/>
  <c r="E602"/>
  <c r="K602" s="1"/>
  <c r="K648"/>
  <c r="E605"/>
  <c r="K605" s="1"/>
  <c r="K651"/>
  <c r="E608"/>
  <c r="K608" s="1"/>
  <c r="E669"/>
  <c r="E667"/>
  <c r="E665"/>
  <c r="E662"/>
  <c r="E660"/>
  <c r="E658"/>
  <c r="E653"/>
  <c r="E639"/>
  <c r="E638"/>
  <c r="E637"/>
  <c r="E635"/>
  <c r="K775"/>
  <c r="K778" s="1"/>
  <c r="O775"/>
  <c r="O778" s="1"/>
  <c r="M48" i="3" s="1"/>
  <c r="G12" i="1"/>
  <c r="I12" s="1"/>
  <c r="K12" s="1"/>
  <c r="Q42"/>
  <c r="Q43"/>
  <c r="O13" i="2"/>
  <c r="T13"/>
  <c r="O18"/>
  <c r="T18"/>
  <c r="T29"/>
  <c r="I31"/>
  <c r="C38"/>
  <c r="C42" s="1"/>
  <c r="I50"/>
  <c r="M54"/>
  <c r="C70"/>
  <c r="I70" s="1"/>
  <c r="I73" s="1"/>
  <c r="E77"/>
  <c r="E79"/>
  <c r="I81"/>
  <c r="I85" s="1"/>
  <c r="C114"/>
  <c r="I114" s="1"/>
  <c r="C117"/>
  <c r="I117" s="1"/>
  <c r="I164"/>
  <c r="I241"/>
  <c r="I253"/>
  <c r="I286"/>
  <c r="I290" s="1"/>
  <c r="I322"/>
  <c r="I325" s="1"/>
  <c r="C535"/>
  <c r="AC33" i="4"/>
  <c r="AE33"/>
  <c r="E330" i="2"/>
  <c r="K330" s="1"/>
  <c r="I338"/>
  <c r="I339" s="1"/>
  <c r="I344"/>
  <c r="C355"/>
  <c r="I361"/>
  <c r="I405" s="1"/>
  <c r="I409" s="1"/>
  <c r="E367"/>
  <c r="E369"/>
  <c r="E371"/>
  <c r="E373"/>
  <c r="E377"/>
  <c r="E379"/>
  <c r="E381"/>
  <c r="E383"/>
  <c r="E385"/>
  <c r="E387"/>
  <c r="E390"/>
  <c r="E393"/>
  <c r="E396"/>
  <c r="E398"/>
  <c r="E400"/>
  <c r="E404"/>
  <c r="E425"/>
  <c r="C427"/>
  <c r="E431"/>
  <c r="I433"/>
  <c r="E435"/>
  <c r="I436"/>
  <c r="E438"/>
  <c r="I439"/>
  <c r="E441"/>
  <c r="I442"/>
  <c r="E443"/>
  <c r="I444"/>
  <c r="E445"/>
  <c r="I447"/>
  <c r="E448"/>
  <c r="I449"/>
  <c r="E451"/>
  <c r="I452"/>
  <c r="E454"/>
  <c r="I457"/>
  <c r="E458"/>
  <c r="I460"/>
  <c r="E461"/>
  <c r="I462"/>
  <c r="E463"/>
  <c r="I464"/>
  <c r="E466"/>
  <c r="I467"/>
  <c r="E474"/>
  <c r="E477"/>
  <c r="E479"/>
  <c r="E482"/>
  <c r="E486"/>
  <c r="E488"/>
  <c r="E492"/>
  <c r="E494"/>
  <c r="K506"/>
  <c r="K507"/>
  <c r="K508"/>
  <c r="K509"/>
  <c r="K510"/>
  <c r="C512"/>
  <c r="I515"/>
  <c r="I516"/>
  <c r="E518"/>
  <c r="K522"/>
  <c r="I523"/>
  <c r="I525"/>
  <c r="I530"/>
  <c r="I531"/>
  <c r="I532"/>
  <c r="K538"/>
  <c r="T551"/>
  <c r="E552"/>
  <c r="I553"/>
  <c r="E554"/>
  <c r="I555"/>
  <c r="E556"/>
  <c r="I557"/>
  <c r="E559"/>
  <c r="C561"/>
  <c r="E553" s="1"/>
  <c r="T564"/>
  <c r="I566"/>
  <c r="E567"/>
  <c r="K567" s="1"/>
  <c r="I568"/>
  <c r="E569"/>
  <c r="K569" s="1"/>
  <c r="I570"/>
  <c r="E572"/>
  <c r="K572" s="1"/>
  <c r="C574"/>
  <c r="E565" s="1"/>
  <c r="K565" s="1"/>
  <c r="T577"/>
  <c r="I579"/>
  <c r="I581"/>
  <c r="I583"/>
  <c r="E585"/>
  <c r="K585" s="1"/>
  <c r="C587"/>
  <c r="E579" s="1"/>
  <c r="K579" s="1"/>
  <c r="I642"/>
  <c r="E644"/>
  <c r="I645"/>
  <c r="E646"/>
  <c r="I648"/>
  <c r="E649"/>
  <c r="I651"/>
  <c r="E652"/>
  <c r="E657"/>
  <c r="E659"/>
  <c r="E661"/>
  <c r="E666"/>
  <c r="E668"/>
  <c r="E670"/>
  <c r="E692"/>
  <c r="K692" s="1"/>
  <c r="I694"/>
  <c r="E695"/>
  <c r="K695" s="1"/>
  <c r="I696"/>
  <c r="I708"/>
  <c r="I714" s="1"/>
  <c r="I710"/>
  <c r="E711"/>
  <c r="I712"/>
  <c r="I742"/>
  <c r="I745" s="1"/>
  <c r="K768"/>
  <c r="K771" s="1"/>
  <c r="E781"/>
  <c r="E782"/>
  <c r="K796"/>
  <c r="G12" i="3"/>
  <c r="A17"/>
  <c r="M17"/>
  <c r="O17" s="1"/>
  <c r="Q17" s="1"/>
  <c r="A15" i="7"/>
  <c r="G15" s="1"/>
  <c r="A17"/>
  <c r="I334" i="2"/>
  <c r="I335" s="1"/>
  <c r="I349"/>
  <c r="K361"/>
  <c r="K362"/>
  <c r="K363"/>
  <c r="K364"/>
  <c r="K365"/>
  <c r="K366"/>
  <c r="K368"/>
  <c r="K370"/>
  <c r="K372"/>
  <c r="K374"/>
  <c r="K375"/>
  <c r="K378"/>
  <c r="K380"/>
  <c r="K382"/>
  <c r="K384"/>
  <c r="K386"/>
  <c r="K389"/>
  <c r="K391"/>
  <c r="K392"/>
  <c r="K395"/>
  <c r="K397"/>
  <c r="K399"/>
  <c r="K402"/>
  <c r="I509"/>
  <c r="I512" s="1"/>
  <c r="K515"/>
  <c r="K516"/>
  <c r="T546"/>
  <c r="M559"/>
  <c r="M572"/>
  <c r="I618"/>
  <c r="I628" s="1"/>
  <c r="O728"/>
  <c r="O729" s="1"/>
  <c r="M35" i="3" s="1"/>
  <c r="K758" i="2"/>
  <c r="I781"/>
  <c r="I783" s="1"/>
  <c r="I787" s="1"/>
  <c r="I12" i="3"/>
  <c r="A18"/>
  <c r="G23"/>
  <c r="G46"/>
  <c r="A37" i="7"/>
  <c r="A35"/>
  <c r="A47"/>
  <c r="A45"/>
  <c r="A57"/>
  <c r="A55"/>
  <c r="AC10" i="4"/>
  <c r="AE10"/>
  <c r="AB12"/>
  <c r="I14"/>
  <c r="E15"/>
  <c r="I15"/>
  <c r="E16"/>
  <c r="I16"/>
  <c r="C17"/>
  <c r="C18"/>
  <c r="C19"/>
  <c r="C20"/>
  <c r="AA20"/>
  <c r="C21"/>
  <c r="C22"/>
  <c r="C23"/>
  <c r="C24"/>
  <c r="C25"/>
  <c r="E26"/>
  <c r="I26"/>
  <c r="Q26"/>
  <c r="E27"/>
  <c r="I27"/>
  <c r="Q27"/>
  <c r="C28"/>
  <c r="E29"/>
  <c r="G29" s="1"/>
  <c r="I29"/>
  <c r="Q29"/>
  <c r="C30"/>
  <c r="AA30"/>
  <c r="AB30" s="1"/>
  <c r="C31"/>
  <c r="G31" s="1"/>
  <c r="Z45"/>
  <c r="AB45"/>
  <c r="E14" i="5"/>
  <c r="E21"/>
  <c r="W21"/>
  <c r="E24"/>
  <c r="E26"/>
  <c r="E12" i="6"/>
  <c r="E15"/>
  <c r="E16"/>
  <c r="E20"/>
  <c r="E24"/>
  <c r="E25"/>
  <c r="E27"/>
  <c r="E28"/>
  <c r="G11" i="7"/>
  <c r="G12"/>
  <c r="G13"/>
  <c r="G54"/>
  <c r="G47"/>
  <c r="G45"/>
  <c r="G43"/>
  <c r="G42"/>
  <c r="G41"/>
  <c r="G34"/>
  <c r="G31"/>
  <c r="G23"/>
  <c r="G22"/>
  <c r="G21"/>
  <c r="G17"/>
  <c r="G57"/>
  <c r="G55"/>
  <c r="G53"/>
  <c r="G52"/>
  <c r="G51"/>
  <c r="G44"/>
  <c r="G37"/>
  <c r="G35"/>
  <c r="G33"/>
  <c r="G32"/>
  <c r="G24"/>
  <c r="X19"/>
  <c r="A27"/>
  <c r="G27" s="1"/>
  <c r="A25"/>
  <c r="G25" s="1"/>
  <c r="A17" i="8"/>
  <c r="A15"/>
  <c r="A25"/>
  <c r="A27"/>
  <c r="C12" i="4"/>
  <c r="C13"/>
  <c r="G13" s="1"/>
  <c r="C14"/>
  <c r="G14" s="1"/>
  <c r="C15"/>
  <c r="C16"/>
  <c r="E17"/>
  <c r="G17" s="1"/>
  <c r="E18"/>
  <c r="G18" s="1"/>
  <c r="I18"/>
  <c r="E19"/>
  <c r="I19"/>
  <c r="E20"/>
  <c r="G20" s="1"/>
  <c r="Z20"/>
  <c r="E21"/>
  <c r="I21"/>
  <c r="E22"/>
  <c r="G22" s="1"/>
  <c r="I22"/>
  <c r="Q22"/>
  <c r="E23"/>
  <c r="G23" s="1"/>
  <c r="I23"/>
  <c r="Q23"/>
  <c r="E24"/>
  <c r="G24" s="1"/>
  <c r="I24"/>
  <c r="Q24"/>
  <c r="E25"/>
  <c r="I25"/>
  <c r="Q25"/>
  <c r="C26"/>
  <c r="C27"/>
  <c r="E28"/>
  <c r="G28" s="1"/>
  <c r="I28"/>
  <c r="Q28"/>
  <c r="E30"/>
  <c r="G30" s="1"/>
  <c r="I30"/>
  <c r="Q30"/>
  <c r="E16" i="5"/>
  <c r="E17"/>
  <c r="E18"/>
  <c r="E20"/>
  <c r="V21"/>
  <c r="E22"/>
  <c r="E11" i="6"/>
  <c r="E13"/>
  <c r="E17"/>
  <c r="V17"/>
  <c r="E19"/>
  <c r="E21"/>
  <c r="E23"/>
  <c r="G14" i="7"/>
  <c r="G53" i="8"/>
  <c r="G52"/>
  <c r="G51"/>
  <c r="G44"/>
  <c r="G33"/>
  <c r="G32"/>
  <c r="G31"/>
  <c r="G27"/>
  <c r="G24"/>
  <c r="G54"/>
  <c r="G43"/>
  <c r="G42"/>
  <c r="G41"/>
  <c r="G34"/>
  <c r="A37"/>
  <c r="G37" s="1"/>
  <c r="A35"/>
  <c r="G35" s="1"/>
  <c r="A47"/>
  <c r="G47" s="1"/>
  <c r="A45"/>
  <c r="G14"/>
  <c r="X18"/>
  <c r="G21"/>
  <c r="G22"/>
  <c r="G23"/>
  <c r="G25"/>
  <c r="A57"/>
  <c r="G57" s="1"/>
  <c r="A55"/>
  <c r="G11"/>
  <c r="G12"/>
  <c r="G13"/>
  <c r="G15"/>
  <c r="G17"/>
  <c r="F16" i="9"/>
  <c r="F12"/>
  <c r="F13"/>
  <c r="F19"/>
  <c r="F20"/>
  <c r="F21"/>
  <c r="F15"/>
  <c r="F17"/>
  <c r="W18"/>
  <c r="F23"/>
  <c r="F24"/>
  <c r="F25"/>
  <c r="F27"/>
  <c r="F28"/>
  <c r="F29"/>
  <c r="F31"/>
  <c r="F32"/>
  <c r="G25" i="4" l="1"/>
  <c r="G21"/>
  <c r="G19"/>
  <c r="G12"/>
  <c r="G11"/>
  <c r="E760" i="2"/>
  <c r="E742"/>
  <c r="K755"/>
  <c r="E739"/>
  <c r="K739" s="1"/>
  <c r="K752"/>
  <c r="E736"/>
  <c r="K736" s="1"/>
  <c r="K749"/>
  <c r="E733"/>
  <c r="K733" s="1"/>
  <c r="I697"/>
  <c r="I587"/>
  <c r="I574"/>
  <c r="I561"/>
  <c r="I534"/>
  <c r="I535" s="1"/>
  <c r="I527"/>
  <c r="I518"/>
  <c r="I121"/>
  <c r="I257"/>
  <c r="I217"/>
  <c r="I221" s="1"/>
  <c r="I169"/>
  <c r="I109"/>
  <c r="I97"/>
  <c r="K756"/>
  <c r="E740"/>
  <c r="K740" s="1"/>
  <c r="K753"/>
  <c r="E737"/>
  <c r="K737" s="1"/>
  <c r="K751"/>
  <c r="E735"/>
  <c r="K735" s="1"/>
  <c r="K697"/>
  <c r="I654"/>
  <c r="I673" s="1"/>
  <c r="I468"/>
  <c r="I470" s="1"/>
  <c r="I245"/>
  <c r="I181"/>
  <c r="I145"/>
  <c r="I61"/>
  <c r="I42"/>
  <c r="K12" i="3"/>
  <c r="M12" s="1"/>
  <c r="K553" i="2"/>
  <c r="C341"/>
  <c r="C357"/>
  <c r="E33"/>
  <c r="K33" s="1"/>
  <c r="E31"/>
  <c r="E34"/>
  <c r="E32"/>
  <c r="K32" s="1"/>
  <c r="E39"/>
  <c r="I716"/>
  <c r="I341"/>
  <c r="K126"/>
  <c r="E114"/>
  <c r="K114" s="1"/>
  <c r="K14"/>
  <c r="A21" i="1"/>
  <c r="K82" i="2"/>
  <c r="E70"/>
  <c r="K70" s="1"/>
  <c r="O57" i="8"/>
  <c r="O55"/>
  <c r="O53"/>
  <c r="O52"/>
  <c r="O51"/>
  <c r="O44"/>
  <c r="O37"/>
  <c r="O35"/>
  <c r="O33"/>
  <c r="O32"/>
  <c r="O31"/>
  <c r="O27"/>
  <c r="O24"/>
  <c r="O54"/>
  <c r="O47"/>
  <c r="O45"/>
  <c r="O43"/>
  <c r="O42"/>
  <c r="O41"/>
  <c r="O34"/>
  <c r="O17"/>
  <c r="O15"/>
  <c r="O13"/>
  <c r="O12"/>
  <c r="O11"/>
  <c r="O25"/>
  <c r="O23"/>
  <c r="O22"/>
  <c r="O21"/>
  <c r="O14"/>
  <c r="AE32" i="4"/>
  <c r="AC30"/>
  <c r="AE26"/>
  <c r="AC25"/>
  <c r="AE24"/>
  <c r="AC22"/>
  <c r="AC21"/>
  <c r="A28" i="8"/>
  <c r="G28" s="1"/>
  <c r="A26"/>
  <c r="O26" s="1"/>
  <c r="AE31" i="4"/>
  <c r="AE28"/>
  <c r="AC27"/>
  <c r="G50" i="3"/>
  <c r="T559" i="2"/>
  <c r="O559"/>
  <c r="O782"/>
  <c r="K782"/>
  <c r="E713"/>
  <c r="K713" s="1"/>
  <c r="K711"/>
  <c r="K714" s="1"/>
  <c r="K716" s="1"/>
  <c r="K668"/>
  <c r="E625"/>
  <c r="K625" s="1"/>
  <c r="E663"/>
  <c r="K661"/>
  <c r="E618"/>
  <c r="K657"/>
  <c r="E614"/>
  <c r="K614" s="1"/>
  <c r="K559"/>
  <c r="E546"/>
  <c r="K556"/>
  <c r="K554"/>
  <c r="K552"/>
  <c r="I45" i="3"/>
  <c r="I45" i="1"/>
  <c r="K492" i="2"/>
  <c r="K486"/>
  <c r="K479"/>
  <c r="K474"/>
  <c r="K466"/>
  <c r="K463"/>
  <c r="K461"/>
  <c r="K458"/>
  <c r="K454"/>
  <c r="K451"/>
  <c r="K448"/>
  <c r="K445"/>
  <c r="K443"/>
  <c r="K441"/>
  <c r="K438"/>
  <c r="K435"/>
  <c r="K431"/>
  <c r="E424"/>
  <c r="E422"/>
  <c r="E420"/>
  <c r="K404"/>
  <c r="K398"/>
  <c r="K393"/>
  <c r="K387"/>
  <c r="K383"/>
  <c r="K379"/>
  <c r="K373"/>
  <c r="K369"/>
  <c r="K77"/>
  <c r="E65"/>
  <c r="K65" s="1"/>
  <c r="T54"/>
  <c r="K48" i="3"/>
  <c r="K48" i="1"/>
  <c r="K637" i="2"/>
  <c r="E594"/>
  <c r="K594" s="1"/>
  <c r="K639"/>
  <c r="E596"/>
  <c r="K596" s="1"/>
  <c r="K658"/>
  <c r="E615"/>
  <c r="K615" s="1"/>
  <c r="K662"/>
  <c r="E619"/>
  <c r="K619" s="1"/>
  <c r="K667"/>
  <c r="E624"/>
  <c r="K624" s="1"/>
  <c r="G28" i="3"/>
  <c r="E337" i="2"/>
  <c r="K337" s="1"/>
  <c r="K345"/>
  <c r="K328"/>
  <c r="G28" i="1"/>
  <c r="I18" i="3"/>
  <c r="E323" i="2"/>
  <c r="K323" s="1"/>
  <c r="K322"/>
  <c r="E261"/>
  <c r="K261" s="1"/>
  <c r="K272"/>
  <c r="E177"/>
  <c r="K177" s="1"/>
  <c r="E175"/>
  <c r="K175" s="1"/>
  <c r="E173"/>
  <c r="K173" s="1"/>
  <c r="K131"/>
  <c r="E119"/>
  <c r="K119" s="1"/>
  <c r="O47"/>
  <c r="T47"/>
  <c r="O46"/>
  <c r="K46"/>
  <c r="O30"/>
  <c r="M36"/>
  <c r="T30"/>
  <c r="O29"/>
  <c r="K29"/>
  <c r="T20"/>
  <c r="O20"/>
  <c r="M56"/>
  <c r="K34" i="3"/>
  <c r="K34" i="1"/>
  <c r="K483" i="2"/>
  <c r="K475"/>
  <c r="K481"/>
  <c r="K485"/>
  <c r="K491"/>
  <c r="K432"/>
  <c r="K455"/>
  <c r="K437"/>
  <c r="K453"/>
  <c r="AE18" i="4"/>
  <c r="K242" i="2"/>
  <c r="E230"/>
  <c r="K230" s="1"/>
  <c r="K238"/>
  <c r="E226"/>
  <c r="K226" s="1"/>
  <c r="K165"/>
  <c r="E153"/>
  <c r="K153" s="1"/>
  <c r="K161"/>
  <c r="E149"/>
  <c r="K149" s="1"/>
  <c r="K78"/>
  <c r="E66"/>
  <c r="K66" s="1"/>
  <c r="O37"/>
  <c r="T37"/>
  <c r="K313"/>
  <c r="E305"/>
  <c r="K305" s="1"/>
  <c r="K273"/>
  <c r="E262"/>
  <c r="K262" s="1"/>
  <c r="E255"/>
  <c r="K255" s="1"/>
  <c r="K253"/>
  <c r="K257" s="1"/>
  <c r="E227"/>
  <c r="K227" s="1"/>
  <c r="K239"/>
  <c r="K164"/>
  <c r="G27" i="4"/>
  <c r="G16"/>
  <c r="G15"/>
  <c r="K518" i="2"/>
  <c r="K512"/>
  <c r="E421"/>
  <c r="E417"/>
  <c r="E415"/>
  <c r="E527"/>
  <c r="O585"/>
  <c r="E583"/>
  <c r="K583" s="1"/>
  <c r="E568"/>
  <c r="E129"/>
  <c r="E15"/>
  <c r="K15" s="1"/>
  <c r="M37" i="1"/>
  <c r="U37" s="1"/>
  <c r="U17"/>
  <c r="E178" i="2"/>
  <c r="K178" s="1"/>
  <c r="E174"/>
  <c r="K174" s="1"/>
  <c r="E167"/>
  <c r="I46" i="3"/>
  <c r="C157" i="2"/>
  <c r="N33" i="9"/>
  <c r="N32"/>
  <c r="N31"/>
  <c r="N29"/>
  <c r="N28"/>
  <c r="N27"/>
  <c r="N25"/>
  <c r="N24"/>
  <c r="N23"/>
  <c r="N17"/>
  <c r="N15"/>
  <c r="N21"/>
  <c r="N20"/>
  <c r="N19"/>
  <c r="N16"/>
  <c r="N13"/>
  <c r="N12"/>
  <c r="N11"/>
  <c r="A58" i="8"/>
  <c r="G58" s="1"/>
  <c r="A56"/>
  <c r="A48"/>
  <c r="G48" s="1"/>
  <c r="A46"/>
  <c r="O46" s="1"/>
  <c r="A38"/>
  <c r="G38" s="1"/>
  <c r="A36"/>
  <c r="O36" s="1"/>
  <c r="M29" i="6"/>
  <c r="M23"/>
  <c r="M21"/>
  <c r="M19"/>
  <c r="M17"/>
  <c r="M13"/>
  <c r="M11"/>
  <c r="M28"/>
  <c r="M27"/>
  <c r="M25"/>
  <c r="M24"/>
  <c r="M20"/>
  <c r="M16"/>
  <c r="M15"/>
  <c r="M12"/>
  <c r="M26" i="5"/>
  <c r="M24"/>
  <c r="M21"/>
  <c r="M18"/>
  <c r="M17"/>
  <c r="M16"/>
  <c r="M25"/>
  <c r="M22"/>
  <c r="M20"/>
  <c r="M14"/>
  <c r="M13"/>
  <c r="M12"/>
  <c r="M11"/>
  <c r="AC32" i="4"/>
  <c r="AE30"/>
  <c r="AC26"/>
  <c r="AE25"/>
  <c r="AC24"/>
  <c r="AE22"/>
  <c r="AC19"/>
  <c r="AA39"/>
  <c r="AE39" s="1"/>
  <c r="AC18"/>
  <c r="A18" i="8"/>
  <c r="G18" s="1"/>
  <c r="A16"/>
  <c r="A28" i="7"/>
  <c r="G28" s="1"/>
  <c r="A26"/>
  <c r="O54"/>
  <c r="O47"/>
  <c r="O45"/>
  <c r="O43"/>
  <c r="O42"/>
  <c r="O41"/>
  <c r="O34"/>
  <c r="O31"/>
  <c r="O27"/>
  <c r="O25"/>
  <c r="O23"/>
  <c r="O22"/>
  <c r="O21"/>
  <c r="O17"/>
  <c r="O57"/>
  <c r="O55"/>
  <c r="O53"/>
  <c r="O52"/>
  <c r="O51"/>
  <c r="O44"/>
  <c r="O37"/>
  <c r="O35"/>
  <c r="O33"/>
  <c r="O32"/>
  <c r="O28"/>
  <c r="O26"/>
  <c r="O24"/>
  <c r="O14"/>
  <c r="O15"/>
  <c r="O13"/>
  <c r="O12"/>
  <c r="O11"/>
  <c r="AC31" i="4"/>
  <c r="AC28"/>
  <c r="AE27"/>
  <c r="AC16"/>
  <c r="AC15"/>
  <c r="AC14"/>
  <c r="A58" i="7"/>
  <c r="G58" s="1"/>
  <c r="A56"/>
  <c r="A48"/>
  <c r="G48" s="1"/>
  <c r="A46"/>
  <c r="A38"/>
  <c r="G38" s="1"/>
  <c r="A36"/>
  <c r="S35" i="3"/>
  <c r="O35"/>
  <c r="Q35" s="1"/>
  <c r="T572" i="2"/>
  <c r="O572"/>
  <c r="A16" i="7"/>
  <c r="A18"/>
  <c r="G18" s="1"/>
  <c r="O781" i="2"/>
  <c r="O783" s="1"/>
  <c r="O787" s="1"/>
  <c r="M47" i="3" s="1"/>
  <c r="E783" i="2"/>
  <c r="K781"/>
  <c r="K783" s="1"/>
  <c r="K787" s="1"/>
  <c r="K670"/>
  <c r="E627"/>
  <c r="K627" s="1"/>
  <c r="K666"/>
  <c r="E623"/>
  <c r="K623" s="1"/>
  <c r="K659"/>
  <c r="E616"/>
  <c r="K616" s="1"/>
  <c r="K652"/>
  <c r="E609"/>
  <c r="K609" s="1"/>
  <c r="K649"/>
  <c r="E606"/>
  <c r="K606" s="1"/>
  <c r="K646"/>
  <c r="E603"/>
  <c r="K603" s="1"/>
  <c r="K644"/>
  <c r="E601"/>
  <c r="K601" s="1"/>
  <c r="E582"/>
  <c r="K582" s="1"/>
  <c r="E580"/>
  <c r="K580" s="1"/>
  <c r="E578"/>
  <c r="K578" s="1"/>
  <c r="K494"/>
  <c r="K488"/>
  <c r="K482"/>
  <c r="K477"/>
  <c r="K400"/>
  <c r="K396"/>
  <c r="K390"/>
  <c r="K385"/>
  <c r="K381"/>
  <c r="K377"/>
  <c r="K371"/>
  <c r="K367"/>
  <c r="K79"/>
  <c r="E67"/>
  <c r="K67" s="1"/>
  <c r="I12"/>
  <c r="I25" s="1"/>
  <c r="E12"/>
  <c r="S48" i="3"/>
  <c r="O48"/>
  <c r="Q48" s="1"/>
  <c r="K635" i="2"/>
  <c r="E592"/>
  <c r="K592" s="1"/>
  <c r="K638"/>
  <c r="E595"/>
  <c r="K595" s="1"/>
  <c r="K653"/>
  <c r="E610"/>
  <c r="K610" s="1"/>
  <c r="K660"/>
  <c r="E617"/>
  <c r="K617" s="1"/>
  <c r="K665"/>
  <c r="E622"/>
  <c r="K622" s="1"/>
  <c r="K669"/>
  <c r="E626"/>
  <c r="K626" s="1"/>
  <c r="E353"/>
  <c r="K353" s="1"/>
  <c r="E346"/>
  <c r="K346" s="1"/>
  <c r="K344"/>
  <c r="G29" i="3"/>
  <c r="G29" i="1"/>
  <c r="I500" i="2"/>
  <c r="I503" s="1"/>
  <c r="I427"/>
  <c r="E288"/>
  <c r="K288" s="1"/>
  <c r="K286"/>
  <c r="K290" s="1"/>
  <c r="E265"/>
  <c r="K265" s="1"/>
  <c r="K276"/>
  <c r="E263"/>
  <c r="K263" s="1"/>
  <c r="K274"/>
  <c r="K41" i="3"/>
  <c r="K41" i="1"/>
  <c r="E127" i="2"/>
  <c r="E125"/>
  <c r="E22"/>
  <c r="AC44" i="4"/>
  <c r="T19" i="2"/>
  <c r="M55"/>
  <c r="S34" i="3"/>
  <c r="O34"/>
  <c r="Q34" s="1"/>
  <c r="K489" i="2"/>
  <c r="K478"/>
  <c r="K484"/>
  <c r="K487"/>
  <c r="K493"/>
  <c r="K446"/>
  <c r="K459"/>
  <c r="K450"/>
  <c r="AA22" i="4"/>
  <c r="AB22" s="1"/>
  <c r="AB16"/>
  <c r="K240" i="2"/>
  <c r="E228"/>
  <c r="K228" s="1"/>
  <c r="K163"/>
  <c r="E151"/>
  <c r="K151" s="1"/>
  <c r="K141"/>
  <c r="K145" s="1"/>
  <c r="E140"/>
  <c r="K81"/>
  <c r="E80"/>
  <c r="E68" s="1"/>
  <c r="E69"/>
  <c r="K69" s="1"/>
  <c r="O48"/>
  <c r="K48"/>
  <c r="E59"/>
  <c r="K50"/>
  <c r="E315"/>
  <c r="K314"/>
  <c r="E306"/>
  <c r="E299"/>
  <c r="K299" s="1"/>
  <c r="K297"/>
  <c r="K301" s="1"/>
  <c r="E277"/>
  <c r="K275"/>
  <c r="E264"/>
  <c r="K264" s="1"/>
  <c r="E225"/>
  <c r="K225" s="1"/>
  <c r="K237"/>
  <c r="E229"/>
  <c r="K229" s="1"/>
  <c r="E243"/>
  <c r="K241"/>
  <c r="E150"/>
  <c r="K150" s="1"/>
  <c r="K162"/>
  <c r="E154"/>
  <c r="K166"/>
  <c r="G45" i="8"/>
  <c r="G55"/>
  <c r="G26" i="4"/>
  <c r="AB20"/>
  <c r="A20" i="3"/>
  <c r="K405" i="2"/>
  <c r="K409" s="1"/>
  <c r="A21" i="3"/>
  <c r="C548" i="2"/>
  <c r="E423"/>
  <c r="E418"/>
  <c r="E416"/>
  <c r="E414"/>
  <c r="I351"/>
  <c r="I357" s="1"/>
  <c r="E405"/>
  <c r="M12" i="1"/>
  <c r="I630" i="2"/>
  <c r="E581"/>
  <c r="E570"/>
  <c r="E566"/>
  <c r="K566" s="1"/>
  <c r="I133"/>
  <c r="K85"/>
  <c r="E35"/>
  <c r="E558"/>
  <c r="E17"/>
  <c r="M49" i="1"/>
  <c r="U49" s="1"/>
  <c r="M35"/>
  <c r="E16" i="2"/>
  <c r="K16" s="1"/>
  <c r="E57"/>
  <c r="E176"/>
  <c r="E152" s="1"/>
  <c r="E54"/>
  <c r="K54" s="1"/>
  <c r="I46" i="1"/>
  <c r="O49" i="2"/>
  <c r="E744" l="1"/>
  <c r="K744" s="1"/>
  <c r="K760"/>
  <c r="K761" s="1"/>
  <c r="A22" i="3"/>
  <c r="K325" i="2"/>
  <c r="K742"/>
  <c r="E745"/>
  <c r="K745"/>
  <c r="O13" i="3"/>
  <c r="O12"/>
  <c r="Q13" s="1"/>
  <c r="S13"/>
  <c r="K152" i="2"/>
  <c r="R155"/>
  <c r="S35" i="1"/>
  <c r="U35"/>
  <c r="K17" i="2"/>
  <c r="K35"/>
  <c r="O35"/>
  <c r="K570"/>
  <c r="E544"/>
  <c r="K544" s="1"/>
  <c r="K414"/>
  <c r="K418"/>
  <c r="K42" i="3"/>
  <c r="K42" i="1"/>
  <c r="K306" i="2"/>
  <c r="K315"/>
  <c r="E307"/>
  <c r="K307" s="1"/>
  <c r="O55"/>
  <c r="T55"/>
  <c r="E115"/>
  <c r="K115" s="1"/>
  <c r="K127"/>
  <c r="O12"/>
  <c r="K12"/>
  <c r="E19"/>
  <c r="A39" i="7"/>
  <c r="G36"/>
  <c r="A49"/>
  <c r="G46"/>
  <c r="A59"/>
  <c r="G56"/>
  <c r="A29"/>
  <c r="G26"/>
  <c r="A19" i="8"/>
  <c r="G16"/>
  <c r="I50" i="3"/>
  <c r="K129" i="2"/>
  <c r="E130"/>
  <c r="E128" s="1"/>
  <c r="E116" s="1"/>
  <c r="E121" s="1"/>
  <c r="E117"/>
  <c r="K117" s="1"/>
  <c r="E534"/>
  <c r="E524"/>
  <c r="K524" s="1"/>
  <c r="E523"/>
  <c r="K523" s="1"/>
  <c r="K417"/>
  <c r="K44" i="3"/>
  <c r="K44" i="1"/>
  <c r="G30"/>
  <c r="G38"/>
  <c r="G30" i="3"/>
  <c r="G38"/>
  <c r="G39" s="1"/>
  <c r="G52" s="1"/>
  <c r="K422" i="2"/>
  <c r="K546"/>
  <c r="O546"/>
  <c r="K618"/>
  <c r="K663"/>
  <c r="E620"/>
  <c r="K620" s="1"/>
  <c r="E40"/>
  <c r="K31"/>
  <c r="R41"/>
  <c r="K611"/>
  <c r="O48" i="7"/>
  <c r="O38"/>
  <c r="O56"/>
  <c r="K317" i="2"/>
  <c r="K468"/>
  <c r="K470" s="1"/>
  <c r="K495"/>
  <c r="K497" s="1"/>
  <c r="K628"/>
  <c r="O18" i="8"/>
  <c r="O16"/>
  <c r="O58"/>
  <c r="R21" i="2"/>
  <c r="Z37" i="4" s="1"/>
  <c r="A20" s="1"/>
  <c r="E23" i="2"/>
  <c r="R22" s="1"/>
  <c r="Z38" i="4" s="1"/>
  <c r="A17" s="1"/>
  <c r="I50" i="1"/>
  <c r="K176" i="2"/>
  <c r="E179"/>
  <c r="K179" s="1"/>
  <c r="K558"/>
  <c r="K561" s="1"/>
  <c r="K581"/>
  <c r="K587" s="1"/>
  <c r="E584"/>
  <c r="K584" s="1"/>
  <c r="O13" i="1"/>
  <c r="S13"/>
  <c r="K416" i="2"/>
  <c r="K423"/>
  <c r="K154"/>
  <c r="E231"/>
  <c r="K231" s="1"/>
  <c r="K233" s="1"/>
  <c r="K243"/>
  <c r="K277"/>
  <c r="K279" s="1"/>
  <c r="E266"/>
  <c r="K266" s="1"/>
  <c r="E113"/>
  <c r="K113" s="1"/>
  <c r="K125"/>
  <c r="O41" i="1"/>
  <c r="I798" i="2"/>
  <c r="K47" i="3"/>
  <c r="K47" i="1"/>
  <c r="S47" i="3"/>
  <c r="A19" i="7"/>
  <c r="G16"/>
  <c r="A39" i="8"/>
  <c r="G36"/>
  <c r="A49"/>
  <c r="G46"/>
  <c r="A59"/>
  <c r="G56"/>
  <c r="K167" i="2"/>
  <c r="K169" s="1"/>
  <c r="E155"/>
  <c r="K155" s="1"/>
  <c r="K568"/>
  <c r="E571"/>
  <c r="K571" s="1"/>
  <c r="K574" s="1"/>
  <c r="E542"/>
  <c r="K542" s="1"/>
  <c r="K415"/>
  <c r="K421"/>
  <c r="K45" i="3"/>
  <c r="K45" i="1"/>
  <c r="O34"/>
  <c r="V34" s="1"/>
  <c r="O56" i="2"/>
  <c r="T56"/>
  <c r="O36"/>
  <c r="T36"/>
  <c r="O48" i="1"/>
  <c r="V48" s="1"/>
  <c r="K420" i="2"/>
  <c r="K424"/>
  <c r="A29" i="8"/>
  <c r="G26"/>
  <c r="K34" i="2"/>
  <c r="K42" s="1"/>
  <c r="R42"/>
  <c r="K245"/>
  <c r="C798"/>
  <c r="K654"/>
  <c r="O46" i="7"/>
  <c r="O16"/>
  <c r="O18"/>
  <c r="O36"/>
  <c r="O58"/>
  <c r="A23" i="3"/>
  <c r="K309" i="2"/>
  <c r="K157"/>
  <c r="K61"/>
  <c r="K181"/>
  <c r="K268"/>
  <c r="O54"/>
  <c r="K73"/>
  <c r="E539"/>
  <c r="K539" s="1"/>
  <c r="E541"/>
  <c r="K541" s="1"/>
  <c r="E543"/>
  <c r="K543" s="1"/>
  <c r="K671"/>
  <c r="O28" i="8"/>
  <c r="O38"/>
  <c r="O56"/>
  <c r="O48"/>
  <c r="Q12" i="3"/>
  <c r="A22" i="1"/>
  <c r="O12"/>
  <c r="Q13" s="1"/>
  <c r="E38" i="2"/>
  <c r="E540"/>
  <c r="K540" s="1"/>
  <c r="G51" i="3" l="1"/>
  <c r="I36" i="1"/>
  <c r="I36" i="3"/>
  <c r="K36"/>
  <c r="K36" i="1"/>
  <c r="M48"/>
  <c r="S48" s="1"/>
  <c r="M34"/>
  <c r="S34" s="1"/>
  <c r="K24" i="3"/>
  <c r="K24" i="1"/>
  <c r="AC17" i="4"/>
  <c r="Q17"/>
  <c r="AD17"/>
  <c r="K20" i="3"/>
  <c r="K20" i="1"/>
  <c r="K25" i="3"/>
  <c r="K25" i="1"/>
  <c r="K16" i="3"/>
  <c r="K16" i="1"/>
  <c r="K21" i="3"/>
  <c r="K21" i="1"/>
  <c r="E331" i="2"/>
  <c r="K331" s="1"/>
  <c r="I28" i="3"/>
  <c r="E335" i="2"/>
  <c r="I28" i="1"/>
  <c r="E798" i="2"/>
  <c r="E332"/>
  <c r="K332" s="1"/>
  <c r="G59" i="8"/>
  <c r="O59"/>
  <c r="G49"/>
  <c r="O49"/>
  <c r="G39"/>
  <c r="O39"/>
  <c r="G19" i="7"/>
  <c r="O19"/>
  <c r="AF20" i="4"/>
  <c r="AE20"/>
  <c r="I20"/>
  <c r="G39" i="1"/>
  <c r="G52" s="1"/>
  <c r="G51"/>
  <c r="O44"/>
  <c r="V44" s="1"/>
  <c r="E530" i="2"/>
  <c r="K530" s="1"/>
  <c r="E531"/>
  <c r="K531" s="1"/>
  <c r="I22" i="3"/>
  <c r="I22" i="1"/>
  <c r="K19" i="2"/>
  <c r="O19"/>
  <c r="R17"/>
  <c r="R156"/>
  <c r="E21"/>
  <c r="E309"/>
  <c r="A23" i="1"/>
  <c r="S12" i="3"/>
  <c r="K26"/>
  <c r="K26" i="1"/>
  <c r="A24" i="3"/>
  <c r="G29" i="8"/>
  <c r="O29"/>
  <c r="O47" i="1"/>
  <c r="V47" s="1"/>
  <c r="V41"/>
  <c r="E118" i="2"/>
  <c r="K118" s="1"/>
  <c r="K130"/>
  <c r="K133" s="1"/>
  <c r="G19" i="8"/>
  <c r="O19"/>
  <c r="G29" i="7"/>
  <c r="O29"/>
  <c r="G59"/>
  <c r="O59"/>
  <c r="G49"/>
  <c r="O49"/>
  <c r="G39"/>
  <c r="O39"/>
  <c r="O42" i="1"/>
  <c r="V42" s="1"/>
  <c r="Q12"/>
  <c r="S12" s="1"/>
  <c r="K673" i="2"/>
  <c r="O47" i="3"/>
  <c r="Q47" s="1"/>
  <c r="M41" i="1"/>
  <c r="K121" i="2"/>
  <c r="E545"/>
  <c r="K545" s="1"/>
  <c r="K548" s="1"/>
  <c r="A24" i="1"/>
  <c r="K630" i="2"/>
  <c r="E630"/>
  <c r="E525"/>
  <c r="K525" s="1"/>
  <c r="K527" s="1"/>
  <c r="K25"/>
  <c r="K425"/>
  <c r="U34" i="1" l="1"/>
  <c r="U48"/>
  <c r="M42"/>
  <c r="M47"/>
  <c r="S47" s="1"/>
  <c r="K32" i="3"/>
  <c r="K32" i="1"/>
  <c r="K500" i="2"/>
  <c r="K503" s="1"/>
  <c r="K427"/>
  <c r="K15" i="3"/>
  <c r="K15" i="1"/>
  <c r="I33" i="3"/>
  <c r="I33" i="1"/>
  <c r="R214" i="2"/>
  <c r="S41" i="1"/>
  <c r="R361" i="2"/>
  <c r="S42" i="1"/>
  <c r="I23" i="3"/>
  <c r="AA37" i="4"/>
  <c r="AE37" s="1"/>
  <c r="AC20"/>
  <c r="E333" i="2"/>
  <c r="K333" s="1"/>
  <c r="I29" i="3"/>
  <c r="I30" s="1"/>
  <c r="E348" i="2"/>
  <c r="K348" s="1"/>
  <c r="E351"/>
  <c r="I29" i="1"/>
  <c r="I30" s="1"/>
  <c r="E347" i="2"/>
  <c r="K347" s="1"/>
  <c r="K27" i="3"/>
  <c r="A25" i="1"/>
  <c r="A26" s="1"/>
  <c r="A27" s="1"/>
  <c r="A28" s="1"/>
  <c r="A25" i="3"/>
  <c r="K33"/>
  <c r="K33" i="1"/>
  <c r="K22" i="3"/>
  <c r="K22" i="1"/>
  <c r="K23" s="1"/>
  <c r="I26" i="3"/>
  <c r="I27" s="1"/>
  <c r="I26" i="1"/>
  <c r="I27" s="1"/>
  <c r="I23"/>
  <c r="K27"/>
  <c r="AA38" i="4"/>
  <c r="AE38" s="1"/>
  <c r="AE17"/>
  <c r="E532" i="2"/>
  <c r="K532" s="1"/>
  <c r="K534" s="1"/>
  <c r="K535" s="1"/>
  <c r="M44" i="1"/>
  <c r="E339" i="2"/>
  <c r="E338" s="1"/>
  <c r="K338" s="1"/>
  <c r="K339" s="1"/>
  <c r="U47" i="1" l="1"/>
  <c r="I38"/>
  <c r="I51" s="1"/>
  <c r="E334" i="2"/>
  <c r="K334" s="1"/>
  <c r="K335" s="1"/>
  <c r="K341" s="1"/>
  <c r="K31" i="3"/>
  <c r="K31" i="1"/>
  <c r="R507" i="2"/>
  <c r="S44" i="1"/>
  <c r="A26" i="3"/>
  <c r="A27" s="1"/>
  <c r="A28" s="1"/>
  <c r="K18" i="1"/>
  <c r="K18" i="3"/>
  <c r="K43"/>
  <c r="K43" i="1"/>
  <c r="I38" i="3"/>
  <c r="I39" i="1"/>
  <c r="I52" s="1"/>
  <c r="E349" i="2"/>
  <c r="K349" s="1"/>
  <c r="R364"/>
  <c r="R217"/>
  <c r="A29" i="1"/>
  <c r="A30" s="1"/>
  <c r="A31" s="1"/>
  <c r="A32" s="1"/>
  <c r="A33" s="1"/>
  <c r="A34" s="1"/>
  <c r="A35" s="1"/>
  <c r="A36" s="1"/>
  <c r="A37" s="1"/>
  <c r="A38" s="1"/>
  <c r="A39" s="1"/>
  <c r="A41" s="1"/>
  <c r="A42" s="1"/>
  <c r="A43" s="1"/>
  <c r="A44" s="1"/>
  <c r="A45" s="1"/>
  <c r="A46" s="1"/>
  <c r="A47" s="1"/>
  <c r="A48" s="1"/>
  <c r="A49" s="1"/>
  <c r="A50" s="1"/>
  <c r="A51" s="1"/>
  <c r="A52" s="1"/>
  <c r="K23" i="3"/>
  <c r="E355" i="2"/>
  <c r="E354" s="1"/>
  <c r="K354" s="1"/>
  <c r="K355" s="1"/>
  <c r="K28" i="3" l="1"/>
  <c r="K28" i="1"/>
  <c r="M212" i="2"/>
  <c r="M210"/>
  <c r="M207"/>
  <c r="M205"/>
  <c r="M203"/>
  <c r="M200"/>
  <c r="M198"/>
  <c r="M196"/>
  <c r="M194"/>
  <c r="M192"/>
  <c r="M190"/>
  <c r="M187"/>
  <c r="M185"/>
  <c r="M216"/>
  <c r="M215"/>
  <c r="M214"/>
  <c r="M213"/>
  <c r="M211"/>
  <c r="M209"/>
  <c r="M206"/>
  <c r="M204"/>
  <c r="M202"/>
  <c r="M199"/>
  <c r="M197"/>
  <c r="M195"/>
  <c r="M193"/>
  <c r="M191"/>
  <c r="M188"/>
  <c r="M186"/>
  <c r="M404"/>
  <c r="M400"/>
  <c r="M398"/>
  <c r="M396"/>
  <c r="M393"/>
  <c r="M390"/>
  <c r="M387"/>
  <c r="M385"/>
  <c r="M383"/>
  <c r="M381"/>
  <c r="M379"/>
  <c r="M377"/>
  <c r="M373"/>
  <c r="M371"/>
  <c r="M369"/>
  <c r="M367"/>
  <c r="M402"/>
  <c r="M399"/>
  <c r="M397"/>
  <c r="M395"/>
  <c r="M392"/>
  <c r="M391"/>
  <c r="M389"/>
  <c r="M386"/>
  <c r="M384"/>
  <c r="M382"/>
  <c r="M380"/>
  <c r="M378"/>
  <c r="M375"/>
  <c r="M374"/>
  <c r="M372"/>
  <c r="M370"/>
  <c r="M368"/>
  <c r="M366"/>
  <c r="M365"/>
  <c r="M364"/>
  <c r="M363"/>
  <c r="M362"/>
  <c r="M361"/>
  <c r="A29" i="3"/>
  <c r="K46"/>
  <c r="R510" i="2"/>
  <c r="E350"/>
  <c r="K350" s="1"/>
  <c r="K351" s="1"/>
  <c r="K357" s="1"/>
  <c r="I39" i="3"/>
  <c r="I52" s="1"/>
  <c r="I51"/>
  <c r="O43" i="1"/>
  <c r="K46"/>
  <c r="A30" i="3"/>
  <c r="K29" l="1"/>
  <c r="K29" i="1"/>
  <c r="K798" i="2"/>
  <c r="V43" i="1"/>
  <c r="M509" i="2"/>
  <c r="M507"/>
  <c r="M506"/>
  <c r="T362"/>
  <c r="O362"/>
  <c r="T364"/>
  <c r="O364"/>
  <c r="T366"/>
  <c r="O366"/>
  <c r="T370"/>
  <c r="O370"/>
  <c r="T374"/>
  <c r="O374"/>
  <c r="T378"/>
  <c r="O378"/>
  <c r="T382"/>
  <c r="O382"/>
  <c r="T386"/>
  <c r="O386"/>
  <c r="T391"/>
  <c r="O391"/>
  <c r="T395"/>
  <c r="O395"/>
  <c r="T399"/>
  <c r="O399"/>
  <c r="T367"/>
  <c r="O367"/>
  <c r="T371"/>
  <c r="O371"/>
  <c r="T377"/>
  <c r="O377"/>
  <c r="T381"/>
  <c r="O381"/>
  <c r="T385"/>
  <c r="O385"/>
  <c r="T390"/>
  <c r="O390"/>
  <c r="T396"/>
  <c r="O396"/>
  <c r="T400"/>
  <c r="O400"/>
  <c r="O186"/>
  <c r="T186"/>
  <c r="O191"/>
  <c r="T191"/>
  <c r="O195"/>
  <c r="T195"/>
  <c r="O199"/>
  <c r="T199"/>
  <c r="O204"/>
  <c r="T204"/>
  <c r="O209"/>
  <c r="T209"/>
  <c r="T213"/>
  <c r="O213"/>
  <c r="T215"/>
  <c r="O215"/>
  <c r="T185"/>
  <c r="O185"/>
  <c r="T190"/>
  <c r="O190"/>
  <c r="T194"/>
  <c r="O194"/>
  <c r="T198"/>
  <c r="O198"/>
  <c r="T203"/>
  <c r="O203"/>
  <c r="T207"/>
  <c r="O207"/>
  <c r="T212"/>
  <c r="O212"/>
  <c r="A31" i="3"/>
  <c r="K50" i="1"/>
  <c r="K50" i="3"/>
  <c r="T361" i="2"/>
  <c r="O361"/>
  <c r="T363"/>
  <c r="O363"/>
  <c r="T365"/>
  <c r="O365"/>
  <c r="T368"/>
  <c r="O368"/>
  <c r="T372"/>
  <c r="O372"/>
  <c r="T375"/>
  <c r="O375"/>
  <c r="T380"/>
  <c r="O380"/>
  <c r="T384"/>
  <c r="O384"/>
  <c r="T389"/>
  <c r="O389"/>
  <c r="T392"/>
  <c r="O392"/>
  <c r="T397"/>
  <c r="O397"/>
  <c r="T402"/>
  <c r="O402"/>
  <c r="T369"/>
  <c r="O369"/>
  <c r="T373"/>
  <c r="O373"/>
  <c r="T379"/>
  <c r="O379"/>
  <c r="T383"/>
  <c r="O383"/>
  <c r="T387"/>
  <c r="O387"/>
  <c r="T393"/>
  <c r="O393"/>
  <c r="T398"/>
  <c r="O398"/>
  <c r="T404"/>
  <c r="O404"/>
  <c r="O188"/>
  <c r="T188"/>
  <c r="O193"/>
  <c r="T193"/>
  <c r="O197"/>
  <c r="T197"/>
  <c r="O202"/>
  <c r="T202"/>
  <c r="O206"/>
  <c r="T206"/>
  <c r="O211"/>
  <c r="T211"/>
  <c r="T214"/>
  <c r="O214"/>
  <c r="T216"/>
  <c r="O216"/>
  <c r="T187"/>
  <c r="O187"/>
  <c r="T192"/>
  <c r="O192"/>
  <c r="T196"/>
  <c r="O196"/>
  <c r="T200"/>
  <c r="O200"/>
  <c r="T205"/>
  <c r="O205"/>
  <c r="T210"/>
  <c r="O210"/>
  <c r="M43" i="1"/>
  <c r="R415" i="2" l="1"/>
  <c r="S43" i="1"/>
  <c r="T507" i="2"/>
  <c r="O507"/>
  <c r="K38" i="3"/>
  <c r="K30"/>
  <c r="O405" i="2"/>
  <c r="O409" s="1"/>
  <c r="A32" i="3"/>
  <c r="M508" i="2"/>
  <c r="T506"/>
  <c r="O506"/>
  <c r="T509"/>
  <c r="O509"/>
  <c r="K38" i="1"/>
  <c r="K39" s="1"/>
  <c r="K52" s="1"/>
  <c r="K30"/>
  <c r="O217" i="2"/>
  <c r="O221" s="1"/>
  <c r="O57" i="1" l="1"/>
  <c r="O58" s="1"/>
  <c r="O56"/>
  <c r="A33" i="3"/>
  <c r="M42"/>
  <c r="R360" i="2"/>
  <c r="Q409"/>
  <c r="R365"/>
  <c r="K39" i="3"/>
  <c r="R418" i="2"/>
  <c r="M41" i="3"/>
  <c r="R219" i="2"/>
  <c r="R218"/>
  <c r="R213"/>
  <c r="T508"/>
  <c r="O508"/>
  <c r="K51" i="1"/>
  <c r="O55" s="1"/>
  <c r="K51" i="3"/>
  <c r="R216" i="2" l="1"/>
  <c r="R215"/>
  <c r="K52" i="3"/>
  <c r="S42"/>
  <c r="O42"/>
  <c r="Q42" s="1"/>
  <c r="U42" i="1"/>
  <c r="O62"/>
  <c r="Q28" s="1"/>
  <c r="O60"/>
  <c r="Q16"/>
  <c r="O16" s="1"/>
  <c r="Q15"/>
  <c r="O15" s="1"/>
  <c r="O61"/>
  <c r="O59"/>
  <c r="S41" i="3"/>
  <c r="O41"/>
  <c r="U41" i="1"/>
  <c r="M494" i="2"/>
  <c r="M492"/>
  <c r="M489"/>
  <c r="M488"/>
  <c r="M486"/>
  <c r="M483"/>
  <c r="M482"/>
  <c r="M479"/>
  <c r="M477"/>
  <c r="M474"/>
  <c r="M466"/>
  <c r="M463"/>
  <c r="M461"/>
  <c r="M459"/>
  <c r="M458"/>
  <c r="M455"/>
  <c r="M454"/>
  <c r="M451"/>
  <c r="M448"/>
  <c r="M446"/>
  <c r="M445"/>
  <c r="M443"/>
  <c r="M441"/>
  <c r="M438"/>
  <c r="M435"/>
  <c r="M432"/>
  <c r="M431"/>
  <c r="M423"/>
  <c r="M421"/>
  <c r="M418"/>
  <c r="M417"/>
  <c r="M416"/>
  <c r="M415"/>
  <c r="M414"/>
  <c r="M493"/>
  <c r="M491"/>
  <c r="M487"/>
  <c r="M485"/>
  <c r="M484"/>
  <c r="M481"/>
  <c r="M478"/>
  <c r="M475"/>
  <c r="M467"/>
  <c r="M464"/>
  <c r="M462"/>
  <c r="M460"/>
  <c r="M457"/>
  <c r="M453"/>
  <c r="M452"/>
  <c r="M450"/>
  <c r="M449"/>
  <c r="M447"/>
  <c r="M444"/>
  <c r="M442"/>
  <c r="M439"/>
  <c r="M437"/>
  <c r="M436"/>
  <c r="M433"/>
  <c r="M424"/>
  <c r="M422"/>
  <c r="M420"/>
  <c r="R363"/>
  <c r="R362"/>
  <c r="A34" i="3"/>
  <c r="M510" i="2"/>
  <c r="A35" i="3" l="1"/>
  <c r="T420" i="2"/>
  <c r="O420"/>
  <c r="T424"/>
  <c r="O424"/>
  <c r="T436"/>
  <c r="O436"/>
  <c r="T439"/>
  <c r="O439"/>
  <c r="T444"/>
  <c r="O444"/>
  <c r="T449"/>
  <c r="O449"/>
  <c r="T452"/>
  <c r="O452"/>
  <c r="T457"/>
  <c r="O457"/>
  <c r="T462"/>
  <c r="O462"/>
  <c r="T467"/>
  <c r="O467"/>
  <c r="T478"/>
  <c r="O478"/>
  <c r="T484"/>
  <c r="O484"/>
  <c r="T487"/>
  <c r="O487"/>
  <c r="T493"/>
  <c r="O493"/>
  <c r="T415"/>
  <c r="O415"/>
  <c r="T417"/>
  <c r="O417"/>
  <c r="T421"/>
  <c r="O421"/>
  <c r="T431"/>
  <c r="O431"/>
  <c r="T435"/>
  <c r="O435"/>
  <c r="T441"/>
  <c r="O441"/>
  <c r="T445"/>
  <c r="O445"/>
  <c r="T448"/>
  <c r="O448"/>
  <c r="T454"/>
  <c r="O454"/>
  <c r="T458"/>
  <c r="O458"/>
  <c r="T461"/>
  <c r="O461"/>
  <c r="T466"/>
  <c r="O466"/>
  <c r="T477"/>
  <c r="O477"/>
  <c r="T482"/>
  <c r="O482"/>
  <c r="T486"/>
  <c r="O486"/>
  <c r="T489"/>
  <c r="O489"/>
  <c r="T494"/>
  <c r="O494"/>
  <c r="Q41" i="3"/>
  <c r="Q36" i="1"/>
  <c r="O36" s="1"/>
  <c r="Q33"/>
  <c r="O33" s="1"/>
  <c r="Q31"/>
  <c r="O31" s="1"/>
  <c r="Q25"/>
  <c r="V16"/>
  <c r="M16"/>
  <c r="Q29"/>
  <c r="O29" s="1"/>
  <c r="O28"/>
  <c r="T510" i="2"/>
  <c r="O510"/>
  <c r="O512" s="1"/>
  <c r="T422"/>
  <c r="O422"/>
  <c r="T433"/>
  <c r="O433"/>
  <c r="T437"/>
  <c r="O437"/>
  <c r="T442"/>
  <c r="O442"/>
  <c r="T447"/>
  <c r="O447"/>
  <c r="T450"/>
  <c r="O450"/>
  <c r="T453"/>
  <c r="O453"/>
  <c r="T460"/>
  <c r="O460"/>
  <c r="T464"/>
  <c r="O464"/>
  <c r="T475"/>
  <c r="O475"/>
  <c r="T481"/>
  <c r="O481"/>
  <c r="T485"/>
  <c r="O485"/>
  <c r="T491"/>
  <c r="O491"/>
  <c r="T414"/>
  <c r="O414"/>
  <c r="T416"/>
  <c r="O416"/>
  <c r="T418"/>
  <c r="O418"/>
  <c r="T423"/>
  <c r="O423"/>
  <c r="T432"/>
  <c r="O432"/>
  <c r="T438"/>
  <c r="O438"/>
  <c r="T443"/>
  <c r="O443"/>
  <c r="T446"/>
  <c r="O446"/>
  <c r="T451"/>
  <c r="O451"/>
  <c r="T455"/>
  <c r="O455"/>
  <c r="T459"/>
  <c r="O459"/>
  <c r="T463"/>
  <c r="O463"/>
  <c r="T474"/>
  <c r="O474"/>
  <c r="T479"/>
  <c r="O479"/>
  <c r="T483"/>
  <c r="O483"/>
  <c r="T488"/>
  <c r="O488"/>
  <c r="T492"/>
  <c r="O492"/>
  <c r="Q20" i="1"/>
  <c r="Q32"/>
  <c r="O32" s="1"/>
  <c r="O18"/>
  <c r="V15"/>
  <c r="M15"/>
  <c r="Q45"/>
  <c r="O45" s="1"/>
  <c r="Q24"/>
  <c r="O24" s="1"/>
  <c r="V45" l="1"/>
  <c r="M45"/>
  <c r="O46"/>
  <c r="M44" i="3"/>
  <c r="R511" i="2"/>
  <c r="R506"/>
  <c r="V24" i="1"/>
  <c r="M24"/>
  <c r="S15"/>
  <c r="M18"/>
  <c r="S18" s="1"/>
  <c r="R12" i="2"/>
  <c r="V18" i="1"/>
  <c r="Q18"/>
  <c r="Q21"/>
  <c r="O21" s="1"/>
  <c r="Q22"/>
  <c r="O22" s="1"/>
  <c r="O20"/>
  <c r="V29"/>
  <c r="M29"/>
  <c r="V31"/>
  <c r="M31"/>
  <c r="V36"/>
  <c r="M36"/>
  <c r="O425" i="2"/>
  <c r="V32" i="1"/>
  <c r="M32"/>
  <c r="O30"/>
  <c r="V28"/>
  <c r="M28"/>
  <c r="S16"/>
  <c r="Q26"/>
  <c r="O26" s="1"/>
  <c r="O25"/>
  <c r="V33"/>
  <c r="M33"/>
  <c r="A36" i="3"/>
  <c r="O495" i="2"/>
  <c r="O497" s="1"/>
  <c r="O468"/>
  <c r="O470" s="1"/>
  <c r="A37" i="3" l="1"/>
  <c r="R592" i="2"/>
  <c r="S33" i="1"/>
  <c r="O27"/>
  <c r="V25"/>
  <c r="M25"/>
  <c r="S28"/>
  <c r="M30"/>
  <c r="V30"/>
  <c r="Q30"/>
  <c r="S36"/>
  <c r="R530" i="2"/>
  <c r="S31" i="1"/>
  <c r="S29"/>
  <c r="O23"/>
  <c r="V20"/>
  <c r="O38"/>
  <c r="M20"/>
  <c r="V21"/>
  <c r="M21"/>
  <c r="Q46"/>
  <c r="O50"/>
  <c r="V46"/>
  <c r="V26"/>
  <c r="M26"/>
  <c r="R539" i="2"/>
  <c r="S32" i="1"/>
  <c r="O500" i="2"/>
  <c r="O503" s="1"/>
  <c r="O427"/>
  <c r="V22" i="1"/>
  <c r="M22"/>
  <c r="R16" i="2"/>
  <c r="R15"/>
  <c r="S24" i="1"/>
  <c r="R226" i="2"/>
  <c r="R509"/>
  <c r="R508"/>
  <c r="S44" i="3"/>
  <c r="O44"/>
  <c r="Q44" s="1"/>
  <c r="U44" i="1"/>
  <c r="R515" i="2"/>
  <c r="S45" i="1"/>
  <c r="M46"/>
  <c r="M50" l="1"/>
  <c r="S46"/>
  <c r="M16" i="2"/>
  <c r="M15"/>
  <c r="M14"/>
  <c r="S22" i="1"/>
  <c r="R543" i="2"/>
  <c r="R542"/>
  <c r="Q50" i="1"/>
  <c r="O51"/>
  <c r="V50"/>
  <c r="Q38"/>
  <c r="O39"/>
  <c r="V38"/>
  <c r="V23"/>
  <c r="Q23"/>
  <c r="R595" i="2"/>
  <c r="R518"/>
  <c r="M515" s="1"/>
  <c r="R229"/>
  <c r="M224" s="1"/>
  <c r="M43" i="3"/>
  <c r="R419" i="2"/>
  <c r="R414"/>
  <c r="Q503"/>
  <c r="S26" i="1"/>
  <c r="R304" i="2"/>
  <c r="S21" i="1"/>
  <c r="R149" i="2"/>
  <c r="S20" i="1"/>
  <c r="M23"/>
  <c r="S23" s="1"/>
  <c r="R68" i="2"/>
  <c r="M38" i="1"/>
  <c r="R533" i="2"/>
  <c r="M522" s="1"/>
  <c r="R335"/>
  <c r="S30" i="1"/>
  <c r="S25"/>
  <c r="R261" i="2"/>
  <c r="M27" i="1"/>
  <c r="S27" s="1"/>
  <c r="V27"/>
  <c r="Q27"/>
  <c r="A38" i="3"/>
  <c r="R264" i="2" l="1"/>
  <c r="M260" s="1"/>
  <c r="R337"/>
  <c r="R71"/>
  <c r="M64" s="1"/>
  <c r="T515"/>
  <c r="O515"/>
  <c r="Q39" i="1"/>
  <c r="V39"/>
  <c r="O52"/>
  <c r="U57" s="1"/>
  <c r="AA14" i="4"/>
  <c r="AB14" s="1"/>
  <c r="T15" i="2"/>
  <c r="O15"/>
  <c r="M51"/>
  <c r="M32"/>
  <c r="A39" i="3"/>
  <c r="T522" i="2"/>
  <c r="M529"/>
  <c r="O522"/>
  <c r="M39" i="1"/>
  <c r="S38"/>
  <c r="R152" i="2"/>
  <c r="R307"/>
  <c r="R417"/>
  <c r="R416"/>
  <c r="S43" i="3"/>
  <c r="O43"/>
  <c r="U43" i="1"/>
  <c r="Y10" i="7"/>
  <c r="T224" i="2"/>
  <c r="M236"/>
  <c r="R231"/>
  <c r="O224"/>
  <c r="R548"/>
  <c r="Q51" i="1"/>
  <c r="V51"/>
  <c r="M544" i="2"/>
  <c r="M543"/>
  <c r="M542"/>
  <c r="M541"/>
  <c r="M540"/>
  <c r="M539"/>
  <c r="AA13" i="4"/>
  <c r="M58" i="2"/>
  <c r="O58" s="1"/>
  <c r="M50"/>
  <c r="M31"/>
  <c r="M22"/>
  <c r="O22" s="1"/>
  <c r="T14"/>
  <c r="O14"/>
  <c r="AA15" i="4"/>
  <c r="AB15" s="1"/>
  <c r="M52" i="2"/>
  <c r="M33"/>
  <c r="T16"/>
  <c r="O16"/>
  <c r="M51" i="1"/>
  <c r="S51" s="1"/>
  <c r="S50"/>
  <c r="T33" i="2" l="1"/>
  <c r="O33"/>
  <c r="T31"/>
  <c r="M39"/>
  <c r="O39" s="1"/>
  <c r="O31"/>
  <c r="W14" i="5"/>
  <c r="M578" i="2"/>
  <c r="M565"/>
  <c r="M552"/>
  <c r="T539"/>
  <c r="O539"/>
  <c r="W15" i="5"/>
  <c r="W23" s="1"/>
  <c r="M580" i="2"/>
  <c r="M567"/>
  <c r="M554"/>
  <c r="T541"/>
  <c r="O541"/>
  <c r="W17" i="5"/>
  <c r="M582" i="2"/>
  <c r="M569"/>
  <c r="M556"/>
  <c r="T543"/>
  <c r="O543"/>
  <c r="Q43" i="3"/>
  <c r="O51" i="2"/>
  <c r="T51"/>
  <c r="Q52" i="1"/>
  <c r="V52"/>
  <c r="W10" i="6"/>
  <c r="M136" i="2"/>
  <c r="M100"/>
  <c r="M88"/>
  <c r="M76"/>
  <c r="M71"/>
  <c r="T64"/>
  <c r="M148"/>
  <c r="M124"/>
  <c r="R72"/>
  <c r="O64"/>
  <c r="Y10" i="8"/>
  <c r="M282" i="2"/>
  <c r="T260"/>
  <c r="O260"/>
  <c r="M304"/>
  <c r="M293"/>
  <c r="M271"/>
  <c r="R266"/>
  <c r="T52"/>
  <c r="O52"/>
  <c r="T50"/>
  <c r="O50"/>
  <c r="K29" i="4"/>
  <c r="K27"/>
  <c r="K26"/>
  <c r="K16"/>
  <c r="K15"/>
  <c r="K14"/>
  <c r="K13"/>
  <c r="K12"/>
  <c r="K10"/>
  <c r="K31"/>
  <c r="K30"/>
  <c r="K28"/>
  <c r="K25"/>
  <c r="K24"/>
  <c r="K23"/>
  <c r="K22"/>
  <c r="K21"/>
  <c r="K20"/>
  <c r="K19"/>
  <c r="K18"/>
  <c r="AB13"/>
  <c r="K11"/>
  <c r="AA45"/>
  <c r="AC45"/>
  <c r="W22" i="5"/>
  <c r="T540" i="2"/>
  <c r="O540"/>
  <c r="M579"/>
  <c r="M566"/>
  <c r="M553"/>
  <c r="W16" i="5"/>
  <c r="T542" i="2"/>
  <c r="O542"/>
  <c r="M581"/>
  <c r="M568"/>
  <c r="M555"/>
  <c r="W24" i="5"/>
  <c r="T544" i="2"/>
  <c r="O544"/>
  <c r="M583"/>
  <c r="M570"/>
  <c r="M557"/>
  <c r="R230"/>
  <c r="O236"/>
  <c r="M248"/>
  <c r="T236"/>
  <c r="Y19" i="7"/>
  <c r="S39" i="1"/>
  <c r="M52"/>
  <c r="S52" s="1"/>
  <c r="T529" i="2"/>
  <c r="O529"/>
  <c r="A41" i="3"/>
  <c r="O32" i="2"/>
  <c r="T32"/>
  <c r="M516"/>
  <c r="M330"/>
  <c r="M329"/>
  <c r="M328"/>
  <c r="M17" l="1"/>
  <c r="AA21" i="4" s="1"/>
  <c r="M345" i="2"/>
  <c r="O329"/>
  <c r="T329"/>
  <c r="A42" i="3"/>
  <c r="M344" i="2"/>
  <c r="O328"/>
  <c r="T328"/>
  <c r="X10" i="9"/>
  <c r="T330" i="2"/>
  <c r="M346"/>
  <c r="M337"/>
  <c r="O330"/>
  <c r="O248"/>
  <c r="T248"/>
  <c r="M230"/>
  <c r="M229"/>
  <c r="M228"/>
  <c r="M227"/>
  <c r="M226"/>
  <c r="M225"/>
  <c r="O570"/>
  <c r="T570"/>
  <c r="O568"/>
  <c r="T568"/>
  <c r="G13" i="5"/>
  <c r="G12"/>
  <c r="G11"/>
  <c r="G14"/>
  <c r="O566" i="2"/>
  <c r="T566"/>
  <c r="M19" i="4"/>
  <c r="AD19"/>
  <c r="O19"/>
  <c r="AD21"/>
  <c r="M21"/>
  <c r="O21"/>
  <c r="AD24"/>
  <c r="M23"/>
  <c r="O23"/>
  <c r="M25"/>
  <c r="AD26"/>
  <c r="O25"/>
  <c r="M30"/>
  <c r="AD32"/>
  <c r="O30"/>
  <c r="AD10"/>
  <c r="M10"/>
  <c r="O10"/>
  <c r="AD13"/>
  <c r="M13"/>
  <c r="O13"/>
  <c r="AD15"/>
  <c r="M15"/>
  <c r="O15"/>
  <c r="AD27"/>
  <c r="M26"/>
  <c r="O26"/>
  <c r="AD31"/>
  <c r="M29"/>
  <c r="O29"/>
  <c r="O271" i="2"/>
  <c r="T271"/>
  <c r="M320"/>
  <c r="T304"/>
  <c r="O304"/>
  <c r="M312"/>
  <c r="O312" s="1"/>
  <c r="Y18" i="8"/>
  <c r="M160" i="2"/>
  <c r="T148"/>
  <c r="O148"/>
  <c r="M172"/>
  <c r="M131"/>
  <c r="M143"/>
  <c r="M83"/>
  <c r="T71"/>
  <c r="O71"/>
  <c r="T88"/>
  <c r="O88"/>
  <c r="T136"/>
  <c r="O136"/>
  <c r="T556"/>
  <c r="O556"/>
  <c r="T582"/>
  <c r="O582"/>
  <c r="T554"/>
  <c r="O554"/>
  <c r="T580"/>
  <c r="O580"/>
  <c r="M545"/>
  <c r="T552"/>
  <c r="O552"/>
  <c r="T578"/>
  <c r="O578"/>
  <c r="R534"/>
  <c r="T516"/>
  <c r="O516"/>
  <c r="O518" s="1"/>
  <c r="O557"/>
  <c r="T557"/>
  <c r="O583"/>
  <c r="T583"/>
  <c r="O555"/>
  <c r="T555"/>
  <c r="O581"/>
  <c r="T581"/>
  <c r="O553"/>
  <c r="T553"/>
  <c r="O579"/>
  <c r="T579"/>
  <c r="M11" i="4"/>
  <c r="AD11"/>
  <c r="O11"/>
  <c r="AD18"/>
  <c r="M18"/>
  <c r="O18"/>
  <c r="AB37"/>
  <c r="AD20"/>
  <c r="M20"/>
  <c r="O20"/>
  <c r="AD22"/>
  <c r="M22"/>
  <c r="O22"/>
  <c r="M24"/>
  <c r="AD25"/>
  <c r="O24"/>
  <c r="AD30"/>
  <c r="M28"/>
  <c r="O28"/>
  <c r="M31"/>
  <c r="AD33"/>
  <c r="O31"/>
  <c r="AD12"/>
  <c r="M12"/>
  <c r="O12"/>
  <c r="AD14"/>
  <c r="M14"/>
  <c r="O14"/>
  <c r="AD16"/>
  <c r="M16"/>
  <c r="O16"/>
  <c r="AD28"/>
  <c r="M27"/>
  <c r="O27"/>
  <c r="O293" i="2"/>
  <c r="T293"/>
  <c r="R265"/>
  <c r="T282"/>
  <c r="O282"/>
  <c r="O124"/>
  <c r="T124"/>
  <c r="M112"/>
  <c r="T76"/>
  <c r="O76"/>
  <c r="T100"/>
  <c r="O100"/>
  <c r="W17" i="6"/>
  <c r="T569" i="2"/>
  <c r="O569"/>
  <c r="T567"/>
  <c r="O567"/>
  <c r="T565"/>
  <c r="O565"/>
  <c r="G26" i="5"/>
  <c r="G16"/>
  <c r="G18"/>
  <c r="G22"/>
  <c r="G25"/>
  <c r="G24"/>
  <c r="G17"/>
  <c r="G20"/>
  <c r="G21"/>
  <c r="O17" i="2" l="1"/>
  <c r="M34"/>
  <c r="T34" s="1"/>
  <c r="M59"/>
  <c r="O59" s="1"/>
  <c r="M23"/>
  <c r="O23" s="1"/>
  <c r="M53"/>
  <c r="T53" s="1"/>
  <c r="T17"/>
  <c r="I20" i="5"/>
  <c r="K20"/>
  <c r="I24"/>
  <c r="K24"/>
  <c r="I22"/>
  <c r="K22"/>
  <c r="I16"/>
  <c r="K16"/>
  <c r="T112" i="2"/>
  <c r="O112"/>
  <c r="AF37" i="4"/>
  <c r="AD37"/>
  <c r="AC37"/>
  <c r="M524" i="2"/>
  <c r="M531"/>
  <c r="M525"/>
  <c r="M523"/>
  <c r="W25" i="5"/>
  <c r="M584" i="2"/>
  <c r="M571"/>
  <c r="M558"/>
  <c r="O545"/>
  <c r="O548" s="1"/>
  <c r="T545"/>
  <c r="M119"/>
  <c r="O83"/>
  <c r="M107"/>
  <c r="M95"/>
  <c r="T83"/>
  <c r="T131"/>
  <c r="O131"/>
  <c r="R153"/>
  <c r="T160"/>
  <c r="O160"/>
  <c r="R309"/>
  <c r="T320"/>
  <c r="O320"/>
  <c r="I14" i="5"/>
  <c r="K14"/>
  <c r="I12"/>
  <c r="K12"/>
  <c r="Y11" i="7"/>
  <c r="Y20" s="1"/>
  <c r="M614" i="2"/>
  <c r="M237"/>
  <c r="T225"/>
  <c r="O225"/>
  <c r="Y21" i="7"/>
  <c r="M616" i="2"/>
  <c r="M239"/>
  <c r="T227"/>
  <c r="O227"/>
  <c r="Y14" i="7"/>
  <c r="M618" i="2"/>
  <c r="M241"/>
  <c r="T229"/>
  <c r="O229"/>
  <c r="T337"/>
  <c r="O337"/>
  <c r="M353"/>
  <c r="O344"/>
  <c r="T344"/>
  <c r="S29" i="4"/>
  <c r="S27"/>
  <c r="S26"/>
  <c r="AB21"/>
  <c r="S16"/>
  <c r="S15"/>
  <c r="S14"/>
  <c r="S13"/>
  <c r="S12"/>
  <c r="S10"/>
  <c r="S31"/>
  <c r="S30"/>
  <c r="S28"/>
  <c r="S25"/>
  <c r="S24"/>
  <c r="S23"/>
  <c r="S22"/>
  <c r="S21"/>
  <c r="S19"/>
  <c r="S11"/>
  <c r="S18"/>
  <c r="AA46"/>
  <c r="AC46"/>
  <c r="S17"/>
  <c r="I21" i="5"/>
  <c r="K21"/>
  <c r="I17"/>
  <c r="K17"/>
  <c r="I25"/>
  <c r="K25"/>
  <c r="I18"/>
  <c r="K18"/>
  <c r="I26"/>
  <c r="K26"/>
  <c r="M265" i="2"/>
  <c r="M264"/>
  <c r="M263"/>
  <c r="M262"/>
  <c r="M261"/>
  <c r="M45" i="3"/>
  <c r="R514" i="2"/>
  <c r="T143"/>
  <c r="O143"/>
  <c r="O172"/>
  <c r="T172"/>
  <c r="I11" i="5"/>
  <c r="K11"/>
  <c r="I13"/>
  <c r="K13"/>
  <c r="Y12" i="7"/>
  <c r="M615" i="2"/>
  <c r="T226"/>
  <c r="O226"/>
  <c r="M238"/>
  <c r="Y13" i="7"/>
  <c r="Y22" s="1"/>
  <c r="M617" i="2"/>
  <c r="T228"/>
  <c r="O228"/>
  <c r="M240"/>
  <c r="Y23" i="7"/>
  <c r="M619" i="2"/>
  <c r="T230"/>
  <c r="O230"/>
  <c r="M242"/>
  <c r="O346"/>
  <c r="T346"/>
  <c r="X18" i="9"/>
  <c r="A43" i="3"/>
  <c r="T345" i="2"/>
  <c r="O345"/>
  <c r="M40"/>
  <c r="O40" s="1"/>
  <c r="O34" l="1"/>
  <c r="O42" s="1"/>
  <c r="O53"/>
  <c r="O61" s="1"/>
  <c r="R60" s="1"/>
  <c r="O25"/>
  <c r="R18" s="1"/>
  <c r="O242"/>
  <c r="M254"/>
  <c r="T242"/>
  <c r="O617"/>
  <c r="M703"/>
  <c r="M660"/>
  <c r="T617"/>
  <c r="O238"/>
  <c r="M250"/>
  <c r="T238"/>
  <c r="R517"/>
  <c r="R516"/>
  <c r="Y11" i="8"/>
  <c r="Y19" s="1"/>
  <c r="M622" i="2"/>
  <c r="M294"/>
  <c r="M272"/>
  <c r="T261"/>
  <c r="O261"/>
  <c r="M305"/>
  <c r="M283"/>
  <c r="Y20" i="8"/>
  <c r="M767" i="2"/>
  <c r="M740"/>
  <c r="M756"/>
  <c r="M624"/>
  <c r="M296"/>
  <c r="M274"/>
  <c r="T263"/>
  <c r="O263"/>
  <c r="M285"/>
  <c r="Y21" i="8"/>
  <c r="M769" i="2"/>
  <c r="M743"/>
  <c r="M759"/>
  <c r="M626"/>
  <c r="M298"/>
  <c r="M276"/>
  <c r="T265"/>
  <c r="O265"/>
  <c r="M287"/>
  <c r="AF18" i="4"/>
  <c r="U18"/>
  <c r="W18"/>
  <c r="AB39"/>
  <c r="U19"/>
  <c r="AF19"/>
  <c r="W19"/>
  <c r="AF22"/>
  <c r="U22"/>
  <c r="W22"/>
  <c r="U24"/>
  <c r="AF25"/>
  <c r="W24"/>
  <c r="AF30"/>
  <c r="U28"/>
  <c r="W28"/>
  <c r="U31"/>
  <c r="AF33"/>
  <c r="W31"/>
  <c r="AF12"/>
  <c r="U12"/>
  <c r="W12"/>
  <c r="AF14"/>
  <c r="U14"/>
  <c r="W14"/>
  <c r="AF16"/>
  <c r="U16"/>
  <c r="W16"/>
  <c r="AF27"/>
  <c r="U26"/>
  <c r="W26"/>
  <c r="AF31"/>
  <c r="U29"/>
  <c r="W29"/>
  <c r="M16" i="3"/>
  <c r="M704" i="2"/>
  <c r="M661"/>
  <c r="T618"/>
  <c r="O618"/>
  <c r="M251"/>
  <c r="T239"/>
  <c r="O239"/>
  <c r="M700"/>
  <c r="M657"/>
  <c r="T614"/>
  <c r="O614"/>
  <c r="M154"/>
  <c r="M153"/>
  <c r="M152"/>
  <c r="M151"/>
  <c r="M150"/>
  <c r="M149"/>
  <c r="O95"/>
  <c r="T95"/>
  <c r="T558"/>
  <c r="O558"/>
  <c r="O561" s="1"/>
  <c r="R561" s="1"/>
  <c r="T584"/>
  <c r="O584"/>
  <c r="O587" s="1"/>
  <c r="R587" s="1"/>
  <c r="O523"/>
  <c r="M530"/>
  <c r="T523"/>
  <c r="T531"/>
  <c r="O531"/>
  <c r="A44" i="3"/>
  <c r="O619" i="2"/>
  <c r="M705"/>
  <c r="M662"/>
  <c r="T619"/>
  <c r="O240"/>
  <c r="M252"/>
  <c r="T240"/>
  <c r="O615"/>
  <c r="M701"/>
  <c r="M658"/>
  <c r="T615"/>
  <c r="S45" i="3"/>
  <c r="O45"/>
  <c r="U45" i="1"/>
  <c r="U46" s="1"/>
  <c r="U50" s="1"/>
  <c r="M46" i="3"/>
  <c r="Y12" i="8"/>
  <c r="M766" i="2"/>
  <c r="M623"/>
  <c r="M755"/>
  <c r="M739"/>
  <c r="M284"/>
  <c r="T262"/>
  <c r="O262"/>
  <c r="M295"/>
  <c r="M273"/>
  <c r="Y13" i="8"/>
  <c r="M768" i="2"/>
  <c r="M625"/>
  <c r="M758"/>
  <c r="M742"/>
  <c r="M286"/>
  <c r="T264"/>
  <c r="O264"/>
  <c r="M297"/>
  <c r="M275"/>
  <c r="U17" i="4"/>
  <c r="AB38"/>
  <c r="AF17"/>
  <c r="W17"/>
  <c r="U11"/>
  <c r="AF11"/>
  <c r="W11"/>
  <c r="AF21"/>
  <c r="U21"/>
  <c r="W21"/>
  <c r="AF24"/>
  <c r="U23"/>
  <c r="W23"/>
  <c r="U25"/>
  <c r="AF26"/>
  <c r="W25"/>
  <c r="U30"/>
  <c r="AF32"/>
  <c r="W30"/>
  <c r="AF10"/>
  <c r="U10"/>
  <c r="W10"/>
  <c r="AF13"/>
  <c r="U13"/>
  <c r="W13"/>
  <c r="AF15"/>
  <c r="U15"/>
  <c r="W15"/>
  <c r="AF28"/>
  <c r="U27"/>
  <c r="W27"/>
  <c r="O353" i="2"/>
  <c r="R339" s="1"/>
  <c r="T353"/>
  <c r="M253"/>
  <c r="T241"/>
  <c r="O241"/>
  <c r="M702"/>
  <c r="M659"/>
  <c r="T616"/>
  <c r="O616"/>
  <c r="M231"/>
  <c r="M249"/>
  <c r="T237"/>
  <c r="O237"/>
  <c r="O107"/>
  <c r="T107"/>
  <c r="T119"/>
  <c r="O119"/>
  <c r="M32" i="3"/>
  <c r="R538" i="2"/>
  <c r="T571"/>
  <c r="O571"/>
  <c r="O574" s="1"/>
  <c r="R574" s="1"/>
  <c r="O14" i="5"/>
  <c r="O13"/>
  <c r="O22"/>
  <c r="O21"/>
  <c r="O25"/>
  <c r="O24"/>
  <c r="O16"/>
  <c r="O12"/>
  <c r="O11"/>
  <c r="O26"/>
  <c r="O17"/>
  <c r="O20"/>
  <c r="O18"/>
  <c r="O525" i="2"/>
  <c r="T525"/>
  <c r="T524"/>
  <c r="O524"/>
  <c r="R73"/>
  <c r="R59" l="1"/>
  <c r="R19"/>
  <c r="M349"/>
  <c r="M334"/>
  <c r="M332"/>
  <c r="M338"/>
  <c r="M333"/>
  <c r="M331"/>
  <c r="R38"/>
  <c r="R39"/>
  <c r="M15" i="3"/>
  <c r="R11" i="2"/>
  <c r="Q20" i="5"/>
  <c r="S20"/>
  <c r="Q26"/>
  <c r="S26"/>
  <c r="Q12"/>
  <c r="S12"/>
  <c r="Q24"/>
  <c r="S24"/>
  <c r="Q21"/>
  <c r="S21"/>
  <c r="Q13"/>
  <c r="S13"/>
  <c r="R541" i="2"/>
  <c r="R540"/>
  <c r="T249"/>
  <c r="O249"/>
  <c r="Y15" i="7"/>
  <c r="M620" i="2"/>
  <c r="M243"/>
  <c r="T231"/>
  <c r="O231"/>
  <c r="O233" s="1"/>
  <c r="T233"/>
  <c r="T702"/>
  <c r="O702"/>
  <c r="AC38" i="4"/>
  <c r="AF38"/>
  <c r="AD38"/>
  <c r="O275" i="2"/>
  <c r="T275"/>
  <c r="T286"/>
  <c r="O286"/>
  <c r="O758"/>
  <c r="T758"/>
  <c r="T768"/>
  <c r="O768"/>
  <c r="O273"/>
  <c r="T273"/>
  <c r="T284"/>
  <c r="O284"/>
  <c r="O755"/>
  <c r="T755"/>
  <c r="T766"/>
  <c r="O766"/>
  <c r="M50" i="3"/>
  <c r="S46"/>
  <c r="Q45"/>
  <c r="O46"/>
  <c r="O701" i="2"/>
  <c r="T701"/>
  <c r="O662"/>
  <c r="T662"/>
  <c r="T530"/>
  <c r="O530"/>
  <c r="M173"/>
  <c r="T149"/>
  <c r="O149"/>
  <c r="M161"/>
  <c r="M175"/>
  <c r="T151"/>
  <c r="O151"/>
  <c r="M163"/>
  <c r="M177"/>
  <c r="T153"/>
  <c r="O153"/>
  <c r="M165"/>
  <c r="T657"/>
  <c r="O657"/>
  <c r="T661"/>
  <c r="O661"/>
  <c r="S16" i="3"/>
  <c r="O16"/>
  <c r="Q16" s="1"/>
  <c r="U16" i="1"/>
  <c r="T276" i="2"/>
  <c r="O276"/>
  <c r="O626"/>
  <c r="M712"/>
  <c r="M669"/>
  <c r="T626"/>
  <c r="T743"/>
  <c r="O743"/>
  <c r="T274"/>
  <c r="O274"/>
  <c r="O624"/>
  <c r="M710"/>
  <c r="M667"/>
  <c r="T624"/>
  <c r="T740"/>
  <c r="O740"/>
  <c r="T305"/>
  <c r="O305"/>
  <c r="M321"/>
  <c r="M313"/>
  <c r="O313" s="1"/>
  <c r="T294"/>
  <c r="O294"/>
  <c r="O660"/>
  <c r="T660"/>
  <c r="O254"/>
  <c r="T254"/>
  <c r="M69"/>
  <c r="M66"/>
  <c r="M67"/>
  <c r="M65"/>
  <c r="Q18" i="5"/>
  <c r="S18"/>
  <c r="Q17"/>
  <c r="S17"/>
  <c r="Q11"/>
  <c r="S11"/>
  <c r="Q16"/>
  <c r="S16"/>
  <c r="Q25"/>
  <c r="S25"/>
  <c r="Q22"/>
  <c r="S22"/>
  <c r="Q14"/>
  <c r="S14"/>
  <c r="S32" i="3"/>
  <c r="O32"/>
  <c r="Q32" s="1"/>
  <c r="W29" i="5" s="1"/>
  <c r="U32" i="1"/>
  <c r="T659" i="2"/>
  <c r="O659"/>
  <c r="T253"/>
  <c r="O253"/>
  <c r="O297"/>
  <c r="T297"/>
  <c r="O742"/>
  <c r="T742"/>
  <c r="M711"/>
  <c r="M668"/>
  <c r="T625"/>
  <c r="O625"/>
  <c r="O295"/>
  <c r="T295"/>
  <c r="O739"/>
  <c r="T739"/>
  <c r="M709"/>
  <c r="M666"/>
  <c r="T623"/>
  <c r="O623"/>
  <c r="O658"/>
  <c r="T658"/>
  <c r="O252"/>
  <c r="T252"/>
  <c r="O705"/>
  <c r="T705"/>
  <c r="A45" i="3"/>
  <c r="M162" i="2"/>
  <c r="T150"/>
  <c r="O150"/>
  <c r="M174"/>
  <c r="M164"/>
  <c r="T152"/>
  <c r="O152"/>
  <c r="M176"/>
  <c r="M166"/>
  <c r="T154"/>
  <c r="O154"/>
  <c r="M178"/>
  <c r="T700"/>
  <c r="O700"/>
  <c r="T251"/>
  <c r="O251"/>
  <c r="T704"/>
  <c r="O704"/>
  <c r="AF39" i="4"/>
  <c r="AD39"/>
  <c r="AC39"/>
  <c r="O287" i="2"/>
  <c r="T287"/>
  <c r="T298"/>
  <c r="O298"/>
  <c r="O759"/>
  <c r="T759"/>
  <c r="T769"/>
  <c r="O769"/>
  <c r="O285"/>
  <c r="T285"/>
  <c r="T296"/>
  <c r="O296"/>
  <c r="O756"/>
  <c r="T756"/>
  <c r="T767"/>
  <c r="O767"/>
  <c r="O283"/>
  <c r="T283"/>
  <c r="M266"/>
  <c r="T272"/>
  <c r="O272"/>
  <c r="O622"/>
  <c r="M708"/>
  <c r="M665"/>
  <c r="T622"/>
  <c r="O250"/>
  <c r="T250"/>
  <c r="O703"/>
  <c r="T703"/>
  <c r="O527"/>
  <c r="M532" s="1"/>
  <c r="O708" l="1"/>
  <c r="T708"/>
  <c r="Y14" i="8"/>
  <c r="M770" i="2"/>
  <c r="M627"/>
  <c r="M760"/>
  <c r="M744"/>
  <c r="M288"/>
  <c r="T266"/>
  <c r="O266"/>
  <c r="O268" s="1"/>
  <c r="M299"/>
  <c r="M277"/>
  <c r="T166"/>
  <c r="O166"/>
  <c r="T164"/>
  <c r="O164"/>
  <c r="T162"/>
  <c r="O162"/>
  <c r="T666"/>
  <c r="O666"/>
  <c r="T668"/>
  <c r="O668"/>
  <c r="W12" i="6"/>
  <c r="W19" s="1"/>
  <c r="M127" i="2"/>
  <c r="T67"/>
  <c r="O67"/>
  <c r="M139"/>
  <c r="M103"/>
  <c r="M91"/>
  <c r="M79"/>
  <c r="W13" i="6"/>
  <c r="M141" i="2"/>
  <c r="M105"/>
  <c r="M93"/>
  <c r="M81"/>
  <c r="M129"/>
  <c r="T69"/>
  <c r="O69"/>
  <c r="O321"/>
  <c r="T321"/>
  <c r="O710"/>
  <c r="T710"/>
  <c r="O712"/>
  <c r="T712"/>
  <c r="O165"/>
  <c r="T165"/>
  <c r="O163"/>
  <c r="T163"/>
  <c r="O161"/>
  <c r="T161"/>
  <c r="O50" i="3"/>
  <c r="Q46"/>
  <c r="M706" i="2"/>
  <c r="M663"/>
  <c r="T620"/>
  <c r="O620"/>
  <c r="M18" i="3"/>
  <c r="S15"/>
  <c r="O15"/>
  <c r="U15" i="1"/>
  <c r="U18" s="1"/>
  <c r="X13" i="9"/>
  <c r="O333" i="2"/>
  <c r="T333"/>
  <c r="X12" i="9"/>
  <c r="T332" i="2"/>
  <c r="M348"/>
  <c r="O332"/>
  <c r="T349"/>
  <c r="O349"/>
  <c r="T532"/>
  <c r="O532"/>
  <c r="O534" s="1"/>
  <c r="O535" s="1"/>
  <c r="O665"/>
  <c r="T665"/>
  <c r="O178"/>
  <c r="T178"/>
  <c r="O176"/>
  <c r="T176"/>
  <c r="O174"/>
  <c r="T174"/>
  <c r="A46" i="3"/>
  <c r="T709" i="2"/>
  <c r="O709"/>
  <c r="T711"/>
  <c r="O711"/>
  <c r="W11" i="6"/>
  <c r="M125" i="2"/>
  <c r="O65"/>
  <c r="M137"/>
  <c r="M101"/>
  <c r="M89"/>
  <c r="M77"/>
  <c r="T65"/>
  <c r="W18" i="6"/>
  <c r="M138" i="2"/>
  <c r="M102"/>
  <c r="M90"/>
  <c r="M78"/>
  <c r="T66"/>
  <c r="M126"/>
  <c r="O66"/>
  <c r="R308"/>
  <c r="M306" s="1"/>
  <c r="O667"/>
  <c r="T667"/>
  <c r="O669"/>
  <c r="T669"/>
  <c r="T177"/>
  <c r="O177"/>
  <c r="T175"/>
  <c r="O175"/>
  <c r="M155"/>
  <c r="T173"/>
  <c r="O173"/>
  <c r="S50" i="3"/>
  <c r="M24"/>
  <c r="R232" i="2"/>
  <c r="R225"/>
  <c r="M255"/>
  <c r="T243"/>
  <c r="O243"/>
  <c r="O245" s="1"/>
  <c r="R243" s="1"/>
  <c r="Y24" i="7"/>
  <c r="I57"/>
  <c r="K57" s="1"/>
  <c r="M57" s="1"/>
  <c r="I51"/>
  <c r="K51" s="1"/>
  <c r="M51" s="1"/>
  <c r="I39"/>
  <c r="K39" s="1"/>
  <c r="M39" s="1"/>
  <c r="I32"/>
  <c r="K32" s="1"/>
  <c r="M32" s="1"/>
  <c r="I24"/>
  <c r="K24" s="1"/>
  <c r="M24" s="1"/>
  <c r="I56"/>
  <c r="K56" s="1"/>
  <c r="M56" s="1"/>
  <c r="I45"/>
  <c r="K45" s="1"/>
  <c r="M45" s="1"/>
  <c r="I38"/>
  <c r="K38" s="1"/>
  <c r="M38" s="1"/>
  <c r="I27"/>
  <c r="K27" s="1"/>
  <c r="M27" s="1"/>
  <c r="I21"/>
  <c r="K21" s="1"/>
  <c r="M21" s="1"/>
  <c r="I13"/>
  <c r="K13" s="1"/>
  <c r="M13" s="1"/>
  <c r="I14"/>
  <c r="K14" s="1"/>
  <c r="M14" s="1"/>
  <c r="I55"/>
  <c r="K55" s="1"/>
  <c r="M55" s="1"/>
  <c r="I48"/>
  <c r="K48" s="1"/>
  <c r="M48" s="1"/>
  <c r="I37"/>
  <c r="K37" s="1"/>
  <c r="M37" s="1"/>
  <c r="I29"/>
  <c r="K29" s="1"/>
  <c r="M29" s="1"/>
  <c r="I58"/>
  <c r="K58" s="1"/>
  <c r="M58" s="1"/>
  <c r="I47"/>
  <c r="K47" s="1"/>
  <c r="M47" s="1"/>
  <c r="I41"/>
  <c r="K41" s="1"/>
  <c r="M41" s="1"/>
  <c r="I31"/>
  <c r="K31" s="1"/>
  <c r="M31" s="1"/>
  <c r="I22"/>
  <c r="K22" s="1"/>
  <c r="M22" s="1"/>
  <c r="I15"/>
  <c r="K15" s="1"/>
  <c r="M15" s="1"/>
  <c r="I18"/>
  <c r="K18" s="1"/>
  <c r="M18" s="1"/>
  <c r="I53"/>
  <c r="K53" s="1"/>
  <c r="M53" s="1"/>
  <c r="I46"/>
  <c r="K46" s="1"/>
  <c r="M46" s="1"/>
  <c r="I35"/>
  <c r="K35" s="1"/>
  <c r="M35" s="1"/>
  <c r="I28"/>
  <c r="K28" s="1"/>
  <c r="M28" s="1"/>
  <c r="I19"/>
  <c r="K19" s="1"/>
  <c r="M19" s="1"/>
  <c r="I49"/>
  <c r="K49" s="1"/>
  <c r="M49" s="1"/>
  <c r="I42"/>
  <c r="K42" s="1"/>
  <c r="M42" s="1"/>
  <c r="I34"/>
  <c r="K34" s="1"/>
  <c r="M34" s="1"/>
  <c r="I23"/>
  <c r="K23" s="1"/>
  <c r="M23" s="1"/>
  <c r="I16"/>
  <c r="K16" s="1"/>
  <c r="M16" s="1"/>
  <c r="I11"/>
  <c r="K11" s="1"/>
  <c r="M11" s="1"/>
  <c r="I59"/>
  <c r="K59" s="1"/>
  <c r="M59" s="1"/>
  <c r="I52"/>
  <c r="K52" s="1"/>
  <c r="M52" s="1"/>
  <c r="I44"/>
  <c r="K44" s="1"/>
  <c r="M44" s="1"/>
  <c r="I33"/>
  <c r="K33" s="1"/>
  <c r="M33" s="1"/>
  <c r="I26"/>
  <c r="K26" s="1"/>
  <c r="M26" s="1"/>
  <c r="I54"/>
  <c r="K54" s="1"/>
  <c r="M54" s="1"/>
  <c r="I43"/>
  <c r="K43" s="1"/>
  <c r="M43" s="1"/>
  <c r="I36"/>
  <c r="K36" s="1"/>
  <c r="M36" s="1"/>
  <c r="I25"/>
  <c r="K25" s="1"/>
  <c r="M25" s="1"/>
  <c r="I17"/>
  <c r="K17" s="1"/>
  <c r="M17" s="1"/>
  <c r="I12"/>
  <c r="K12" s="1"/>
  <c r="M12" s="1"/>
  <c r="R14" i="2"/>
  <c r="R13"/>
  <c r="X11" i="9"/>
  <c r="M347" i="2"/>
  <c r="O331"/>
  <c r="T331"/>
  <c r="X21" i="9"/>
  <c r="M354" i="2"/>
  <c r="T338"/>
  <c r="O338"/>
  <c r="O339" s="1"/>
  <c r="X14" i="9"/>
  <c r="T334" i="2"/>
  <c r="O334"/>
  <c r="M31" i="3" l="1"/>
  <c r="R535" i="2"/>
  <c r="R529"/>
  <c r="X22" i="9"/>
  <c r="P20" s="1"/>
  <c r="R20" s="1"/>
  <c r="T20" s="1"/>
  <c r="P28"/>
  <c r="R28" s="1"/>
  <c r="T28" s="1"/>
  <c r="P23"/>
  <c r="R23" s="1"/>
  <c r="T23" s="1"/>
  <c r="P21"/>
  <c r="R21" s="1"/>
  <c r="T21" s="1"/>
  <c r="P19"/>
  <c r="R19" s="1"/>
  <c r="T19" s="1"/>
  <c r="P13"/>
  <c r="R13" s="1"/>
  <c r="T13" s="1"/>
  <c r="P11"/>
  <c r="R11" s="1"/>
  <c r="T11" s="1"/>
  <c r="P32"/>
  <c r="R32" s="1"/>
  <c r="T32" s="1"/>
  <c r="P29"/>
  <c r="R29" s="1"/>
  <c r="T29" s="1"/>
  <c r="P27"/>
  <c r="R27" s="1"/>
  <c r="T27" s="1"/>
  <c r="P24"/>
  <c r="R24" s="1"/>
  <c r="T24" s="1"/>
  <c r="P17"/>
  <c r="R17" s="1"/>
  <c r="T17" s="1"/>
  <c r="H21"/>
  <c r="J21" s="1"/>
  <c r="L21" s="1"/>
  <c r="H19"/>
  <c r="J19" s="1"/>
  <c r="L19" s="1"/>
  <c r="H13"/>
  <c r="J13" s="1"/>
  <c r="L13" s="1"/>
  <c r="H11"/>
  <c r="J11" s="1"/>
  <c r="L11" s="1"/>
  <c r="H32"/>
  <c r="J32" s="1"/>
  <c r="L32" s="1"/>
  <c r="H29"/>
  <c r="J29" s="1"/>
  <c r="L29" s="1"/>
  <c r="H27"/>
  <c r="J27" s="1"/>
  <c r="L27" s="1"/>
  <c r="H24"/>
  <c r="J24" s="1"/>
  <c r="L24" s="1"/>
  <c r="H15"/>
  <c r="J15" s="1"/>
  <c r="L15" s="1"/>
  <c r="H20"/>
  <c r="J20" s="1"/>
  <c r="L20" s="1"/>
  <c r="H16"/>
  <c r="J16" s="1"/>
  <c r="L16" s="1"/>
  <c r="H12"/>
  <c r="J12" s="1"/>
  <c r="L12" s="1"/>
  <c r="H33"/>
  <c r="J33" s="1"/>
  <c r="L33" s="1"/>
  <c r="H31"/>
  <c r="J31" s="1"/>
  <c r="L31" s="1"/>
  <c r="H28"/>
  <c r="J28" s="1"/>
  <c r="L28" s="1"/>
  <c r="H25"/>
  <c r="J25" s="1"/>
  <c r="L25" s="1"/>
  <c r="H23"/>
  <c r="J23" s="1"/>
  <c r="L23" s="1"/>
  <c r="H17"/>
  <c r="J17" s="1"/>
  <c r="L17" s="1"/>
  <c r="Q53" i="7"/>
  <c r="S53" s="1"/>
  <c r="U53" s="1"/>
  <c r="Q46"/>
  <c r="S46" s="1"/>
  <c r="U46" s="1"/>
  <c r="Q35"/>
  <c r="S35" s="1"/>
  <c r="U35" s="1"/>
  <c r="Q28"/>
  <c r="S28" s="1"/>
  <c r="U28" s="1"/>
  <c r="Q58"/>
  <c r="S58" s="1"/>
  <c r="U58" s="1"/>
  <c r="Q47"/>
  <c r="S47" s="1"/>
  <c r="U47" s="1"/>
  <c r="Q41"/>
  <c r="S41" s="1"/>
  <c r="U41" s="1"/>
  <c r="Q31"/>
  <c r="S31" s="1"/>
  <c r="U31" s="1"/>
  <c r="Q22"/>
  <c r="S22" s="1"/>
  <c r="U22" s="1"/>
  <c r="Q15"/>
  <c r="S15" s="1"/>
  <c r="U15" s="1"/>
  <c r="Q18"/>
  <c r="S18" s="1"/>
  <c r="U18" s="1"/>
  <c r="Q55"/>
  <c r="S55" s="1"/>
  <c r="U55" s="1"/>
  <c r="Q48"/>
  <c r="S48" s="1"/>
  <c r="U48" s="1"/>
  <c r="Q37"/>
  <c r="S37" s="1"/>
  <c r="U37" s="1"/>
  <c r="Q29"/>
  <c r="S29" s="1"/>
  <c r="U29" s="1"/>
  <c r="Q19"/>
  <c r="S19" s="1"/>
  <c r="U19" s="1"/>
  <c r="Q49"/>
  <c r="S49" s="1"/>
  <c r="U49" s="1"/>
  <c r="Q42"/>
  <c r="S42" s="1"/>
  <c r="U42" s="1"/>
  <c r="Q34"/>
  <c r="S34" s="1"/>
  <c r="U34" s="1"/>
  <c r="Q23"/>
  <c r="S23" s="1"/>
  <c r="U23" s="1"/>
  <c r="Q16"/>
  <c r="S16" s="1"/>
  <c r="U16" s="1"/>
  <c r="Q11"/>
  <c r="S11" s="1"/>
  <c r="U11" s="1"/>
  <c r="Q57"/>
  <c r="S57" s="1"/>
  <c r="U57" s="1"/>
  <c r="Q51"/>
  <c r="S51" s="1"/>
  <c r="U51" s="1"/>
  <c r="Q39"/>
  <c r="S39" s="1"/>
  <c r="U39" s="1"/>
  <c r="Q32"/>
  <c r="S32" s="1"/>
  <c r="U32" s="1"/>
  <c r="Q24"/>
  <c r="S24" s="1"/>
  <c r="U24" s="1"/>
  <c r="Q54"/>
  <c r="S54" s="1"/>
  <c r="U54" s="1"/>
  <c r="Q43"/>
  <c r="S43" s="1"/>
  <c r="U43" s="1"/>
  <c r="Q36"/>
  <c r="S36" s="1"/>
  <c r="U36" s="1"/>
  <c r="Q25"/>
  <c r="S25" s="1"/>
  <c r="U25" s="1"/>
  <c r="Q17"/>
  <c r="S17" s="1"/>
  <c r="U17" s="1"/>
  <c r="Q12"/>
  <c r="S12" s="1"/>
  <c r="U12" s="1"/>
  <c r="Q59"/>
  <c r="S59" s="1"/>
  <c r="U59" s="1"/>
  <c r="Q52"/>
  <c r="S52" s="1"/>
  <c r="U52" s="1"/>
  <c r="Q44"/>
  <c r="S44" s="1"/>
  <c r="U44" s="1"/>
  <c r="Q33"/>
  <c r="S33" s="1"/>
  <c r="U33" s="1"/>
  <c r="Q26"/>
  <c r="S26" s="1"/>
  <c r="U26" s="1"/>
  <c r="Q56"/>
  <c r="S56" s="1"/>
  <c r="U56" s="1"/>
  <c r="Q45"/>
  <c r="S45" s="1"/>
  <c r="U45" s="1"/>
  <c r="Q38"/>
  <c r="S38" s="1"/>
  <c r="U38" s="1"/>
  <c r="Q27"/>
  <c r="S27" s="1"/>
  <c r="U27" s="1"/>
  <c r="Q21"/>
  <c r="S21" s="1"/>
  <c r="U21" s="1"/>
  <c r="Q13"/>
  <c r="S13" s="1"/>
  <c r="U13" s="1"/>
  <c r="Q14"/>
  <c r="S14" s="1"/>
  <c r="U14" s="1"/>
  <c r="R228" i="2"/>
  <c r="R227"/>
  <c r="S24" i="3"/>
  <c r="O24"/>
  <c r="Q24" s="1"/>
  <c r="Y28" i="7" s="1"/>
  <c r="U24" i="1"/>
  <c r="M179" i="2"/>
  <c r="T155"/>
  <c r="O155"/>
  <c r="O157" s="1"/>
  <c r="M167"/>
  <c r="T90"/>
  <c r="O90"/>
  <c r="T138"/>
  <c r="O138"/>
  <c r="O89"/>
  <c r="T89"/>
  <c r="O137"/>
  <c r="T137"/>
  <c r="T125"/>
  <c r="O125"/>
  <c r="A47" i="3"/>
  <c r="O18"/>
  <c r="Q18" s="1"/>
  <c r="Q15"/>
  <c r="AA26" i="4" s="1"/>
  <c r="T663" i="2"/>
  <c r="O663"/>
  <c r="M117"/>
  <c r="T81"/>
  <c r="O81"/>
  <c r="T105"/>
  <c r="O105"/>
  <c r="O91"/>
  <c r="T91"/>
  <c r="O139"/>
  <c r="T139"/>
  <c r="T299"/>
  <c r="O299"/>
  <c r="O301" s="1"/>
  <c r="R299" s="1"/>
  <c r="O744"/>
  <c r="R260" s="1"/>
  <c r="T744"/>
  <c r="M713"/>
  <c r="M670"/>
  <c r="T627"/>
  <c r="O627"/>
  <c r="Y22" i="8"/>
  <c r="I56"/>
  <c r="K56" s="1"/>
  <c r="M56" s="1"/>
  <c r="I45"/>
  <c r="K45" s="1"/>
  <c r="M45" s="1"/>
  <c r="I38"/>
  <c r="K38" s="1"/>
  <c r="M38" s="1"/>
  <c r="I25"/>
  <c r="K25" s="1"/>
  <c r="M25" s="1"/>
  <c r="I53"/>
  <c r="K53" s="1"/>
  <c r="M53" s="1"/>
  <c r="I46"/>
  <c r="K46" s="1"/>
  <c r="M46" s="1"/>
  <c r="I35"/>
  <c r="K35" s="1"/>
  <c r="M35" s="1"/>
  <c r="I27"/>
  <c r="K27" s="1"/>
  <c r="M27" s="1"/>
  <c r="I14"/>
  <c r="K14" s="1"/>
  <c r="M14" s="1"/>
  <c r="I19"/>
  <c r="K19" s="1"/>
  <c r="M19" s="1"/>
  <c r="I13"/>
  <c r="K13" s="1"/>
  <c r="M13" s="1"/>
  <c r="I58"/>
  <c r="K58" s="1"/>
  <c r="M58" s="1"/>
  <c r="I47"/>
  <c r="K47" s="1"/>
  <c r="M47" s="1"/>
  <c r="I41"/>
  <c r="K41" s="1"/>
  <c r="M41" s="1"/>
  <c r="I28"/>
  <c r="K28" s="1"/>
  <c r="M28" s="1"/>
  <c r="I55"/>
  <c r="K55" s="1"/>
  <c r="M55" s="1"/>
  <c r="I48"/>
  <c r="K48" s="1"/>
  <c r="M48" s="1"/>
  <c r="I37"/>
  <c r="K37" s="1"/>
  <c r="M37" s="1"/>
  <c r="I31"/>
  <c r="K31" s="1"/>
  <c r="M31" s="1"/>
  <c r="I21"/>
  <c r="K21" s="1"/>
  <c r="M21" s="1"/>
  <c r="I29"/>
  <c r="K29" s="1"/>
  <c r="M29" s="1"/>
  <c r="I17"/>
  <c r="K17" s="1"/>
  <c r="M17" s="1"/>
  <c r="I12"/>
  <c r="K12" s="1"/>
  <c r="M12" s="1"/>
  <c r="I49"/>
  <c r="K49" s="1"/>
  <c r="M49" s="1"/>
  <c r="I42"/>
  <c r="K42" s="1"/>
  <c r="M42" s="1"/>
  <c r="I34"/>
  <c r="K34" s="1"/>
  <c r="M34" s="1"/>
  <c r="I57"/>
  <c r="K57" s="1"/>
  <c r="M57" s="1"/>
  <c r="I51"/>
  <c r="K51" s="1"/>
  <c r="M51" s="1"/>
  <c r="I39"/>
  <c r="K39" s="1"/>
  <c r="M39" s="1"/>
  <c r="I32"/>
  <c r="K32" s="1"/>
  <c r="M32" s="1"/>
  <c r="I22"/>
  <c r="K22" s="1"/>
  <c r="M22" s="1"/>
  <c r="I26"/>
  <c r="K26" s="1"/>
  <c r="M26" s="1"/>
  <c r="I16"/>
  <c r="K16" s="1"/>
  <c r="M16" s="1"/>
  <c r="I11"/>
  <c r="K11" s="1"/>
  <c r="M11" s="1"/>
  <c r="I54"/>
  <c r="K54" s="1"/>
  <c r="M54" s="1"/>
  <c r="I43"/>
  <c r="K43" s="1"/>
  <c r="M43" s="1"/>
  <c r="I36"/>
  <c r="K36" s="1"/>
  <c r="M36" s="1"/>
  <c r="I59"/>
  <c r="K59" s="1"/>
  <c r="M59" s="1"/>
  <c r="I52"/>
  <c r="K52" s="1"/>
  <c r="M52" s="1"/>
  <c r="I44"/>
  <c r="K44" s="1"/>
  <c r="M44" s="1"/>
  <c r="I33"/>
  <c r="K33" s="1"/>
  <c r="M33" s="1"/>
  <c r="I23"/>
  <c r="K23" s="1"/>
  <c r="M23" s="1"/>
  <c r="I18"/>
  <c r="K18" s="1"/>
  <c r="M18" s="1"/>
  <c r="I24"/>
  <c r="K24" s="1"/>
  <c r="M24" s="1"/>
  <c r="I15"/>
  <c r="K15" s="1"/>
  <c r="M15" s="1"/>
  <c r="O335" i="2"/>
  <c r="O341" s="1"/>
  <c r="O628"/>
  <c r="T354"/>
  <c r="O354"/>
  <c r="O355" s="1"/>
  <c r="T347"/>
  <c r="O347"/>
  <c r="T255"/>
  <c r="O255"/>
  <c r="O257" s="1"/>
  <c r="R255" s="1"/>
  <c r="M322"/>
  <c r="T306"/>
  <c r="O306"/>
  <c r="M314"/>
  <c r="O314" s="1"/>
  <c r="O126"/>
  <c r="T126"/>
  <c r="M114"/>
  <c r="T78"/>
  <c r="O78"/>
  <c r="T102"/>
  <c r="O102"/>
  <c r="O77"/>
  <c r="M113"/>
  <c r="T77"/>
  <c r="O101"/>
  <c r="T101"/>
  <c r="G28" i="6"/>
  <c r="I28" s="1"/>
  <c r="K28" s="1"/>
  <c r="G25"/>
  <c r="I25" s="1"/>
  <c r="K25" s="1"/>
  <c r="G20"/>
  <c r="I20" s="1"/>
  <c r="K20" s="1"/>
  <c r="G15"/>
  <c r="I15" s="1"/>
  <c r="K15" s="1"/>
  <c r="G29"/>
  <c r="I29" s="1"/>
  <c r="K29" s="1"/>
  <c r="G21"/>
  <c r="I21" s="1"/>
  <c r="K21" s="1"/>
  <c r="G13"/>
  <c r="I13" s="1"/>
  <c r="K13" s="1"/>
  <c r="G27"/>
  <c r="I27" s="1"/>
  <c r="K27" s="1"/>
  <c r="G24"/>
  <c r="I24" s="1"/>
  <c r="K24" s="1"/>
  <c r="G16"/>
  <c r="I16" s="1"/>
  <c r="K16" s="1"/>
  <c r="G12"/>
  <c r="I12" s="1"/>
  <c r="K12" s="1"/>
  <c r="G23"/>
  <c r="I23" s="1"/>
  <c r="K23" s="1"/>
  <c r="G19"/>
  <c r="I19" s="1"/>
  <c r="K19" s="1"/>
  <c r="G17"/>
  <c r="I17" s="1"/>
  <c r="K17" s="1"/>
  <c r="G11"/>
  <c r="I11" s="1"/>
  <c r="K11" s="1"/>
  <c r="O348" i="2"/>
  <c r="T348"/>
  <c r="S18" i="3"/>
  <c r="T706" i="2"/>
  <c r="O706"/>
  <c r="Q50" i="3"/>
  <c r="O129" i="2"/>
  <c r="T129"/>
  <c r="T93"/>
  <c r="O93"/>
  <c r="T141"/>
  <c r="O141"/>
  <c r="O79"/>
  <c r="M115"/>
  <c r="T79"/>
  <c r="O103"/>
  <c r="T103"/>
  <c r="T127"/>
  <c r="O127"/>
  <c r="T277"/>
  <c r="O277"/>
  <c r="O279" s="1"/>
  <c r="R277" s="1"/>
  <c r="M25" i="3"/>
  <c r="R267" i="2"/>
  <c r="T288"/>
  <c r="O288"/>
  <c r="O290" s="1"/>
  <c r="R288" s="1"/>
  <c r="O760"/>
  <c r="T760"/>
  <c r="T770"/>
  <c r="O770"/>
  <c r="O771" s="1"/>
  <c r="R771" s="1"/>
  <c r="P15" i="9" l="1"/>
  <c r="R15" s="1"/>
  <c r="T15" s="1"/>
  <c r="P25"/>
  <c r="R25" s="1"/>
  <c r="T25" s="1"/>
  <c r="P31"/>
  <c r="R31" s="1"/>
  <c r="T31" s="1"/>
  <c r="P33"/>
  <c r="R33" s="1"/>
  <c r="T33" s="1"/>
  <c r="P12"/>
  <c r="R12" s="1"/>
  <c r="T12" s="1"/>
  <c r="P16"/>
  <c r="R16" s="1"/>
  <c r="T16" s="1"/>
  <c r="M70" i="2"/>
  <c r="W20" i="6" s="1"/>
  <c r="R263" i="2"/>
  <c r="R262"/>
  <c r="O113"/>
  <c r="T113"/>
  <c r="R628"/>
  <c r="R596"/>
  <c r="T670"/>
  <c r="O670"/>
  <c r="T117"/>
  <c r="O117"/>
  <c r="M21" i="3"/>
  <c r="R154" i="2"/>
  <c r="R148"/>
  <c r="T179"/>
  <c r="O179"/>
  <c r="O181" s="1"/>
  <c r="R532"/>
  <c r="R531"/>
  <c r="S31" i="3"/>
  <c r="O31"/>
  <c r="Q31" s="1"/>
  <c r="U31" i="1"/>
  <c r="S25" i="3"/>
  <c r="O25"/>
  <c r="U25" i="1"/>
  <c r="O115" i="2"/>
  <c r="T115"/>
  <c r="M28" i="3"/>
  <c r="R340" i="2"/>
  <c r="M350"/>
  <c r="T114"/>
  <c r="O114"/>
  <c r="M307"/>
  <c r="T322"/>
  <c r="O322"/>
  <c r="Q58" i="8"/>
  <c r="S58" s="1"/>
  <c r="U58" s="1"/>
  <c r="Q47"/>
  <c r="S47" s="1"/>
  <c r="U47" s="1"/>
  <c r="Q41"/>
  <c r="S41" s="1"/>
  <c r="U41" s="1"/>
  <c r="Q28"/>
  <c r="S28" s="1"/>
  <c r="U28" s="1"/>
  <c r="Q55"/>
  <c r="S55" s="1"/>
  <c r="U55" s="1"/>
  <c r="Q48"/>
  <c r="S48" s="1"/>
  <c r="U48" s="1"/>
  <c r="Q37"/>
  <c r="S37" s="1"/>
  <c r="U37" s="1"/>
  <c r="Q31"/>
  <c r="S31" s="1"/>
  <c r="U31" s="1"/>
  <c r="Q21"/>
  <c r="S21" s="1"/>
  <c r="U21" s="1"/>
  <c r="Q26"/>
  <c r="S26" s="1"/>
  <c r="U26" s="1"/>
  <c r="Q16"/>
  <c r="S16" s="1"/>
  <c r="U16" s="1"/>
  <c r="Q11"/>
  <c r="S11" s="1"/>
  <c r="U11" s="1"/>
  <c r="Q49"/>
  <c r="S49" s="1"/>
  <c r="U49" s="1"/>
  <c r="Q42"/>
  <c r="S42" s="1"/>
  <c r="U42" s="1"/>
  <c r="Q34"/>
  <c r="S34" s="1"/>
  <c r="U34" s="1"/>
  <c r="Q57"/>
  <c r="S57" s="1"/>
  <c r="U57" s="1"/>
  <c r="Q51"/>
  <c r="S51" s="1"/>
  <c r="U51" s="1"/>
  <c r="Q39"/>
  <c r="S39" s="1"/>
  <c r="U39" s="1"/>
  <c r="Q32"/>
  <c r="S32" s="1"/>
  <c r="U32" s="1"/>
  <c r="Q22"/>
  <c r="S22" s="1"/>
  <c r="U22" s="1"/>
  <c r="Q29"/>
  <c r="S29" s="1"/>
  <c r="U29" s="1"/>
  <c r="Q17"/>
  <c r="S17" s="1"/>
  <c r="U17" s="1"/>
  <c r="Q12"/>
  <c r="S12" s="1"/>
  <c r="U12" s="1"/>
  <c r="Q54"/>
  <c r="S54" s="1"/>
  <c r="U54" s="1"/>
  <c r="Q43"/>
  <c r="S43" s="1"/>
  <c r="U43" s="1"/>
  <c r="Q36"/>
  <c r="S36" s="1"/>
  <c r="U36" s="1"/>
  <c r="Q59"/>
  <c r="S59" s="1"/>
  <c r="U59" s="1"/>
  <c r="Q52"/>
  <c r="S52" s="1"/>
  <c r="U52" s="1"/>
  <c r="Q44"/>
  <c r="S44" s="1"/>
  <c r="U44" s="1"/>
  <c r="Q33"/>
  <c r="S33" s="1"/>
  <c r="U33" s="1"/>
  <c r="Q23"/>
  <c r="S23" s="1"/>
  <c r="U23" s="1"/>
  <c r="Q14"/>
  <c r="S14" s="1"/>
  <c r="U14" s="1"/>
  <c r="Q19"/>
  <c r="S19" s="1"/>
  <c r="U19" s="1"/>
  <c r="Q13"/>
  <c r="S13" s="1"/>
  <c r="U13" s="1"/>
  <c r="Q56"/>
  <c r="S56" s="1"/>
  <c r="U56" s="1"/>
  <c r="Q45"/>
  <c r="S45" s="1"/>
  <c r="U45" s="1"/>
  <c r="Q38"/>
  <c r="S38" s="1"/>
  <c r="U38" s="1"/>
  <c r="Q25"/>
  <c r="S25" s="1"/>
  <c r="U25" s="1"/>
  <c r="Q53"/>
  <c r="S53" s="1"/>
  <c r="U53" s="1"/>
  <c r="Q46"/>
  <c r="S46" s="1"/>
  <c r="U46" s="1"/>
  <c r="Q35"/>
  <c r="S35" s="1"/>
  <c r="U35" s="1"/>
  <c r="Q27"/>
  <c r="S27" s="1"/>
  <c r="U27" s="1"/>
  <c r="Q18"/>
  <c r="S18" s="1"/>
  <c r="U18" s="1"/>
  <c r="Q24"/>
  <c r="S24" s="1"/>
  <c r="U24" s="1"/>
  <c r="Q15"/>
  <c r="S15" s="1"/>
  <c r="U15" s="1"/>
  <c r="T713" i="2"/>
  <c r="O713"/>
  <c r="O714" s="1"/>
  <c r="R714" s="1"/>
  <c r="A48" i="3"/>
  <c r="T167" i="2"/>
  <c r="O167"/>
  <c r="O169" s="1"/>
  <c r="O671"/>
  <c r="R671" s="1"/>
  <c r="O70" l="1"/>
  <c r="O73" s="1"/>
  <c r="M106"/>
  <c r="T106" s="1"/>
  <c r="M82"/>
  <c r="O82" s="1"/>
  <c r="O85" s="1"/>
  <c r="R85" s="1"/>
  <c r="M130"/>
  <c r="T70"/>
  <c r="M94"/>
  <c r="M142"/>
  <c r="T142" s="1"/>
  <c r="O350"/>
  <c r="O351" s="1"/>
  <c r="O357" s="1"/>
  <c r="T350"/>
  <c r="S28" i="3"/>
  <c r="O28"/>
  <c r="U28" i="1"/>
  <c r="Q25" i="3"/>
  <c r="Y26" i="8" s="1"/>
  <c r="R180" i="2"/>
  <c r="R179"/>
  <c r="R151"/>
  <c r="R150"/>
  <c r="S21" i="3"/>
  <c r="O21"/>
  <c r="Q21" s="1"/>
  <c r="U21" i="1"/>
  <c r="O94" i="2"/>
  <c r="O97" s="1"/>
  <c r="R97" s="1"/>
  <c r="T94"/>
  <c r="O142"/>
  <c r="O145" s="1"/>
  <c r="O25" i="6"/>
  <c r="Q25" s="1"/>
  <c r="S25" s="1"/>
  <c r="O15"/>
  <c r="Q15" s="1"/>
  <c r="S15" s="1"/>
  <c r="O21"/>
  <c r="Q21" s="1"/>
  <c r="S21" s="1"/>
  <c r="O11"/>
  <c r="Q11" s="1"/>
  <c r="S11" s="1"/>
  <c r="O24"/>
  <c r="Q24" s="1"/>
  <c r="S24" s="1"/>
  <c r="O12"/>
  <c r="Q12" s="1"/>
  <c r="S12" s="1"/>
  <c r="O19"/>
  <c r="Q19" s="1"/>
  <c r="S19" s="1"/>
  <c r="O28"/>
  <c r="Q28" s="1"/>
  <c r="S28" s="1"/>
  <c r="O20"/>
  <c r="Q20" s="1"/>
  <c r="S20" s="1"/>
  <c r="O29"/>
  <c r="Q29" s="1"/>
  <c r="S29" s="1"/>
  <c r="O17"/>
  <c r="Q17" s="1"/>
  <c r="S17" s="1"/>
  <c r="O27"/>
  <c r="Q27" s="1"/>
  <c r="S27" s="1"/>
  <c r="O16"/>
  <c r="Q16" s="1"/>
  <c r="S16" s="1"/>
  <c r="O23"/>
  <c r="Q23" s="1"/>
  <c r="S23" s="1"/>
  <c r="O13"/>
  <c r="Q13" s="1"/>
  <c r="S13" s="1"/>
  <c r="R168" i="2"/>
  <c r="R167"/>
  <c r="A49" i="3"/>
  <c r="T307" i="2"/>
  <c r="O307"/>
  <c r="O309" s="1"/>
  <c r="M323"/>
  <c r="M315"/>
  <c r="O315" s="1"/>
  <c r="O317" s="1"/>
  <c r="M606"/>
  <c r="M603"/>
  <c r="M598"/>
  <c r="M596"/>
  <c r="M594"/>
  <c r="M610"/>
  <c r="M608"/>
  <c r="M605"/>
  <c r="M599"/>
  <c r="M592"/>
  <c r="M591"/>
  <c r="M20" i="3"/>
  <c r="T82" i="2"/>
  <c r="T130"/>
  <c r="O130"/>
  <c r="O133" s="1"/>
  <c r="O106" l="1"/>
  <c r="O109" s="1"/>
  <c r="R109" s="1"/>
  <c r="M118"/>
  <c r="O118" s="1"/>
  <c r="O121" s="1"/>
  <c r="S20" i="3"/>
  <c r="O20"/>
  <c r="U20" i="1"/>
  <c r="M678" i="2"/>
  <c r="T592"/>
  <c r="O592"/>
  <c r="M635"/>
  <c r="M732"/>
  <c r="O605"/>
  <c r="M691"/>
  <c r="M648"/>
  <c r="T605"/>
  <c r="M737"/>
  <c r="O610"/>
  <c r="M696"/>
  <c r="M653"/>
  <c r="T610"/>
  <c r="M682"/>
  <c r="M639"/>
  <c r="T596"/>
  <c r="O596"/>
  <c r="M689"/>
  <c r="M646"/>
  <c r="T603"/>
  <c r="O603"/>
  <c r="M26" i="3"/>
  <c r="R303" i="2"/>
  <c r="A50" i="3"/>
  <c r="Q28"/>
  <c r="X26" i="9" s="1"/>
  <c r="M29" i="3"/>
  <c r="R356" i="2"/>
  <c r="R334"/>
  <c r="R132"/>
  <c r="R131"/>
  <c r="T591"/>
  <c r="O591"/>
  <c r="M677"/>
  <c r="M634"/>
  <c r="O599"/>
  <c r="M685"/>
  <c r="M642"/>
  <c r="T599"/>
  <c r="M735"/>
  <c r="M609"/>
  <c r="O608"/>
  <c r="M694"/>
  <c r="M651"/>
  <c r="T608"/>
  <c r="M595"/>
  <c r="M680"/>
  <c r="M637"/>
  <c r="T594"/>
  <c r="O594"/>
  <c r="M684"/>
  <c r="M641"/>
  <c r="T598"/>
  <c r="O598"/>
  <c r="M692"/>
  <c r="M649"/>
  <c r="T606"/>
  <c r="M733"/>
  <c r="O606"/>
  <c r="O323"/>
  <c r="O325" s="1"/>
  <c r="T323"/>
  <c r="R144"/>
  <c r="R143"/>
  <c r="R67"/>
  <c r="T118" l="1"/>
  <c r="M681"/>
  <c r="M638"/>
  <c r="T595"/>
  <c r="O595"/>
  <c r="T735"/>
  <c r="O735"/>
  <c r="O642"/>
  <c r="T642"/>
  <c r="T692"/>
  <c r="M749"/>
  <c r="O692"/>
  <c r="T684"/>
  <c r="O684"/>
  <c r="O680"/>
  <c r="T680"/>
  <c r="O694"/>
  <c r="M751"/>
  <c r="T694"/>
  <c r="M695"/>
  <c r="M652"/>
  <c r="T609"/>
  <c r="M736"/>
  <c r="O609"/>
  <c r="O685"/>
  <c r="T685"/>
  <c r="O634"/>
  <c r="T634"/>
  <c r="R338"/>
  <c r="R336"/>
  <c r="S29" i="3"/>
  <c r="O29"/>
  <c r="U29" i="1"/>
  <c r="U30" s="1"/>
  <c r="M30" i="3"/>
  <c r="S30" s="1"/>
  <c r="S26"/>
  <c r="O26"/>
  <c r="U26" i="1"/>
  <c r="U27" s="1"/>
  <c r="M27" i="3"/>
  <c r="S27" s="1"/>
  <c r="T689" i="2"/>
  <c r="O689"/>
  <c r="O682"/>
  <c r="T682"/>
  <c r="O653"/>
  <c r="T653"/>
  <c r="O691"/>
  <c r="M748"/>
  <c r="T691"/>
  <c r="T732"/>
  <c r="O732"/>
  <c r="T678"/>
  <c r="O678"/>
  <c r="Q20" i="3"/>
  <c r="W24" i="6" s="1"/>
  <c r="R70" i="2"/>
  <c r="R69"/>
  <c r="O733"/>
  <c r="T733"/>
  <c r="T649"/>
  <c r="O649"/>
  <c r="T641"/>
  <c r="O641"/>
  <c r="O637"/>
  <c r="T637"/>
  <c r="O651"/>
  <c r="T651"/>
  <c r="O677"/>
  <c r="T677"/>
  <c r="A51" i="3"/>
  <c r="R306" i="2"/>
  <c r="R305"/>
  <c r="T646"/>
  <c r="O646"/>
  <c r="O639"/>
  <c r="T639"/>
  <c r="O696"/>
  <c r="M753"/>
  <c r="T696"/>
  <c r="T737"/>
  <c r="O737"/>
  <c r="O648"/>
  <c r="T648"/>
  <c r="O635"/>
  <c r="T635"/>
  <c r="M22" i="3"/>
  <c r="R119" i="2"/>
  <c r="R120"/>
  <c r="O753" l="1"/>
  <c r="T753"/>
  <c r="A52" i="3"/>
  <c r="O736" i="2"/>
  <c r="O745" s="1"/>
  <c r="T736"/>
  <c r="T652"/>
  <c r="O652"/>
  <c r="O749"/>
  <c r="T749"/>
  <c r="O638"/>
  <c r="T638"/>
  <c r="S22" i="3"/>
  <c r="O22"/>
  <c r="U22" i="1"/>
  <c r="U23" s="1"/>
  <c r="M23" i="3"/>
  <c r="S23" s="1"/>
  <c r="O748" i="2"/>
  <c r="T748"/>
  <c r="Q26" i="3"/>
  <c r="O27"/>
  <c r="Q27" s="1"/>
  <c r="Q29"/>
  <c r="O30"/>
  <c r="Q30" s="1"/>
  <c r="T695" i="2"/>
  <c r="M752"/>
  <c r="O695"/>
  <c r="O751"/>
  <c r="T751"/>
  <c r="T681"/>
  <c r="O681"/>
  <c r="M601" l="1"/>
  <c r="M687" s="1"/>
  <c r="Q22" i="3"/>
  <c r="O23"/>
  <c r="Q23" s="1"/>
  <c r="O752" i="2"/>
  <c r="O761" s="1"/>
  <c r="R761" s="1"/>
  <c r="T752"/>
  <c r="M36" i="3"/>
  <c r="R745" i="2"/>
  <c r="O601" l="1"/>
  <c r="T601"/>
  <c r="M602"/>
  <c r="O602" s="1"/>
  <c r="M644"/>
  <c r="S36" i="3"/>
  <c r="O36"/>
  <c r="Q36" s="1"/>
  <c r="U36" i="1"/>
  <c r="T644" i="2"/>
  <c r="O644"/>
  <c r="T687"/>
  <c r="O687"/>
  <c r="O611" l="1"/>
  <c r="R611" s="1"/>
  <c r="T602"/>
  <c r="M688"/>
  <c r="M697" s="1"/>
  <c r="M645"/>
  <c r="O645" s="1"/>
  <c r="O654" s="1"/>
  <c r="O630"/>
  <c r="O688"/>
  <c r="O697"/>
  <c r="T688" l="1"/>
  <c r="T645"/>
  <c r="O673"/>
  <c r="R654"/>
  <c r="O716"/>
  <c r="R716" s="1"/>
  <c r="R697"/>
  <c r="M33" i="3"/>
  <c r="R630" i="2"/>
  <c r="R591"/>
  <c r="S33" i="3" l="1"/>
  <c r="O33"/>
  <c r="U33" i="1"/>
  <c r="U38" s="1"/>
  <c r="M38" i="3"/>
  <c r="R673" i="2"/>
  <c r="O798"/>
  <c r="R594"/>
  <c r="R593"/>
  <c r="S38" i="3" l="1"/>
  <c r="M39"/>
  <c r="M51"/>
  <c r="U39" i="1"/>
  <c r="U51"/>
  <c r="U52" s="1"/>
  <c r="Q33" i="3"/>
  <c r="O38"/>
  <c r="O39" l="1"/>
  <c r="Q38"/>
  <c r="O51"/>
  <c r="S51"/>
  <c r="S39"/>
  <c r="M52"/>
  <c r="S52" s="1"/>
  <c r="Q51" l="1"/>
  <c r="R547" i="2"/>
  <c r="Q39" i="3"/>
  <c r="O52"/>
  <c r="Q52" s="1"/>
</calcChain>
</file>

<file path=xl/comments1.xml><?xml version="1.0" encoding="utf-8"?>
<comments xmlns="http://schemas.openxmlformats.org/spreadsheetml/2006/main">
  <authors>
    <author>James Zhang</author>
  </authors>
  <commentList>
    <comment ref="Q20" authorId="0">
      <text>
        <r>
          <rPr>
            <sz val="12"/>
            <color indexed="81"/>
            <rFont val="Tahoma"/>
            <family val="2"/>
          </rPr>
          <t>Sch 1&amp;3</t>
        </r>
      </text>
    </comment>
    <comment ref="Q21" authorId="0">
      <text>
        <r>
          <rPr>
            <sz val="12"/>
            <color indexed="81"/>
            <rFont val="Tahoma"/>
            <family val="2"/>
          </rPr>
          <t>Sch 1&amp;3</t>
        </r>
      </text>
    </comment>
    <comment ref="Q22" authorId="0">
      <text>
        <r>
          <rPr>
            <sz val="12"/>
            <color indexed="81"/>
            <rFont val="Tahoma"/>
            <family val="2"/>
          </rPr>
          <t>Sch 1&amp;3</t>
        </r>
      </text>
    </comment>
    <comment ref="A379" authorId="0">
      <text>
        <r>
          <rPr>
            <sz val="12"/>
            <color indexed="81"/>
            <rFont val="Tahoma"/>
            <family val="2"/>
          </rPr>
          <t>New</t>
        </r>
      </text>
    </comment>
    <comment ref="A382" authorId="0">
      <text>
        <r>
          <rPr>
            <sz val="12"/>
            <color indexed="81"/>
            <rFont val="Tahoma"/>
            <family val="2"/>
          </rPr>
          <t>New</t>
        </r>
      </text>
    </comment>
    <comment ref="A385" authorId="0">
      <text>
        <r>
          <rPr>
            <sz val="12"/>
            <color indexed="81"/>
            <rFont val="Tahoma"/>
            <family val="2"/>
          </rPr>
          <t>New</t>
        </r>
      </text>
    </comment>
    <comment ref="R545" authorId="0">
      <text>
        <r>
          <rPr>
            <sz val="12"/>
            <color indexed="81"/>
            <rFont val="Tahoma"/>
            <family val="2"/>
          </rPr>
          <t>Using Sch23 and 6 To make the Table A Increase match the Total Utah Revenue Requirement</t>
        </r>
      </text>
    </comment>
    <comment ref="R546" authorId="0">
      <text>
        <r>
          <rPr>
            <sz val="12"/>
            <color indexed="81"/>
            <rFont val="Tahoma"/>
            <family val="2"/>
          </rPr>
          <t>Using Sch23 and 6 To make the Table A Increase match the Total Utah Revenue Requirement</t>
        </r>
      </text>
    </comment>
  </commentList>
</comments>
</file>

<file path=xl/sharedStrings.xml><?xml version="1.0" encoding="utf-8"?>
<sst xmlns="http://schemas.openxmlformats.org/spreadsheetml/2006/main" count="1716" uniqueCount="526">
  <si>
    <t>TABLE  A</t>
  </si>
  <si>
    <t>Rocky Mountain Power</t>
  </si>
  <si>
    <t>Estimated Effect of Proposed Changes</t>
  </si>
  <si>
    <t>on Revenues from Electric Sales to Ultimate Consumers in Utah</t>
  </si>
  <si>
    <t>No. of</t>
  </si>
  <si>
    <t xml:space="preserve">Present </t>
  </si>
  <si>
    <t>Proposed</t>
  </si>
  <si>
    <t>Line</t>
  </si>
  <si>
    <t>Sch</t>
  </si>
  <si>
    <t>Customers</t>
  </si>
  <si>
    <t>MWh</t>
  </si>
  <si>
    <t>Revenues</t>
  </si>
  <si>
    <t xml:space="preserve">Avg </t>
  </si>
  <si>
    <t>No.</t>
  </si>
  <si>
    <t>Description</t>
  </si>
  <si>
    <t>Forecast</t>
  </si>
  <si>
    <t>($000)</t>
  </si>
  <si>
    <t>Change</t>
  </si>
  <si>
    <t>(%)</t>
  </si>
  <si>
    <t>¢/kWh</t>
  </si>
  <si>
    <t>Diff</t>
  </si>
  <si>
    <t>Residential</t>
  </si>
  <si>
    <t>1,3</t>
  </si>
  <si>
    <t>Residential-Optional TOD</t>
  </si>
  <si>
    <t>AGA/Revenue Credit</t>
  </si>
  <si>
    <t>--</t>
  </si>
  <si>
    <t>Total Residential</t>
  </si>
  <si>
    <t>Commercial &amp; Industrial &amp; OSPA</t>
  </si>
  <si>
    <t>General Service-Distribution</t>
  </si>
  <si>
    <t>General Service-Distribution-Energy TOD</t>
  </si>
  <si>
    <t>6A</t>
  </si>
  <si>
    <t>General Service-Distribution-Demand TOD</t>
  </si>
  <si>
    <t>6B</t>
  </si>
  <si>
    <t>Subtotal Schedule 6</t>
  </si>
  <si>
    <t>General Service-Distribution &gt; 1,000 kW</t>
  </si>
  <si>
    <t>General Service-High Voltage</t>
  </si>
  <si>
    <t>General Service-High Voltage-Energy TOD</t>
  </si>
  <si>
    <t>9A</t>
  </si>
  <si>
    <t>Subtotal Schedule 9</t>
  </si>
  <si>
    <t>Irrigation</t>
  </si>
  <si>
    <t>Irrigation-Time of Day</t>
  </si>
  <si>
    <t>10TOD</t>
  </si>
  <si>
    <t>Subtotal Irrigation</t>
  </si>
  <si>
    <t>Electric Furnace</t>
  </si>
  <si>
    <t>General Service-Distribution-Small</t>
  </si>
  <si>
    <t>Table A</t>
  </si>
  <si>
    <t>%</t>
  </si>
  <si>
    <t>Back-up, Maintenance, &amp; Supplementary</t>
  </si>
  <si>
    <t>Contract 1</t>
  </si>
  <si>
    <t>Contract 2</t>
  </si>
  <si>
    <t>Contract 3</t>
  </si>
  <si>
    <t>Total Commercial &amp; Industrial &amp; OSPA</t>
  </si>
  <si>
    <t>Total Commercial &amp; Industrial 
(excluding Contracts 1, 2, AGA)</t>
  </si>
  <si>
    <t>Public Street Lighting</t>
  </si>
  <si>
    <t>Security Area Lighting</t>
  </si>
  <si>
    <t>Street Lighting - Company Owned</t>
  </si>
  <si>
    <t>Street Lighting - Customer Owned</t>
  </si>
  <si>
    <t>Metered Outdoor Lighting</t>
  </si>
  <si>
    <t>Traffic Signal Systems</t>
  </si>
  <si>
    <t>Subtotal Public Street Lighting</t>
  </si>
  <si>
    <t>Security Area Lighting-Contracts (PTL)</t>
  </si>
  <si>
    <t>Street Lighting-Contract (77)</t>
  </si>
  <si>
    <t>Total Public Street Lighting</t>
  </si>
  <si>
    <t>Total Sales to Ultimate Customers</t>
  </si>
  <si>
    <t>Total Sales to Ultimate Customers 
(excluding Contracts 1, 2, AGA)</t>
  </si>
  <si>
    <t>Target Increase ($000)</t>
  </si>
  <si>
    <t>Total Utah Overall</t>
  </si>
  <si>
    <t>Tariff Overall Including Contracts 3</t>
  </si>
  <si>
    <t>Tariff Excluding Lightings Overall</t>
  </si>
  <si>
    <t>Adj</t>
  </si>
  <si>
    <t>Res (Middle Point)</t>
  </si>
  <si>
    <t>6, 23</t>
  </si>
  <si>
    <t>8, 15T</t>
  </si>
  <si>
    <t>9, 21, 31, Contract 3</t>
  </si>
  <si>
    <t>7,11,12,15M</t>
  </si>
  <si>
    <t>Rocky Mountain Power - State of Utah</t>
  </si>
  <si>
    <t>Blocking Based on Adjusted Actuals and Forecasted Loads</t>
  </si>
  <si>
    <t>Forecasted</t>
  </si>
  <si>
    <t>Adjusted</t>
  </si>
  <si>
    <t>Revenue</t>
  </si>
  <si>
    <t>Actual Units</t>
  </si>
  <si>
    <t>Units</t>
  </si>
  <si>
    <t>Price</t>
  </si>
  <si>
    <t>Dollars</t>
  </si>
  <si>
    <t>Schedule No. 1- Residential Service</t>
  </si>
  <si>
    <t>Res 1, 2, 3</t>
  </si>
  <si>
    <t xml:space="preserve">  Total Customer</t>
  </si>
  <si>
    <t>In Rate</t>
  </si>
  <si>
    <t xml:space="preserve">  Customer Charge - 1 Phase</t>
  </si>
  <si>
    <t>Target</t>
  </si>
  <si>
    <t xml:space="preserve">  Customer Charge - 3 Phase</t>
  </si>
  <si>
    <t>D</t>
  </si>
  <si>
    <t xml:space="preserve">  First 400 kWh (May-Sept)</t>
  </si>
  <si>
    <t>¢</t>
  </si>
  <si>
    <t>In Rate Change</t>
  </si>
  <si>
    <t xml:space="preserve">  Next 600 kWh (May-Sept)</t>
  </si>
  <si>
    <t>Target Change</t>
  </si>
  <si>
    <t xml:space="preserve">  All add'l kWh (May-Sept)</t>
  </si>
  <si>
    <t>Energy %</t>
  </si>
  <si>
    <t xml:space="preserve">  All kWh (Oct-Apr)</t>
  </si>
  <si>
    <t>Basic Charge</t>
  </si>
  <si>
    <t xml:space="preserve">  Minimum 1 Phase</t>
  </si>
  <si>
    <t>Sch 1</t>
  </si>
  <si>
    <t xml:space="preserve">  Minimum 3 Phase</t>
  </si>
  <si>
    <t>Sch 1 Net</t>
  </si>
  <si>
    <t xml:space="preserve">  Minimum Seasonal</t>
  </si>
  <si>
    <t xml:space="preserve">Annual Avg Usage </t>
  </si>
  <si>
    <t xml:space="preserve">  kWh in Minimum</t>
  </si>
  <si>
    <t xml:space="preserve">Summer Avg Usage </t>
  </si>
  <si>
    <t xml:space="preserve">      kWh in Minimum - Summer</t>
  </si>
  <si>
    <t xml:space="preserve">Winter Avg Usage </t>
  </si>
  <si>
    <t xml:space="preserve">      kWh in Minimum - Winter</t>
  </si>
  <si>
    <t xml:space="preserve">  Unbilled</t>
  </si>
  <si>
    <t xml:space="preserve">  Total</t>
  </si>
  <si>
    <t>Schedule No. 3- Residential Service</t>
  </si>
  <si>
    <t>Net Change</t>
  </si>
  <si>
    <t>Avg Usage - A</t>
  </si>
  <si>
    <t>Avg Usage - S</t>
  </si>
  <si>
    <t>Avg Usage - W</t>
  </si>
  <si>
    <t>Schedule No. 2 - Residential Service Optional Time-of-Day</t>
  </si>
  <si>
    <t xml:space="preserve">  On-Peak kWh (May - Sept)</t>
  </si>
  <si>
    <t xml:space="preserve">  Off-Peak kWh (May - Sept)</t>
  </si>
  <si>
    <t>Avg Usage</t>
  </si>
  <si>
    <t>Schedule No. 6 - Composite</t>
  </si>
  <si>
    <t xml:space="preserve">  Customer Charge</t>
  </si>
  <si>
    <t xml:space="preserve">  All kW (May - Sept)</t>
  </si>
  <si>
    <t xml:space="preserve">  All kW (Oct - Apr)</t>
  </si>
  <si>
    <t xml:space="preserve">  Voltage Discount</t>
  </si>
  <si>
    <t xml:space="preserve">  All kWh</t>
  </si>
  <si>
    <t xml:space="preserve">      kWh (May - Sept)</t>
  </si>
  <si>
    <t xml:space="preserve">      kWh (Oct - Apr)</t>
  </si>
  <si>
    <t xml:space="preserve">  Seasonal Service</t>
  </si>
  <si>
    <t>Non-Basic Change</t>
  </si>
  <si>
    <t>Schedule No. 6 - Commercial</t>
  </si>
  <si>
    <t xml:space="preserve">      kWh (May-Sept)</t>
  </si>
  <si>
    <t xml:space="preserve">      kWh (Oct-Apr)</t>
  </si>
  <si>
    <t>Schedule No. 6 - Industrial</t>
  </si>
  <si>
    <t>Schedule No. 6 - OSPA</t>
  </si>
  <si>
    <t>Schedule No. 6B - Demand Time-of-Day Option - Composite</t>
  </si>
  <si>
    <t xml:space="preserve">  All On-peak kW (May - Sept)</t>
  </si>
  <si>
    <t xml:space="preserve">  All On-peak kW (Oct - Apr)</t>
  </si>
  <si>
    <t>Schedule No. 6B - Demand Time-of-Day Option - Commercial</t>
  </si>
  <si>
    <t>Schedule No. 6B - Demand Time-of-Day Option - Industrial</t>
  </si>
  <si>
    <t>Schedule No. 6A - Energy Time-of-Day Option - Composite</t>
  </si>
  <si>
    <t xml:space="preserve">  Facilities kW (May - Sept)</t>
  </si>
  <si>
    <t xml:space="preserve">  Facilities kW (Oct - Apr)</t>
  </si>
  <si>
    <t xml:space="preserve">  On-Peak kWh (Oct - Apr)</t>
  </si>
  <si>
    <t xml:space="preserve">  Off-Peak kWh (Oct - Apr)</t>
  </si>
  <si>
    <t>Summer Ratio</t>
  </si>
  <si>
    <t>Winter Ratio</t>
  </si>
  <si>
    <t>Schedule No. 6A - Energy Time-of-Day Option - Commercial</t>
  </si>
  <si>
    <t>Schedule No. 6A - Energy Time-of-Day Option - Industrial</t>
  </si>
  <si>
    <t>Schedule No. 7 - Security Area Lighting</t>
  </si>
  <si>
    <t xml:space="preserve">  MERCURY VAPOR LAMPS</t>
  </si>
  <si>
    <t xml:space="preserve">   4,000 Lumen Energy Only</t>
  </si>
  <si>
    <t xml:space="preserve">   7,000 Lumen</t>
  </si>
  <si>
    <t xml:space="preserve">   7,000 Lumen Energy Only</t>
  </si>
  <si>
    <t xml:space="preserve">   20,000 Lumen</t>
  </si>
  <si>
    <t xml:space="preserve">  SODIUM VAPOR LAMPS</t>
  </si>
  <si>
    <t xml:space="preserve">   5,600 Lumen New Pole</t>
  </si>
  <si>
    <t xml:space="preserve">   5,600 Lumen No New Pole</t>
  </si>
  <si>
    <t xml:space="preserve">   9,500 Lumen New Pole</t>
  </si>
  <si>
    <t xml:space="preserve">   9,500 Lumen No New Pole</t>
  </si>
  <si>
    <t xml:space="preserve">   16,000 Lumen New Pole</t>
  </si>
  <si>
    <t xml:space="preserve">   16,000 Lumen No New Pole</t>
  </si>
  <si>
    <t xml:space="preserve">   22,000 Lumen</t>
  </si>
  <si>
    <t xml:space="preserve">   27,500 Lumen New Pole</t>
  </si>
  <si>
    <t xml:space="preserve">   27,500 Lumen No New Pole</t>
  </si>
  <si>
    <t xml:space="preserve">   50,000 Lumen New Pole</t>
  </si>
  <si>
    <t xml:space="preserve">   50,000 Lumen No New Pole</t>
  </si>
  <si>
    <t xml:space="preserve">  SODIUM VAPOR FLOOD LAMPS </t>
  </si>
  <si>
    <t xml:space="preserve">  METAL HALIDE LAMPS</t>
  </si>
  <si>
    <t xml:space="preserve">   12,000 Lumen New Pole</t>
  </si>
  <si>
    <t xml:space="preserve">   12,000 Lumen No New Pole</t>
  </si>
  <si>
    <t xml:space="preserve">   19,500 Lumen New Pole</t>
  </si>
  <si>
    <t xml:space="preserve">   19,500 Lumen No New Pole</t>
  </si>
  <si>
    <t xml:space="preserve">   32,000 Lumen New Pole</t>
  </si>
  <si>
    <t xml:space="preserve">   32,000 Lumen No New Pole</t>
  </si>
  <si>
    <t xml:space="preserve">  107,000 Lumen New Pole</t>
  </si>
  <si>
    <t xml:space="preserve">  107,000 Lumen No New Pole</t>
  </si>
  <si>
    <t>Subtotal</t>
  </si>
  <si>
    <t xml:space="preserve">  kWh Included</t>
  </si>
  <si>
    <t>Unbilled</t>
  </si>
  <si>
    <t>Rate Change</t>
  </si>
  <si>
    <t>Total (kWh)</t>
  </si>
  <si>
    <t>Schedule No. 8 - Composite</t>
  </si>
  <si>
    <t xml:space="preserve">  Facilities kW</t>
  </si>
  <si>
    <t xml:space="preserve">  On-Peak kW (May - Sept)</t>
  </si>
  <si>
    <t xml:space="preserve">  On-Peak kW (Oct - Apr)</t>
  </si>
  <si>
    <t xml:space="preserve">  Off-Peak kWh</t>
  </si>
  <si>
    <t>Schedule No. 8 - Commercial</t>
  </si>
  <si>
    <t>Schedule No. 8 - Industrial</t>
  </si>
  <si>
    <t>Schedule No. 9 - Composite</t>
  </si>
  <si>
    <t>Sch 9/Contracts 3</t>
  </si>
  <si>
    <t xml:space="preserve">  On-Peak kWh (May-Sept)</t>
  </si>
  <si>
    <t xml:space="preserve">  On-Peak kWh (Oct-Apr)</t>
  </si>
  <si>
    <t>Schedule No. 9 - Commercial</t>
  </si>
  <si>
    <t>Schedule No. 9 - Industrial</t>
  </si>
  <si>
    <t>Schedule No. 9 - OSPA</t>
  </si>
  <si>
    <t>Schedule No. 9A - Energy TOD - Composite</t>
  </si>
  <si>
    <t xml:space="preserve">  Facilities Charge per kW</t>
  </si>
  <si>
    <t xml:space="preserve">  On-Peak kWh</t>
  </si>
  <si>
    <t>Schedule No. 9A - Energy TOD - Commercial</t>
  </si>
  <si>
    <t>Schedule No. 9A - Energy TOD - Industrial</t>
  </si>
  <si>
    <t>Schedule No. 10 - Irrigation</t>
  </si>
  <si>
    <t xml:space="preserve">  Annual Cust. Serv. Chg. - Primary</t>
  </si>
  <si>
    <t xml:space="preserve">  Annual Cust. Serv. Chg. - Secondary</t>
  </si>
  <si>
    <t xml:space="preserve">  Monthly Cust. Serv. Chg.</t>
  </si>
  <si>
    <t xml:space="preserve">  All On-Season kW</t>
  </si>
  <si>
    <t xml:space="preserve">  First 30,000 kWh</t>
  </si>
  <si>
    <t>Sch 10, 10TOD</t>
  </si>
  <si>
    <t xml:space="preserve">  All add'l kWh</t>
  </si>
  <si>
    <t>Total On Season</t>
  </si>
  <si>
    <t xml:space="preserve">  Post Season</t>
  </si>
  <si>
    <t xml:space="preserve">   Customers</t>
  </si>
  <si>
    <t xml:space="preserve">   kWh</t>
  </si>
  <si>
    <t>Total Post Season</t>
  </si>
  <si>
    <t>TOTAL RATE 10</t>
  </si>
  <si>
    <t>Schedule No. 10-TOD</t>
  </si>
  <si>
    <t xml:space="preserve">   Monthly Cust. Serv. Chg.</t>
  </si>
  <si>
    <t xml:space="preserve">  Voltage Discount kW</t>
  </si>
  <si>
    <t>TOTAL RATE 10-TOD</t>
  </si>
  <si>
    <t xml:space="preserve"> </t>
  </si>
  <si>
    <t>Schedule No. 11 - Street Lighting - Company-Owned System</t>
  </si>
  <si>
    <t xml:space="preserve">  Sodium Vapor Lamps (HPS)</t>
  </si>
  <si>
    <t xml:space="preserve">   5,600 Lumen - Functional</t>
  </si>
  <si>
    <t xml:space="preserve">   9,500 Lumen - Functional</t>
  </si>
  <si>
    <t xml:space="preserve">   9,500 Lumen - Functional @ 90%</t>
  </si>
  <si>
    <t xml:space="preserve">   9,500 Lumen - S1</t>
  </si>
  <si>
    <t xml:space="preserve">   9,500 Lumen - S2</t>
  </si>
  <si>
    <t xml:space="preserve">   16,000 Lumen - Functional</t>
  </si>
  <si>
    <t xml:space="preserve">   16,000 Lumen - Functional @ 90%</t>
  </si>
  <si>
    <t xml:space="preserve">   16,000 Lumen - S1</t>
  </si>
  <si>
    <t xml:space="preserve">   16,000 Lumen - S2</t>
  </si>
  <si>
    <t xml:space="preserve">   27,500 Lumen - Functional</t>
  </si>
  <si>
    <t xml:space="preserve">   27,500 Lumen - Functional @ 90%</t>
  </si>
  <si>
    <t xml:space="preserve">   27,500 Lumen - S1</t>
  </si>
  <si>
    <t xml:space="preserve">   27,500 Lumen - S2</t>
  </si>
  <si>
    <t xml:space="preserve">   50,000 Lumen - Functional</t>
  </si>
  <si>
    <t xml:space="preserve">   125,000 Lumen</t>
  </si>
  <si>
    <t xml:space="preserve">  Metal Halide Lamps (MH)</t>
  </si>
  <si>
    <t xml:space="preserve">   9,000 Lumen - S1</t>
  </si>
  <si>
    <t xml:space="preserve">   9,000 Lumen - S2</t>
  </si>
  <si>
    <t xml:space="preserve">   12,000 Lumen - Functional</t>
  </si>
  <si>
    <t xml:space="preserve">   12,000 Lumen - S1</t>
  </si>
  <si>
    <t xml:space="preserve">   12,000 Lumen - S2</t>
  </si>
  <si>
    <t xml:space="preserve">   19,500 Lumen - Functional</t>
  </si>
  <si>
    <t xml:space="preserve">   19,500 Lumen - S1</t>
  </si>
  <si>
    <t xml:space="preserve">   19,500 Lumen - S2</t>
  </si>
  <si>
    <t xml:space="preserve">   32,000 Lumen - Functional</t>
  </si>
  <si>
    <t xml:space="preserve">   32,000 Lumen - S1</t>
  </si>
  <si>
    <t xml:space="preserve">   32,000 Lumen - S2</t>
  </si>
  <si>
    <t xml:space="preserve">  Mercury Vapor Lamps (No New Service) (MV)</t>
  </si>
  <si>
    <t xml:space="preserve">   4,000 Lumen</t>
  </si>
  <si>
    <t xml:space="preserve">   10,000 Lumen</t>
  </si>
  <si>
    <t xml:space="preserve">   10,000 Lumen @ 90%</t>
  </si>
  <si>
    <t xml:space="preserve">  Incandescent Lamps (No New Service) (INC)</t>
  </si>
  <si>
    <t xml:space="preserve">   500 Lumen</t>
  </si>
  <si>
    <t xml:space="preserve">   600 Lumen</t>
  </si>
  <si>
    <t xml:space="preserve">   2,500 Lumen</t>
  </si>
  <si>
    <t xml:space="preserve">   6,000 Lumen</t>
  </si>
  <si>
    <t xml:space="preserve">  Fluorescent Lamps (No New Service) (FLOUR)</t>
  </si>
  <si>
    <t xml:space="preserve">   21,000 Lumen</t>
  </si>
  <si>
    <t xml:space="preserve">  Special Service (No New Service)</t>
  </si>
  <si>
    <t xml:space="preserve">   50,000 Lumen - Flood</t>
  </si>
  <si>
    <t xml:space="preserve">  Subtotal </t>
  </si>
  <si>
    <t>Total</t>
  </si>
  <si>
    <t>Schedule No. 12 - Street Lighting - Customer-Owned System</t>
  </si>
  <si>
    <t xml:space="preserve">  1. Energy Only, No Maintenance</t>
  </si>
  <si>
    <t xml:space="preserve">  High Pressures Sodium Vapor Lamps</t>
  </si>
  <si>
    <t xml:space="preserve">   5,600 Lumen</t>
  </si>
  <si>
    <t xml:space="preserve">   9,500 Lumen</t>
  </si>
  <si>
    <t xml:space="preserve">   16,000 Lumen</t>
  </si>
  <si>
    <t xml:space="preserve">   27,500 Lumen</t>
  </si>
  <si>
    <t xml:space="preserve">   50,000 Lumen</t>
  </si>
  <si>
    <t xml:space="preserve">  Metal Halide Lamps</t>
  </si>
  <si>
    <t xml:space="preserve">   9,000 Lumen</t>
  </si>
  <si>
    <t xml:space="preserve">   12,000 Lumen</t>
  </si>
  <si>
    <t xml:space="preserve">   19,500 Lumen</t>
  </si>
  <si>
    <t xml:space="preserve">   32,000 Lumen</t>
  </si>
  <si>
    <t xml:space="preserve">  Non-listed Luminaries kWh</t>
  </si>
  <si>
    <t>Subtotal kWh</t>
  </si>
  <si>
    <t>Customer</t>
  </si>
  <si>
    <t>2a - Partial Maintenance (No New Service)</t>
  </si>
  <si>
    <t xml:space="preserve">  Incandescent Lamps</t>
  </si>
  <si>
    <t xml:space="preserve">   2,500 Lumen or Less</t>
  </si>
  <si>
    <t xml:space="preserve">   2,500 Lumen or Less @ 85%</t>
  </si>
  <si>
    <t xml:space="preserve">  Mercury Vapor Lamps</t>
  </si>
  <si>
    <t xml:space="preserve">   54,000 Lumen</t>
  </si>
  <si>
    <t xml:space="preserve">  High Pressure Sodium Vapor Lamps</t>
  </si>
  <si>
    <t xml:space="preserve">   9,500 Lumen @ 85%</t>
  </si>
  <si>
    <t xml:space="preserve">   9,500 Lumen - Decorative</t>
  </si>
  <si>
    <t xml:space="preserve">   16,000 Lumen @ 85%</t>
  </si>
  <si>
    <t xml:space="preserve">   16,000 Lumen - Decorative</t>
  </si>
  <si>
    <t xml:space="preserve">   22,000 Lumen </t>
  </si>
  <si>
    <t xml:space="preserve">   27,500 Lumen @ 85%</t>
  </si>
  <si>
    <t xml:space="preserve">   27,500 Lumen - Decorative</t>
  </si>
  <si>
    <t xml:space="preserve">   50,000 Lumen @ 85%</t>
  </si>
  <si>
    <t xml:space="preserve">   50,000 Lumen - Decorative</t>
  </si>
  <si>
    <t xml:space="preserve">   9,000 Lumen - Decorative</t>
  </si>
  <si>
    <t xml:space="preserve">   12,000 Lumen @ 85%</t>
  </si>
  <si>
    <t xml:space="preserve">   12,000 Lumen - Decorative</t>
  </si>
  <si>
    <t xml:space="preserve">   19,500 Lumen - Decorative</t>
  </si>
  <si>
    <t xml:space="preserve">   32,000 Lumen - Decorative</t>
  </si>
  <si>
    <t xml:space="preserve">  Fluorescent Lamps</t>
  </si>
  <si>
    <t xml:space="preserve">   1,000 Lumen</t>
  </si>
  <si>
    <t xml:space="preserve">   21,800 Lumen</t>
  </si>
  <si>
    <t>2b - Full Maintenance (No New Service)</t>
  </si>
  <si>
    <t xml:space="preserve">  Sodium Vapor Lamps</t>
  </si>
  <si>
    <t xml:space="preserve">   9,500 Lumen @ 90%</t>
  </si>
  <si>
    <t xml:space="preserve">   16,000 Lumen @ 90%</t>
  </si>
  <si>
    <t xml:space="preserve">   50,000 Lumen @ 90%</t>
  </si>
  <si>
    <t xml:space="preserve">   107,000 Lumen </t>
  </si>
  <si>
    <t>kWh Street Lighting</t>
  </si>
  <si>
    <t>Schedule 15.1 - Metered Outdoor Nighttime Lighting</t>
  </si>
  <si>
    <t xml:space="preserve"> Annual Facility Charge</t>
  </si>
  <si>
    <t xml:space="preserve"> Annual Customer Charge</t>
  </si>
  <si>
    <t xml:space="preserve"> Annual Minimum Charge</t>
  </si>
  <si>
    <t xml:space="preserve"> Monthly Customer Charge</t>
  </si>
  <si>
    <t xml:space="preserve"> All kWh</t>
  </si>
  <si>
    <t xml:space="preserve"> Unbilled</t>
  </si>
  <si>
    <t>Schedule 15.2 - Traffic Signal Systems</t>
  </si>
  <si>
    <t xml:space="preserve"> Customer Charge</t>
  </si>
  <si>
    <t>Schedule No. 21 - Electric Furnace Operations - Limited Service - Industrial</t>
  </si>
  <si>
    <t xml:space="preserve"> Primary Voltage</t>
  </si>
  <si>
    <t xml:space="preserve">  Charge per kW (Facilities)</t>
  </si>
  <si>
    <t xml:space="preserve">  First 100,000 kWh</t>
  </si>
  <si>
    <t xml:space="preserve">  Subtotal</t>
  </si>
  <si>
    <t xml:space="preserve"> 44KV or Higher</t>
  </si>
  <si>
    <t>Schedule No. 23 - Distribution Voltage - Small Customer - Composite</t>
  </si>
  <si>
    <t xml:space="preserve">  kW over 15 (May - Sept)</t>
  </si>
  <si>
    <t xml:space="preserve">  kW over 15 (Oct - Apr)</t>
  </si>
  <si>
    <t xml:space="preserve">  First 1,500 kWh (May - Sept)</t>
  </si>
  <si>
    <t xml:space="preserve">  All Add'l kWh (May - Sept)</t>
  </si>
  <si>
    <t xml:space="preserve">  First 1,500 kWh (Oct - Apr)</t>
  </si>
  <si>
    <t xml:space="preserve">  All Add'l kWh (Oct - Apr)</t>
  </si>
  <si>
    <t>Adj (Sch 23)</t>
  </si>
  <si>
    <t>Adj (Sch 6)</t>
  </si>
  <si>
    <t>Schedule No. 23 - Distribution Voltage - Small Customer - Commercial</t>
  </si>
  <si>
    <t>Schedule No. 23 - Distribution Voltage - Small Customer - Industrial</t>
  </si>
  <si>
    <t>Schedule No. 23 - Distribution Voltage - Small Customer - OSPA</t>
  </si>
  <si>
    <t>Schedule No.31 - Back-Up, Maintenance, and Supplementary Power - Composite</t>
  </si>
  <si>
    <t>Secondary Voltage</t>
  </si>
  <si>
    <t>Sch 31/Contract 3</t>
  </si>
  <si>
    <t xml:space="preserve">     Customer Charge per month</t>
  </si>
  <si>
    <t xml:space="preserve">     Facilities Charge, per kW month</t>
  </si>
  <si>
    <t xml:space="preserve">     Back-up Power Charge</t>
  </si>
  <si>
    <t xml:space="preserve">         Regular, per On-Peak kW day</t>
  </si>
  <si>
    <t xml:space="preserve">         Maintenance, per On-Peak kW day</t>
  </si>
  <si>
    <t xml:space="preserve">     Excess Power, per kW month</t>
  </si>
  <si>
    <t>Non-Sup</t>
  </si>
  <si>
    <t>Primary Voltage</t>
  </si>
  <si>
    <t>Transmission Voltage</t>
  </si>
  <si>
    <t>Supplemental billed at Schedule 6/8/9 rate</t>
  </si>
  <si>
    <t xml:space="preserve">  Schedule 8</t>
  </si>
  <si>
    <t xml:space="preserve">  Schedule 9</t>
  </si>
  <si>
    <t xml:space="preserve">  Total (Aggregated)</t>
  </si>
  <si>
    <t>Schedule No.31 - Back-Up, Maintenance, and Supplementary Power - Commercial</t>
  </si>
  <si>
    <t>Schedule No. 31 - Back-Up, Maintenance, and Supplementary Power - Industrial</t>
  </si>
  <si>
    <t xml:space="preserve">  kW High Load Hours</t>
  </si>
  <si>
    <t xml:space="preserve">  kW Low Load Hours</t>
  </si>
  <si>
    <t xml:space="preserve">  kWh High Load Hours</t>
  </si>
  <si>
    <t xml:space="preserve">  kWh Low Load Hours</t>
  </si>
  <si>
    <t xml:space="preserve">  Interruptible kWh</t>
  </si>
  <si>
    <t>Contract 3 - Composite</t>
  </si>
  <si>
    <t xml:space="preserve">  Facilities Charge per kW - Back-Up</t>
  </si>
  <si>
    <t xml:space="preserve">  kW Back-Up</t>
  </si>
  <si>
    <t xml:space="preserve">  Excess Power, per kW month</t>
  </si>
  <si>
    <t xml:space="preserve">  kW Supplemental</t>
  </si>
  <si>
    <t xml:space="preserve">      On-Peak kW (May - Sept)</t>
  </si>
  <si>
    <t xml:space="preserve">      On-Peak kW (Oct - Apr)</t>
  </si>
  <si>
    <t xml:space="preserve">  kWh Supplemental</t>
  </si>
  <si>
    <t xml:space="preserve">      On-Peak kWh (May-Sept)</t>
  </si>
  <si>
    <t xml:space="preserve">      On-Peak kWh (Oct-Apr)</t>
  </si>
  <si>
    <t xml:space="preserve">      Off-Peak kWh</t>
  </si>
  <si>
    <t xml:space="preserve">  Total </t>
  </si>
  <si>
    <t>Contract 3a</t>
  </si>
  <si>
    <t>Contract 3b</t>
  </si>
  <si>
    <t>Rate No. 77 - Security Lighting, 08THIK0077</t>
  </si>
  <si>
    <t xml:space="preserve">  Customer</t>
  </si>
  <si>
    <t xml:space="preserve">  20,000 Mercury Vapor</t>
  </si>
  <si>
    <t>Lighting Contract - Post Top Lighting - 08PTLD000N/08PTLD000R</t>
  </si>
  <si>
    <t>Energy Only Res</t>
  </si>
  <si>
    <t>Energy Only Non-Res</t>
  </si>
  <si>
    <t xml:space="preserve">  KWH Included</t>
  </si>
  <si>
    <t>Annual Guarantee Adjustment</t>
  </si>
  <si>
    <t xml:space="preserve"> Residential</t>
  </si>
  <si>
    <t xml:space="preserve"> Commercial</t>
  </si>
  <si>
    <t xml:space="preserve"> Industrial</t>
  </si>
  <si>
    <t xml:space="preserve"> Irrigation</t>
  </si>
  <si>
    <t xml:space="preserve"> Public Street &amp; Highway Lighting</t>
  </si>
  <si>
    <t xml:space="preserve"> Other Sales Public Authorities</t>
  </si>
  <si>
    <t xml:space="preserve">  Total AGA</t>
  </si>
  <si>
    <t>TOTAL - ALL CLASSES</t>
  </si>
  <si>
    <t>Table  A</t>
  </si>
  <si>
    <t>Present</t>
  </si>
  <si>
    <t>Monthly Average</t>
  </si>
  <si>
    <t>kWh</t>
  </si>
  <si>
    <t>$</t>
  </si>
  <si>
    <t>Monthly Billing Comparison</t>
  </si>
  <si>
    <t>Schedule 1 - State of Utah</t>
  </si>
  <si>
    <t>Residential Service</t>
  </si>
  <si>
    <r>
      <t>Monthly Energy Charge</t>
    </r>
    <r>
      <rPr>
        <b/>
        <vertAlign val="superscript"/>
        <sz val="10"/>
        <rFont val="Times New Roman"/>
        <family val="1"/>
      </rPr>
      <t>1</t>
    </r>
  </si>
  <si>
    <t>Average Rate</t>
  </si>
  <si>
    <t>Monthly Customer Charge</t>
  </si>
  <si>
    <t>Summer</t>
  </si>
  <si>
    <t>Winter</t>
  </si>
  <si>
    <r>
      <t xml:space="preserve">$ </t>
    </r>
    <r>
      <rPr>
        <sz val="10"/>
        <rFont val="Century Schoolbook"/>
        <family val="1"/>
      </rPr>
      <t>Δ</t>
    </r>
  </si>
  <si>
    <r>
      <t xml:space="preserve">% </t>
    </r>
    <r>
      <rPr>
        <sz val="10"/>
        <rFont val="Century Schoolbook"/>
        <family val="1"/>
      </rPr>
      <t>Δ</t>
    </r>
  </si>
  <si>
    <t>Basic</t>
  </si>
  <si>
    <t>kWh1</t>
  </si>
  <si>
    <t>kWh2</t>
  </si>
  <si>
    <t>kWh3</t>
  </si>
  <si>
    <t>Minimum</t>
  </si>
  <si>
    <t>w</t>
  </si>
  <si>
    <t>HELP</t>
  </si>
  <si>
    <t>a</t>
  </si>
  <si>
    <t>DSM</t>
  </si>
  <si>
    <t>s</t>
  </si>
  <si>
    <t>Table A Price Change</t>
  </si>
  <si>
    <t>Sch 40</t>
  </si>
  <si>
    <t>Sch 97</t>
  </si>
  <si>
    <t>Sch 98</t>
  </si>
  <si>
    <t>Net</t>
  </si>
  <si>
    <r>
      <t>1</t>
    </r>
    <r>
      <rPr>
        <sz val="10"/>
        <rFont val="Times New Roman"/>
        <family val="1"/>
      </rPr>
      <t xml:space="preserve">  Including HELP, DSM, REC and applicable adjustment.</t>
    </r>
  </si>
  <si>
    <t>w: Winter average usage; a:  Annual average usage; s: Summer average usage.</t>
  </si>
  <si>
    <t xml:space="preserve">Proposed </t>
  </si>
  <si>
    <t>Annual</t>
  </si>
  <si>
    <t>Single Phase</t>
  </si>
  <si>
    <t>Three Phase</t>
  </si>
  <si>
    <t>Minimum Bill</t>
  </si>
  <si>
    <t>Pre</t>
  </si>
  <si>
    <t>Pro</t>
  </si>
  <si>
    <t>Min Rate</t>
  </si>
  <si>
    <t>Min kWh-Summer</t>
  </si>
  <si>
    <t>Min kWh-Winter</t>
  </si>
  <si>
    <t>Schedule 23 - State of Utah</t>
  </si>
  <si>
    <t>General Service - Distribution Voltage</t>
  </si>
  <si>
    <t>kW</t>
  </si>
  <si>
    <r>
      <t>Monthly Billing</t>
    </r>
    <r>
      <rPr>
        <vertAlign val="superscript"/>
        <sz val="10"/>
        <rFont val="Times New Roman"/>
        <family val="1"/>
      </rPr>
      <t>1</t>
    </r>
  </si>
  <si>
    <t>Load Size</t>
  </si>
  <si>
    <t>0 to 15</t>
  </si>
  <si>
    <t>Sch 23</t>
  </si>
  <si>
    <t>Demand</t>
  </si>
  <si>
    <t>Voltage</t>
  </si>
  <si>
    <t>kWh-1st 1,500</t>
  </si>
  <si>
    <t>All other kWh</t>
  </si>
  <si>
    <t>HELP Charge</t>
  </si>
  <si>
    <r>
      <t>1</t>
    </r>
    <r>
      <rPr>
        <sz val="10"/>
        <rFont val="Times New Roman"/>
        <family val="1"/>
      </rPr>
      <t xml:space="preserve">  Including HELP, DSM and applicable adjustment.</t>
    </r>
  </si>
  <si>
    <t>Schedule 6 - State of Utah</t>
  </si>
  <si>
    <t>Sch 6</t>
  </si>
  <si>
    <t>All kWh</t>
  </si>
  <si>
    <t>Schedule 8 - State of Utah</t>
  </si>
  <si>
    <t>General Service - Distribution Voltage &gt; 1 MW</t>
  </si>
  <si>
    <t>Sch 8</t>
  </si>
  <si>
    <t>On-Peak</t>
  </si>
  <si>
    <r>
      <t>Load Size</t>
    </r>
    <r>
      <rPr>
        <vertAlign val="superscript"/>
        <sz val="10"/>
        <rFont val="Times New Roman"/>
        <family val="1"/>
      </rPr>
      <t>2</t>
    </r>
  </si>
  <si>
    <t>kWh %</t>
  </si>
  <si>
    <t>Facilities kW</t>
  </si>
  <si>
    <t>On-Peak kW</t>
  </si>
  <si>
    <t>On-Peak kWh</t>
  </si>
  <si>
    <t>Off-Peak kWh</t>
  </si>
  <si>
    <r>
      <t>2</t>
    </r>
    <r>
      <rPr>
        <sz val="10"/>
        <rFont val="Times New Roman"/>
        <family val="1"/>
      </rPr>
      <t xml:space="preserve">  Assumes customer monthly peak occurs during On-Peak hours.</t>
    </r>
  </si>
  <si>
    <t>Schedule 9 - State of Utah</t>
  </si>
  <si>
    <t>General Service - Transmission Voltage</t>
  </si>
  <si>
    <t>Sch 9</t>
  </si>
  <si>
    <t>Surcharge</t>
  </si>
  <si>
    <t>Schedule 10 - State of Utah</t>
  </si>
  <si>
    <t>Irrigation and Soil Drainage Pumping Power Service - Distribution Voltage</t>
  </si>
  <si>
    <t>Irrigation Season</t>
  </si>
  <si>
    <t>Post-Irrigation Season</t>
  </si>
  <si>
    <t>Sch 10</t>
  </si>
  <si>
    <t>On-Season</t>
  </si>
  <si>
    <t>1st 30,000 kWh</t>
  </si>
  <si>
    <t>All add'l kWh</t>
  </si>
  <si>
    <t>Off-Season</t>
  </si>
  <si>
    <r>
      <t>1</t>
    </r>
    <r>
      <rPr>
        <sz val="10"/>
        <rFont val="Times New Roman"/>
        <family val="1"/>
      </rPr>
      <t xml:space="preserve">  Including HELP, DSM and applicable adjustment. Not including annual customer service charge.</t>
    </r>
  </si>
  <si>
    <t>Base Period 12 Months Ending June 2011</t>
  </si>
  <si>
    <t>Forecast Test Period 12 Months Ending May 2013</t>
  </si>
  <si>
    <t xml:space="preserve"> Residential Single Phase Customer Charge Calculation Methodologies</t>
  </si>
  <si>
    <t>State of Utah</t>
  </si>
  <si>
    <t>Method</t>
  </si>
  <si>
    <t>1.  Fixed Costs</t>
  </si>
  <si>
    <t>2.  1985</t>
  </si>
  <si>
    <t>3.  2012</t>
  </si>
  <si>
    <t>Methodology</t>
  </si>
  <si>
    <t>(1)</t>
  </si>
  <si>
    <t>(2)</t>
  </si>
  <si>
    <t>(3)</t>
  </si>
  <si>
    <t>1)</t>
  </si>
  <si>
    <t>Customer Billing &amp; Accounting Expense (acct. 903.2)</t>
  </si>
  <si>
    <t>2)</t>
  </si>
  <si>
    <t>Meter Reading (acct. 902.1)</t>
  </si>
  <si>
    <t>3)</t>
  </si>
  <si>
    <t>All Other Retail Function</t>
  </si>
  <si>
    <t>4)</t>
  </si>
  <si>
    <t>Meters - Depreciation Expense</t>
  </si>
  <si>
    <t>5)</t>
  </si>
  <si>
    <t>Meter Expense (acct. 586)</t>
  </si>
  <si>
    <t>6)</t>
  </si>
  <si>
    <t>Meter Maintenance (acct. 597)</t>
  </si>
  <si>
    <t>7)</t>
  </si>
  <si>
    <t>Meter Plant (acct. 370)</t>
  </si>
  <si>
    <t>8)</t>
  </si>
  <si>
    <t xml:space="preserve">Meters - Accumulated Depreciation </t>
  </si>
  <si>
    <t>9)</t>
  </si>
  <si>
    <t>Service Drop - Depreciation Expense</t>
  </si>
  <si>
    <t>10)</t>
  </si>
  <si>
    <t>Service Drop Plant (acct. 369)</t>
  </si>
  <si>
    <t>11)</t>
  </si>
  <si>
    <t xml:space="preserve">Service Drop - Accumulated Depreciation </t>
  </si>
  <si>
    <t>12)</t>
  </si>
  <si>
    <t>Transformers - Customer Related</t>
  </si>
  <si>
    <t>13)</t>
  </si>
  <si>
    <t>All Other Distribution - Service Drop</t>
  </si>
  <si>
    <t>14)</t>
  </si>
  <si>
    <t>All Other Distribution -Transformer</t>
  </si>
  <si>
    <t>16)</t>
  </si>
  <si>
    <t>All Other Distribution - Poles and Conductors</t>
  </si>
  <si>
    <t>17)</t>
  </si>
  <si>
    <t>All Other Distribution - Substation</t>
  </si>
  <si>
    <t>18)</t>
  </si>
  <si>
    <t>Miscellaneous Function</t>
  </si>
  <si>
    <t>19)</t>
  </si>
  <si>
    <t>Total Customer Charge Per Month</t>
  </si>
  <si>
    <r>
      <t xml:space="preserve">Summer Price </t>
    </r>
    <r>
      <rPr>
        <sz val="12"/>
        <color theme="1"/>
        <rFont val="Symbol"/>
        <family val="1"/>
        <charset val="2"/>
      </rPr>
      <t>D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</si>
</sst>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&quot;$&quot;#,##0.0000_);\(&quot;$&quot;#,##0.0000\)"/>
    <numFmt numFmtId="167" formatCode="_(&quot;$&quot;* #,##0_);_(&quot;$&quot;* \(#,##0\);_(&quot;$&quot;* &quot;-&quot;??_);_(@_)"/>
    <numFmt numFmtId="168" formatCode="&quot;$&quot;#,##0"/>
    <numFmt numFmtId="169" formatCode="#,##0.000_);\(#,##0.000\)"/>
    <numFmt numFmtId="170" formatCode="0.0%"/>
    <numFmt numFmtId="171" formatCode="0.0000_);[Red]\(0.0000\)"/>
    <numFmt numFmtId="172" formatCode="0.0000_)"/>
    <numFmt numFmtId="173" formatCode="#,##0.0000"/>
    <numFmt numFmtId="174" formatCode="#,##0.00000_);\(#,##0.00000\)"/>
    <numFmt numFmtId="175" formatCode="#,##0.0000_);\(#,##0.0000\)"/>
    <numFmt numFmtId="176" formatCode="_(* #,##0.0000_);_(* \(#,##0.0000\);_(* &quot;-&quot;??_);_(@_)"/>
    <numFmt numFmtId="177" formatCode="0.0000"/>
    <numFmt numFmtId="178" formatCode="0.0"/>
    <numFmt numFmtId="179" formatCode="#,##0.0_);\(#,##0.0\)"/>
    <numFmt numFmtId="180" formatCode="&quot;$&quot;#,##0.000_);\(&quot;$&quot;#,##0.000\)"/>
    <numFmt numFmtId="181" formatCode="&quot;$&quot;#,##0.00"/>
    <numFmt numFmtId="182" formatCode="0.0%;\-0.0%"/>
    <numFmt numFmtId="183" formatCode="0.00%;\-0.00%"/>
  </numFmts>
  <fonts count="45">
    <font>
      <sz val="12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rgb="FF0000FF"/>
      <name val="Times New Roman"/>
      <family val="1"/>
    </font>
    <font>
      <sz val="12"/>
      <name val="Arial"/>
      <family val="2"/>
    </font>
    <font>
      <sz val="12"/>
      <color indexed="81"/>
      <name val="Tahoma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u/>
      <sz val="10"/>
      <name val="Times New Roman"/>
      <family val="1"/>
    </font>
    <font>
      <sz val="10"/>
      <name val="Century Schoolbook"/>
      <family val="1"/>
    </font>
    <font>
      <b/>
      <i/>
      <u/>
      <sz val="10"/>
      <name val="Times New Roman"/>
      <family val="1"/>
    </font>
    <font>
      <sz val="10"/>
      <color indexed="12"/>
      <name val="Times New Roman"/>
      <family val="1"/>
    </font>
    <font>
      <vertAlign val="superscript"/>
      <sz val="10"/>
      <name val="Times New Roman"/>
      <family val="1"/>
    </font>
    <font>
      <sz val="10"/>
      <color indexed="9"/>
      <name val="Arial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u/>
      <sz val="13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7"/>
      <name val="Arial"/>
      <family val="2"/>
    </font>
    <font>
      <sz val="10"/>
      <name val="Swiss"/>
      <family val="2"/>
    </font>
    <font>
      <sz val="12"/>
      <name val="TimesNewRomanPS"/>
    </font>
    <font>
      <sz val="11"/>
      <color indexed="8"/>
      <name val="Century Schoolbook"/>
      <family val="2"/>
    </font>
    <font>
      <sz val="10"/>
      <color theme="1"/>
      <name val="Times New Roman"/>
      <family val="2"/>
    </font>
    <font>
      <sz val="10"/>
      <name val="LinePrinte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name val="Arial MT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Symbol"/>
      <family val="1"/>
      <charset val="2"/>
    </font>
    <font>
      <i/>
      <sz val="12"/>
      <color theme="1"/>
      <name val="Times New Roman"/>
      <family val="1"/>
    </font>
    <font>
      <sz val="12"/>
      <color theme="1"/>
      <name val="Arial"/>
      <family val="2"/>
    </font>
    <font>
      <b/>
      <u/>
      <sz val="12"/>
      <color theme="1"/>
      <name val="Times New Roman"/>
      <family val="1"/>
    </font>
    <font>
      <i/>
      <u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13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/>
    <xf numFmtId="164" fontId="1" fillId="0" borderId="0"/>
    <xf numFmtId="0" fontId="9" fillId="0" borderId="0"/>
    <xf numFmtId="0" fontId="3" fillId="0" borderId="0"/>
    <xf numFmtId="0" fontId="25" fillId="0" borderId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7" fillId="0" borderId="0" applyFont="0" applyFill="0" applyBorder="0" applyAlignment="0" applyProtection="0">
      <alignment horizontal="left"/>
    </xf>
    <xf numFmtId="165" fontId="4" fillId="0" borderId="0" applyFont="0" applyAlignment="0" applyProtection="0"/>
    <xf numFmtId="0" fontId="3" fillId="0" borderId="0">
      <alignment wrapText="1"/>
    </xf>
    <xf numFmtId="0" fontId="26" fillId="0" borderId="0"/>
    <xf numFmtId="0" fontId="1" fillId="0" borderId="0"/>
    <xf numFmtId="41" fontId="28" fillId="0" borderId="0" applyFont="0" applyFill="0" applyBorder="0" applyAlignment="0" applyProtection="0"/>
    <xf numFmtId="181" fontId="29" fillId="0" borderId="0"/>
    <xf numFmtId="0" fontId="30" fillId="0" borderId="0"/>
    <xf numFmtId="0" fontId="26" fillId="0" borderId="0"/>
    <xf numFmtId="0" fontId="1" fillId="0" borderId="0"/>
    <xf numFmtId="0" fontId="3" fillId="0" borderId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164" fontId="32" fillId="0" borderId="0">
      <alignment horizontal="lef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36" fillId="4" borderId="0" applyNumberFormat="0" applyProtection="0">
      <alignment horizontal="left" vertical="center" indent="1"/>
    </xf>
    <xf numFmtId="4" fontId="37" fillId="0" borderId="0" applyNumberFormat="0" applyProtection="0">
      <alignment horizontal="left" vertical="center"/>
    </xf>
  </cellStyleXfs>
  <cellXfs count="492">
    <xf numFmtId="0" fontId="0" fillId="0" borderId="0" xfId="0"/>
    <xf numFmtId="164" fontId="2" fillId="0" borderId="0" xfId="4" applyNumberFormat="1" applyFont="1" applyAlignment="1">
      <alignment horizontal="centerContinuous"/>
    </xf>
    <xf numFmtId="164" fontId="2" fillId="0" borderId="0" xfId="4" applyNumberFormat="1" applyFont="1" applyFill="1" applyAlignment="1">
      <alignment horizontal="centerContinuous"/>
    </xf>
    <xf numFmtId="164" fontId="1" fillId="0" borderId="0" xfId="4" applyNumberFormat="1" applyFill="1" applyAlignment="1">
      <alignment horizontal="centerContinuous"/>
    </xf>
    <xf numFmtId="10" fontId="1" fillId="0" borderId="0" xfId="4" applyNumberFormat="1" applyFill="1" applyAlignment="1">
      <alignment horizontal="centerContinuous"/>
    </xf>
    <xf numFmtId="2" fontId="1" fillId="0" borderId="0" xfId="4" applyNumberFormat="1" applyFill="1" applyAlignment="1">
      <alignment horizontal="centerContinuous"/>
    </xf>
    <xf numFmtId="164" fontId="1" fillId="0" borderId="0" xfId="4" applyNumberFormat="1"/>
    <xf numFmtId="0" fontId="0" fillId="0" borderId="0" xfId="0" applyAlignment="1">
      <alignment horizontal="centerContinuous"/>
    </xf>
    <xf numFmtId="0" fontId="0" fillId="0" borderId="0" xfId="0" applyAlignment="1"/>
    <xf numFmtId="164" fontId="1" fillId="0" borderId="0" xfId="4" applyNumberFormat="1" applyAlignment="1">
      <alignment horizontal="centerContinuous"/>
    </xf>
    <xf numFmtId="164" fontId="2" fillId="0" borderId="0" xfId="4" applyNumberFormat="1" applyFont="1" applyFill="1" applyAlignment="1">
      <alignment horizontal="center"/>
    </xf>
    <xf numFmtId="164" fontId="2" fillId="0" borderId="0" xfId="4" applyNumberFormat="1" applyFont="1" applyAlignment="1">
      <alignment horizontal="center"/>
    </xf>
    <xf numFmtId="164" fontId="2" fillId="0" borderId="0" xfId="4" applyNumberFormat="1" applyFont="1" applyFill="1" applyBorder="1" applyAlignment="1">
      <alignment horizontal="center"/>
    </xf>
    <xf numFmtId="164" fontId="2" fillId="0" borderId="0" xfId="4" applyNumberFormat="1" applyFont="1" applyFill="1" applyBorder="1" applyAlignment="1">
      <alignment horizontal="centerContinuous"/>
    </xf>
    <xf numFmtId="2" fontId="1" fillId="0" borderId="0" xfId="4" applyNumberFormat="1" applyFill="1" applyBorder="1" applyAlignment="1">
      <alignment horizontal="centerContinuous"/>
    </xf>
    <xf numFmtId="164" fontId="2" fillId="0" borderId="0" xfId="4" applyNumberFormat="1" applyFont="1"/>
    <xf numFmtId="10" fontId="2" fillId="0" borderId="0" xfId="4" applyNumberFormat="1" applyFont="1" applyFill="1" applyBorder="1" applyAlignment="1">
      <alignment horizontal="centerContinuous"/>
    </xf>
    <xf numFmtId="2" fontId="2" fillId="0" borderId="0" xfId="4" applyNumberFormat="1" applyFont="1" applyFill="1" applyBorder="1" applyAlignment="1">
      <alignment horizontal="center"/>
    </xf>
    <xf numFmtId="164" fontId="2" fillId="0" borderId="1" xfId="4" applyNumberFormat="1" applyFont="1" applyBorder="1" applyAlignment="1">
      <alignment horizontal="center"/>
    </xf>
    <xf numFmtId="164" fontId="2" fillId="0" borderId="1" xfId="4" applyNumberFormat="1" applyFont="1" applyFill="1" applyBorder="1" applyAlignment="1">
      <alignment horizontal="center"/>
    </xf>
    <xf numFmtId="164" fontId="2" fillId="0" borderId="1" xfId="4" quotePrefix="1" applyNumberFormat="1" applyFont="1" applyFill="1" applyBorder="1" applyAlignment="1">
      <alignment horizontal="center"/>
    </xf>
    <xf numFmtId="10" fontId="2" fillId="0" borderId="1" xfId="4" applyNumberFormat="1" applyFont="1" applyFill="1" applyBorder="1" applyAlignment="1">
      <alignment horizontal="center"/>
    </xf>
    <xf numFmtId="2" fontId="2" fillId="0" borderId="1" xfId="4" applyNumberFormat="1" applyFont="1" applyFill="1" applyBorder="1" applyAlignment="1">
      <alignment horizontal="center"/>
    </xf>
    <xf numFmtId="37" fontId="2" fillId="0" borderId="0" xfId="4" quotePrefix="1" applyNumberFormat="1" applyFont="1" applyAlignment="1">
      <alignment horizontal="center"/>
    </xf>
    <xf numFmtId="37" fontId="2" fillId="0" borderId="0" xfId="4" quotePrefix="1" applyNumberFormat="1" applyFont="1" applyFill="1" applyAlignment="1">
      <alignment horizontal="center"/>
    </xf>
    <xf numFmtId="164" fontId="2" fillId="0" borderId="0" xfId="4" applyNumberFormat="1" applyFont="1" applyFill="1"/>
    <xf numFmtId="164" fontId="1" fillId="0" borderId="0" xfId="4" applyNumberFormat="1" applyFill="1"/>
    <xf numFmtId="10" fontId="1" fillId="0" borderId="0" xfId="4" applyNumberFormat="1" applyFill="1"/>
    <xf numFmtId="2" fontId="1" fillId="0" borderId="0" xfId="4" applyNumberFormat="1" applyFill="1"/>
    <xf numFmtId="164" fontId="1" fillId="0" borderId="0" xfId="4" applyNumberFormat="1" applyFont="1" applyAlignment="1">
      <alignment horizontal="right"/>
    </xf>
    <xf numFmtId="165" fontId="1" fillId="0" borderId="0" xfId="1" applyNumberFormat="1" applyFont="1" applyFill="1"/>
    <xf numFmtId="5" fontId="1" fillId="0" borderId="0" xfId="2" applyNumberFormat="1" applyFont="1" applyFill="1"/>
    <xf numFmtId="5" fontId="1" fillId="0" borderId="0" xfId="4" applyNumberFormat="1" applyFill="1"/>
    <xf numFmtId="10" fontId="4" fillId="0" borderId="0" xfId="2" applyNumberFormat="1" applyFont="1" applyFill="1"/>
    <xf numFmtId="8" fontId="1" fillId="0" borderId="0" xfId="4" applyNumberFormat="1"/>
    <xf numFmtId="164" fontId="1" fillId="0" borderId="0" xfId="4" applyNumberFormat="1" applyAlignment="1">
      <alignment horizontal="right"/>
    </xf>
    <xf numFmtId="164" fontId="1" fillId="0" borderId="0" xfId="4" applyNumberFormat="1" applyFont="1"/>
    <xf numFmtId="164" fontId="1" fillId="0" borderId="0" xfId="4" applyNumberFormat="1" applyBorder="1" applyAlignment="1">
      <alignment horizontal="right"/>
    </xf>
    <xf numFmtId="164" fontId="1" fillId="0" borderId="1" xfId="4" applyNumberFormat="1" applyFill="1" applyBorder="1" applyAlignment="1">
      <alignment horizontal="right"/>
    </xf>
    <xf numFmtId="5" fontId="1" fillId="0" borderId="1" xfId="2" applyNumberFormat="1" applyFont="1" applyFill="1" applyBorder="1"/>
    <xf numFmtId="5" fontId="4" fillId="0" borderId="1" xfId="2" applyNumberFormat="1" applyFont="1" applyFill="1" applyBorder="1"/>
    <xf numFmtId="10" fontId="4" fillId="0" borderId="1" xfId="2" applyNumberFormat="1" applyFont="1" applyFill="1" applyBorder="1"/>
    <xf numFmtId="2" fontId="1" fillId="0" borderId="1" xfId="4" applyNumberFormat="1" applyFill="1" applyBorder="1"/>
    <xf numFmtId="8" fontId="1" fillId="0" borderId="1" xfId="4" applyNumberFormat="1" applyBorder="1"/>
    <xf numFmtId="10" fontId="1" fillId="0" borderId="0" xfId="2" applyNumberFormat="1" applyFont="1" applyFill="1"/>
    <xf numFmtId="166" fontId="1" fillId="0" borderId="0" xfId="2" applyNumberFormat="1" applyFont="1" applyFill="1"/>
    <xf numFmtId="164" fontId="1" fillId="0" borderId="0" xfId="4" quotePrefix="1" applyNumberFormat="1" applyAlignment="1">
      <alignment horizontal="right"/>
    </xf>
    <xf numFmtId="165" fontId="1" fillId="0" borderId="1" xfId="1" applyNumberFormat="1" applyFont="1" applyFill="1" applyBorder="1"/>
    <xf numFmtId="10" fontId="1" fillId="0" borderId="1" xfId="2" applyNumberFormat="1" applyFont="1" applyFill="1" applyBorder="1"/>
    <xf numFmtId="164" fontId="5" fillId="0" borderId="0" xfId="4" applyNumberFormat="1" applyFont="1"/>
    <xf numFmtId="5" fontId="6" fillId="0" borderId="0" xfId="2" applyNumberFormat="1" applyFont="1" applyFill="1"/>
    <xf numFmtId="5" fontId="6" fillId="0" borderId="1" xfId="2" applyNumberFormat="1" applyFont="1" applyFill="1" applyBorder="1"/>
    <xf numFmtId="164" fontId="2" fillId="0" borderId="0" xfId="4" applyNumberFormat="1" applyFont="1" applyAlignment="1">
      <alignment wrapText="1"/>
    </xf>
    <xf numFmtId="3" fontId="1" fillId="0" borderId="0" xfId="4" applyNumberFormat="1" applyFill="1"/>
    <xf numFmtId="164" fontId="1" fillId="0" borderId="0" xfId="4" applyNumberFormat="1" applyBorder="1"/>
    <xf numFmtId="164" fontId="1" fillId="0" borderId="0" xfId="4" applyNumberFormat="1" applyFill="1" applyBorder="1"/>
    <xf numFmtId="165" fontId="1" fillId="0" borderId="0" xfId="1" applyNumberFormat="1" applyFont="1" applyFill="1" applyBorder="1"/>
    <xf numFmtId="5" fontId="1" fillId="0" borderId="0" xfId="2" applyNumberFormat="1" applyFont="1" applyFill="1" applyBorder="1"/>
    <xf numFmtId="5" fontId="1" fillId="0" borderId="0" xfId="4" applyNumberFormat="1" applyFill="1" applyBorder="1"/>
    <xf numFmtId="10" fontId="4" fillId="0" borderId="0" xfId="2" applyNumberFormat="1" applyFont="1" applyFill="1" applyBorder="1"/>
    <xf numFmtId="2" fontId="1" fillId="0" borderId="0" xfId="4" applyNumberFormat="1" applyFill="1" applyBorder="1"/>
    <xf numFmtId="167" fontId="1" fillId="0" borderId="0" xfId="2" applyNumberFormat="1" applyFont="1" applyFill="1"/>
    <xf numFmtId="164" fontId="0" fillId="0" borderId="0" xfId="4" applyNumberFormat="1" applyFont="1"/>
    <xf numFmtId="167" fontId="1" fillId="0" borderId="0" xfId="4" applyNumberFormat="1" applyFill="1"/>
    <xf numFmtId="165" fontId="1" fillId="0" borderId="1" xfId="1" applyNumberFormat="1" applyFont="1" applyFill="1" applyBorder="1" applyAlignment="1">
      <alignment horizontal="right"/>
    </xf>
    <xf numFmtId="5" fontId="1" fillId="0" borderId="1" xfId="1" applyNumberFormat="1" applyFont="1" applyFill="1" applyBorder="1"/>
    <xf numFmtId="165" fontId="1" fillId="0" borderId="2" xfId="1" applyNumberFormat="1" applyFont="1" applyFill="1" applyBorder="1"/>
    <xf numFmtId="5" fontId="1" fillId="0" borderId="2" xfId="2" applyNumberFormat="1" applyFont="1" applyFill="1" applyBorder="1"/>
    <xf numFmtId="10" fontId="1" fillId="0" borderId="2" xfId="2" applyNumberFormat="1" applyFont="1" applyFill="1" applyBorder="1"/>
    <xf numFmtId="2" fontId="1" fillId="0" borderId="2" xfId="4" applyNumberFormat="1" applyFill="1" applyBorder="1"/>
    <xf numFmtId="8" fontId="1" fillId="0" borderId="2" xfId="4" applyNumberFormat="1" applyBorder="1"/>
    <xf numFmtId="164" fontId="2" fillId="0" borderId="0" xfId="4" applyNumberFormat="1" applyFont="1" applyAlignment="1">
      <alignment horizontal="left" wrapText="1"/>
    </xf>
    <xf numFmtId="164" fontId="1" fillId="0" borderId="3" xfId="4" applyNumberFormat="1" applyFill="1" applyBorder="1"/>
    <xf numFmtId="164" fontId="1" fillId="0" borderId="4" xfId="4" applyNumberFormat="1" applyFill="1" applyBorder="1"/>
    <xf numFmtId="164" fontId="1" fillId="0" borderId="4" xfId="4" applyNumberFormat="1" applyFont="1" applyFill="1" applyBorder="1" applyAlignment="1">
      <alignment horizontal="right"/>
    </xf>
    <xf numFmtId="167" fontId="7" fillId="0" borderId="4" xfId="2" applyNumberFormat="1" applyFont="1" applyFill="1" applyBorder="1"/>
    <xf numFmtId="164" fontId="1" fillId="0" borderId="5" xfId="4" applyNumberFormat="1" applyFont="1" applyFill="1" applyBorder="1"/>
    <xf numFmtId="164" fontId="1" fillId="0" borderId="6" xfId="4" applyNumberFormat="1" applyFill="1" applyBorder="1"/>
    <xf numFmtId="164" fontId="1" fillId="0" borderId="0" xfId="4" applyNumberFormat="1" applyFont="1" applyFill="1" applyBorder="1" applyAlignment="1">
      <alignment horizontal="right"/>
    </xf>
    <xf numFmtId="10" fontId="7" fillId="0" borderId="0" xfId="4" applyNumberFormat="1" applyFont="1" applyFill="1" applyBorder="1"/>
    <xf numFmtId="164" fontId="1" fillId="0" borderId="7" xfId="4" applyNumberFormat="1" applyFont="1" applyFill="1" applyBorder="1"/>
    <xf numFmtId="10" fontId="1" fillId="0" borderId="8" xfId="4" applyNumberFormat="1" applyFont="1" applyFill="1" applyBorder="1" applyAlignment="1">
      <alignment horizontal="center"/>
    </xf>
    <xf numFmtId="10" fontId="1" fillId="0" borderId="0" xfId="4" applyNumberFormat="1" applyFont="1" applyFill="1" applyBorder="1" applyAlignment="1">
      <alignment horizontal="right"/>
    </xf>
    <xf numFmtId="10" fontId="7" fillId="2" borderId="0" xfId="4" applyNumberFormat="1" applyFont="1" applyFill="1" applyBorder="1"/>
    <xf numFmtId="10" fontId="8" fillId="2" borderId="7" xfId="4" quotePrefix="1" applyNumberFormat="1" applyFont="1" applyFill="1" applyBorder="1"/>
    <xf numFmtId="10" fontId="8" fillId="0" borderId="7" xfId="4" quotePrefix="1" applyNumberFormat="1" applyFont="1" applyFill="1" applyBorder="1"/>
    <xf numFmtId="10" fontId="4" fillId="0" borderId="0" xfId="4" applyNumberFormat="1" applyFont="1" applyFill="1" applyBorder="1"/>
    <xf numFmtId="164" fontId="1" fillId="0" borderId="9" xfId="4" applyNumberFormat="1" applyFill="1" applyBorder="1"/>
    <xf numFmtId="164" fontId="1" fillId="0" borderId="1" xfId="4" applyNumberFormat="1" applyFill="1" applyBorder="1"/>
    <xf numFmtId="164" fontId="1" fillId="0" borderId="1" xfId="4" applyNumberFormat="1" applyFont="1" applyFill="1" applyBorder="1" applyAlignment="1">
      <alignment horizontal="right"/>
    </xf>
    <xf numFmtId="10" fontId="8" fillId="0" borderId="1" xfId="4" applyNumberFormat="1" applyFont="1" applyFill="1" applyBorder="1"/>
    <xf numFmtId="10" fontId="8" fillId="0" borderId="8" xfId="4" quotePrefix="1" applyNumberFormat="1" applyFont="1" applyFill="1" applyBorder="1"/>
    <xf numFmtId="10" fontId="1" fillId="0" borderId="0" xfId="4" quotePrefix="1" applyNumberFormat="1" applyFont="1" applyFill="1"/>
    <xf numFmtId="164" fontId="1" fillId="0" borderId="0" xfId="4" applyNumberFormat="1" applyFont="1" applyFill="1" applyAlignment="1">
      <alignment horizontal="right"/>
    </xf>
    <xf numFmtId="164" fontId="8" fillId="0" borderId="0" xfId="4" applyNumberFormat="1" applyFont="1" applyFill="1"/>
    <xf numFmtId="10" fontId="8" fillId="0" borderId="0" xfId="4" quotePrefix="1" applyNumberFormat="1" applyFont="1" applyFill="1"/>
    <xf numFmtId="10" fontId="1" fillId="0" borderId="0" xfId="4" applyNumberFormat="1" applyFont="1" applyFill="1"/>
    <xf numFmtId="9" fontId="2" fillId="0" borderId="0" xfId="5" applyNumberFormat="1" applyFont="1" applyBorder="1" applyAlignment="1">
      <alignment horizontal="right"/>
    </xf>
    <xf numFmtId="168" fontId="2" fillId="0" borderId="0" xfId="5" applyNumberFormat="1" applyFont="1" applyBorder="1"/>
    <xf numFmtId="7" fontId="7" fillId="0" borderId="0" xfId="5" applyNumberFormat="1" applyFont="1" applyFill="1" applyProtection="1">
      <protection locked="0"/>
    </xf>
    <xf numFmtId="175" fontId="7" fillId="0" borderId="0" xfId="5" applyNumberFormat="1" applyFont="1" applyFill="1" applyProtection="1">
      <protection locked="0"/>
    </xf>
    <xf numFmtId="164" fontId="7" fillId="0" borderId="12" xfId="5" applyNumberFormat="1" applyFont="1" applyBorder="1"/>
    <xf numFmtId="37" fontId="7" fillId="0" borderId="0" xfId="5" applyNumberFormat="1" applyFont="1" applyFill="1" applyProtection="1"/>
    <xf numFmtId="37" fontId="7" fillId="0" borderId="10" xfId="5" applyNumberFormat="1" applyFont="1" applyFill="1" applyBorder="1" applyProtection="1"/>
    <xf numFmtId="164" fontId="2" fillId="0" borderId="0" xfId="4" applyFont="1" applyAlignment="1">
      <alignment horizontal="centerContinuous"/>
    </xf>
    <xf numFmtId="164" fontId="2" fillId="0" borderId="0" xfId="4" applyFont="1" applyFill="1" applyAlignment="1">
      <alignment horizontal="centerContinuous"/>
    </xf>
    <xf numFmtId="164" fontId="1" fillId="0" borderId="0" xfId="4" applyFill="1" applyAlignment="1">
      <alignment horizontal="centerContinuous"/>
    </xf>
    <xf numFmtId="170" fontId="1" fillId="0" borderId="0" xfId="4" applyNumberFormat="1" applyFill="1" applyAlignment="1">
      <alignment horizontal="centerContinuous"/>
    </xf>
    <xf numFmtId="164" fontId="1" fillId="0" borderId="0" xfId="4"/>
    <xf numFmtId="164" fontId="1" fillId="0" borderId="0" xfId="4" applyFill="1"/>
    <xf numFmtId="170" fontId="0" fillId="0" borderId="0" xfId="0" applyNumberFormat="1" applyAlignment="1">
      <alignment horizontal="centerContinuous"/>
    </xf>
    <xf numFmtId="164" fontId="1" fillId="0" borderId="0" xfId="4" applyAlignment="1">
      <alignment horizontal="centerContinuous"/>
    </xf>
    <xf numFmtId="170" fontId="1" fillId="0" borderId="0" xfId="4" applyNumberFormat="1" applyAlignment="1">
      <alignment horizontal="centerContinuous"/>
    </xf>
    <xf numFmtId="164" fontId="2" fillId="0" borderId="0" xfId="4" applyFont="1" applyFill="1" applyBorder="1" applyAlignment="1">
      <alignment horizontal="left"/>
    </xf>
    <xf numFmtId="164" fontId="2" fillId="0" borderId="0" xfId="4" applyFont="1" applyFill="1" applyAlignment="1">
      <alignment horizontal="center"/>
    </xf>
    <xf numFmtId="170" fontId="1" fillId="0" borderId="0" xfId="4" applyNumberFormat="1" applyFill="1"/>
    <xf numFmtId="164" fontId="2" fillId="0" borderId="0" xfId="4" applyFont="1" applyFill="1" applyBorder="1" applyAlignment="1">
      <alignment horizontal="center"/>
    </xf>
    <xf numFmtId="164" fontId="2" fillId="0" borderId="0" xfId="4" applyFont="1" applyAlignment="1">
      <alignment horizontal="center"/>
    </xf>
    <xf numFmtId="164" fontId="2" fillId="0" borderId="1" xfId="4" applyFont="1" applyFill="1" applyBorder="1" applyAlignment="1">
      <alignment horizontal="centerContinuous"/>
    </xf>
    <xf numFmtId="170" fontId="2" fillId="0" borderId="1" xfId="4" applyNumberFormat="1" applyFont="1" applyFill="1" applyBorder="1" applyAlignment="1">
      <alignment horizontal="centerContinuous"/>
    </xf>
    <xf numFmtId="2" fontId="1" fillId="0" borderId="1" xfId="4" applyNumberFormat="1" applyFill="1" applyBorder="1" applyAlignment="1">
      <alignment horizontal="centerContinuous"/>
    </xf>
    <xf numFmtId="164" fontId="2" fillId="0" borderId="0" xfId="4" applyFont="1"/>
    <xf numFmtId="2" fontId="2" fillId="0" borderId="0" xfId="4" applyNumberFormat="1" applyFont="1" applyFill="1" applyAlignment="1">
      <alignment horizontal="center"/>
    </xf>
    <xf numFmtId="164" fontId="2" fillId="0" borderId="0" xfId="4" applyFont="1" applyFill="1"/>
    <xf numFmtId="164" fontId="2" fillId="0" borderId="1" xfId="4" applyFont="1" applyBorder="1" applyAlignment="1">
      <alignment horizontal="center"/>
    </xf>
    <xf numFmtId="164" fontId="2" fillId="0" borderId="1" xfId="4" applyFont="1" applyFill="1" applyBorder="1" applyAlignment="1">
      <alignment horizontal="center"/>
    </xf>
    <xf numFmtId="164" fontId="2" fillId="0" borderId="1" xfId="4" quotePrefix="1" applyFont="1" applyFill="1" applyBorder="1" applyAlignment="1">
      <alignment horizontal="center"/>
    </xf>
    <xf numFmtId="170" fontId="2" fillId="0" borderId="1" xfId="4" applyNumberFormat="1" applyFont="1" applyFill="1" applyBorder="1" applyAlignment="1">
      <alignment horizontal="center"/>
    </xf>
    <xf numFmtId="170" fontId="2" fillId="0" borderId="0" xfId="4" applyNumberFormat="1" applyFont="1" applyFill="1" applyAlignment="1">
      <alignment horizontal="center"/>
    </xf>
    <xf numFmtId="164" fontId="1" fillId="0" borderId="0" xfId="4" applyBorder="1"/>
    <xf numFmtId="164" fontId="1" fillId="0" borderId="0" xfId="4" applyFont="1" applyAlignment="1">
      <alignment horizontal="right"/>
    </xf>
    <xf numFmtId="164" fontId="6" fillId="0" borderId="0" xfId="4" applyFont="1" applyFill="1"/>
    <xf numFmtId="2" fontId="6" fillId="0" borderId="0" xfId="4" applyNumberFormat="1" applyFont="1" applyFill="1"/>
    <xf numFmtId="164" fontId="1" fillId="0" borderId="0" xfId="4" applyAlignment="1">
      <alignment horizontal="right"/>
    </xf>
    <xf numFmtId="164" fontId="1" fillId="0" borderId="0" xfId="4" applyFont="1"/>
    <xf numFmtId="164" fontId="1" fillId="0" borderId="0" xfId="4" applyBorder="1" applyAlignment="1">
      <alignment horizontal="right"/>
    </xf>
    <xf numFmtId="164" fontId="1" fillId="0" borderId="1" xfId="4" applyFill="1" applyBorder="1" applyAlignment="1">
      <alignment horizontal="right"/>
    </xf>
    <xf numFmtId="164" fontId="1" fillId="0" borderId="0" xfId="4" quotePrefix="1" applyAlignment="1">
      <alignment horizontal="right"/>
    </xf>
    <xf numFmtId="164" fontId="5" fillId="0" borderId="0" xfId="4" applyFont="1"/>
    <xf numFmtId="164" fontId="2" fillId="0" borderId="0" xfId="4" applyFont="1" applyAlignment="1">
      <alignment wrapText="1"/>
    </xf>
    <xf numFmtId="164" fontId="1" fillId="0" borderId="0" xfId="4" applyFill="1" applyBorder="1"/>
    <xf numFmtId="164" fontId="0" fillId="0" borderId="0" xfId="4" applyFont="1"/>
    <xf numFmtId="164" fontId="2" fillId="0" borderId="0" xfId="4" applyFont="1" applyAlignment="1">
      <alignment horizontal="left" wrapText="1"/>
    </xf>
    <xf numFmtId="3" fontId="11" fillId="0" borderId="0" xfId="7" applyNumberFormat="1" applyFont="1" applyAlignment="1">
      <alignment horizontal="centerContinuous"/>
    </xf>
    <xf numFmtId="0" fontId="12" fillId="0" borderId="0" xfId="7" applyFont="1" applyAlignment="1">
      <alignment horizontal="centerContinuous"/>
    </xf>
    <xf numFmtId="181" fontId="12" fillId="0" borderId="0" xfId="7" applyNumberFormat="1" applyFont="1" applyAlignment="1">
      <alignment horizontal="centerContinuous"/>
    </xf>
    <xf numFmtId="7" fontId="12" fillId="0" borderId="0" xfId="7" applyNumberFormat="1" applyFont="1" applyAlignment="1">
      <alignment horizontal="centerContinuous"/>
    </xf>
    <xf numFmtId="0" fontId="12" fillId="0" borderId="0" xfId="7" applyFont="1" applyBorder="1" applyAlignment="1">
      <alignment horizontal="centerContinuous"/>
    </xf>
    <xf numFmtId="0" fontId="12" fillId="0" borderId="0" xfId="7" applyFont="1" applyBorder="1"/>
    <xf numFmtId="164" fontId="2" fillId="0" borderId="0" xfId="5" applyFont="1" applyFill="1" applyBorder="1" applyAlignment="1">
      <alignment horizontal="right"/>
    </xf>
    <xf numFmtId="0" fontId="12" fillId="0" borderId="0" xfId="7" applyFont="1"/>
    <xf numFmtId="10" fontId="2" fillId="0" borderId="0" xfId="5" applyNumberFormat="1" applyFont="1" applyBorder="1" applyAlignment="1">
      <alignment horizontal="right"/>
    </xf>
    <xf numFmtId="164" fontId="2" fillId="0" borderId="0" xfId="5" applyFont="1" applyFill="1" applyBorder="1"/>
    <xf numFmtId="3" fontId="13" fillId="0" borderId="0" xfId="7" applyNumberFormat="1" applyFont="1" applyBorder="1" applyAlignment="1">
      <alignment horizontal="left"/>
    </xf>
    <xf numFmtId="181" fontId="12" fillId="0" borderId="0" xfId="7" applyNumberFormat="1" applyFont="1" applyBorder="1"/>
    <xf numFmtId="0" fontId="14" fillId="0" borderId="0" xfId="7" applyFont="1" applyBorder="1" applyAlignment="1">
      <alignment horizontal="centerContinuous"/>
    </xf>
    <xf numFmtId="181" fontId="14" fillId="0" borderId="0" xfId="7" applyNumberFormat="1" applyFont="1" applyBorder="1" applyAlignment="1">
      <alignment horizontal="centerContinuous"/>
    </xf>
    <xf numFmtId="0" fontId="14" fillId="0" borderId="0" xfId="7" applyFont="1" applyAlignment="1">
      <alignment horizontal="centerContinuous"/>
    </xf>
    <xf numFmtId="181" fontId="14" fillId="0" borderId="0" xfId="7" applyNumberFormat="1" applyFont="1" applyAlignment="1">
      <alignment horizontal="centerContinuous"/>
    </xf>
    <xf numFmtId="3" fontId="12" fillId="0" borderId="0" xfId="7" applyNumberFormat="1" applyFont="1"/>
    <xf numFmtId="181" fontId="14" fillId="0" borderId="1" xfId="7" applyNumberFormat="1" applyFont="1" applyBorder="1" applyAlignment="1">
      <alignment horizontal="centerContinuous"/>
    </xf>
    <xf numFmtId="0" fontId="12" fillId="0" borderId="1" xfId="7" applyFont="1" applyBorder="1" applyAlignment="1">
      <alignment horizontal="centerContinuous"/>
    </xf>
    <xf numFmtId="181" fontId="12" fillId="0" borderId="1" xfId="7" applyNumberFormat="1" applyFont="1" applyBorder="1" applyAlignment="1">
      <alignment horizontal="centerContinuous"/>
    </xf>
    <xf numFmtId="7" fontId="14" fillId="0" borderId="1" xfId="7" applyNumberFormat="1" applyFont="1" applyBorder="1" applyAlignment="1">
      <alignment horizontal="centerContinuous"/>
    </xf>
    <xf numFmtId="181" fontId="14" fillId="0" borderId="16" xfId="7" applyNumberFormat="1" applyFont="1" applyBorder="1" applyAlignment="1">
      <alignment horizontal="centerContinuous"/>
    </xf>
    <xf numFmtId="0" fontId="3" fillId="0" borderId="16" xfId="7" applyBorder="1" applyAlignment="1">
      <alignment horizontal="centerContinuous"/>
    </xf>
    <xf numFmtId="181" fontId="12" fillId="0" borderId="16" xfId="7" applyNumberFormat="1" applyFont="1" applyBorder="1" applyAlignment="1">
      <alignment horizontal="centerContinuous"/>
    </xf>
    <xf numFmtId="0" fontId="12" fillId="0" borderId="16" xfId="7" applyFont="1" applyBorder="1" applyAlignment="1">
      <alignment horizontal="centerContinuous"/>
    </xf>
    <xf numFmtId="7" fontId="12" fillId="0" borderId="16" xfId="7" applyNumberFormat="1" applyFont="1" applyBorder="1" applyAlignment="1">
      <alignment horizontal="centerContinuous"/>
    </xf>
    <xf numFmtId="0" fontId="3" fillId="0" borderId="1" xfId="7" applyBorder="1" applyAlignment="1">
      <alignment horizontal="centerContinuous"/>
    </xf>
    <xf numFmtId="7" fontId="12" fillId="0" borderId="1" xfId="7" applyNumberFormat="1" applyFont="1" applyBorder="1" applyAlignment="1">
      <alignment horizontal="centerContinuous"/>
    </xf>
    <xf numFmtId="7" fontId="12" fillId="0" borderId="0" xfId="7" applyNumberFormat="1" applyFont="1"/>
    <xf numFmtId="3" fontId="16" fillId="0" borderId="0" xfId="7" applyNumberFormat="1" applyFont="1" applyAlignment="1">
      <alignment horizontal="center"/>
    </xf>
    <xf numFmtId="181" fontId="12" fillId="0" borderId="1" xfId="7" applyNumberFormat="1" applyFont="1" applyBorder="1" applyAlignment="1">
      <alignment horizontal="centerContinuous" wrapText="1"/>
    </xf>
    <xf numFmtId="0" fontId="12" fillId="0" borderId="1" xfId="7" applyFont="1" applyBorder="1" applyAlignment="1">
      <alignment horizontal="center"/>
    </xf>
    <xf numFmtId="7" fontId="12" fillId="0" borderId="1" xfId="7" applyNumberFormat="1" applyFont="1" applyBorder="1" applyAlignment="1">
      <alignment horizontal="center"/>
    </xf>
    <xf numFmtId="0" fontId="12" fillId="0" borderId="0" xfId="7" applyFont="1" applyAlignment="1">
      <alignment horizontal="center"/>
    </xf>
    <xf numFmtId="181" fontId="12" fillId="0" borderId="0" xfId="7" applyNumberFormat="1" applyFont="1"/>
    <xf numFmtId="7" fontId="12" fillId="0" borderId="0" xfId="3" applyNumberFormat="1" applyFont="1"/>
    <xf numFmtId="170" fontId="12" fillId="0" borderId="0" xfId="3" applyNumberFormat="1" applyFont="1"/>
    <xf numFmtId="0" fontId="14" fillId="0" borderId="11" xfId="7" applyFont="1" applyBorder="1"/>
    <xf numFmtId="0" fontId="14" fillId="0" borderId="16" xfId="7" applyFont="1" applyBorder="1" applyAlignment="1">
      <alignment horizontal="center"/>
    </xf>
    <xf numFmtId="0" fontId="14" fillId="0" borderId="12" xfId="7" applyFont="1" applyBorder="1" applyAlignment="1">
      <alignment horizontal="center"/>
    </xf>
    <xf numFmtId="39" fontId="12" fillId="0" borderId="0" xfId="7" applyNumberFormat="1" applyFont="1"/>
    <xf numFmtId="0" fontId="18" fillId="0" borderId="6" xfId="7" applyFont="1" applyBorder="1"/>
    <xf numFmtId="0" fontId="12" fillId="0" borderId="7" xfId="7" applyFont="1" applyBorder="1"/>
    <xf numFmtId="0" fontId="12" fillId="0" borderId="6" xfId="7" applyFont="1" applyBorder="1"/>
    <xf numFmtId="7" fontId="19" fillId="0" borderId="0" xfId="7" applyNumberFormat="1" applyFont="1" applyBorder="1"/>
    <xf numFmtId="7" fontId="19" fillId="0" borderId="7" xfId="7" applyNumberFormat="1" applyFont="1" applyBorder="1"/>
    <xf numFmtId="170" fontId="12" fillId="0" borderId="0" xfId="7" applyNumberFormat="1" applyFont="1"/>
    <xf numFmtId="173" fontId="19" fillId="0" borderId="0" xfId="7" applyNumberFormat="1" applyFont="1" applyBorder="1"/>
    <xf numFmtId="173" fontId="19" fillId="0" borderId="7" xfId="7" applyNumberFormat="1" applyFont="1" applyBorder="1"/>
    <xf numFmtId="10" fontId="19" fillId="0" borderId="0" xfId="3" applyNumberFormat="1" applyFont="1" applyBorder="1"/>
    <xf numFmtId="10" fontId="19" fillId="0" borderId="7" xfId="3" applyNumberFormat="1" applyFont="1" applyBorder="1"/>
    <xf numFmtId="7" fontId="12" fillId="0" borderId="0" xfId="7" applyNumberFormat="1" applyFont="1" applyBorder="1"/>
    <xf numFmtId="7" fontId="12" fillId="0" borderId="7" xfId="7" applyNumberFormat="1" applyFont="1" applyBorder="1"/>
    <xf numFmtId="177" fontId="12" fillId="0" borderId="0" xfId="7" applyNumberFormat="1" applyFont="1" applyBorder="1"/>
    <xf numFmtId="177" fontId="12" fillId="0" borderId="7" xfId="7" applyNumberFormat="1" applyFont="1" applyBorder="1"/>
    <xf numFmtId="0" fontId="12" fillId="0" borderId="9" xfId="7" applyFont="1" applyBorder="1"/>
    <xf numFmtId="10" fontId="12" fillId="0" borderId="1" xfId="3" applyNumberFormat="1" applyFont="1" applyBorder="1"/>
    <xf numFmtId="10" fontId="12" fillId="0" borderId="8" xfId="3" applyNumberFormat="1" applyFont="1" applyBorder="1"/>
    <xf numFmtId="10" fontId="12" fillId="0" borderId="0" xfId="7" applyNumberFormat="1" applyFont="1" applyBorder="1"/>
    <xf numFmtId="10" fontId="12" fillId="0" borderId="0" xfId="7" applyNumberFormat="1" applyFont="1"/>
    <xf numFmtId="9" fontId="12" fillId="0" borderId="0" xfId="7" applyNumberFormat="1" applyFont="1"/>
    <xf numFmtId="0" fontId="12" fillId="0" borderId="0" xfId="7" applyFont="1" applyBorder="1" applyAlignment="1">
      <alignment horizontal="right"/>
    </xf>
    <xf numFmtId="3" fontId="20" fillId="0" borderId="0" xfId="7" applyNumberFormat="1" applyFont="1"/>
    <xf numFmtId="39" fontId="12" fillId="0" borderId="0" xfId="7" applyNumberFormat="1" applyFont="1" applyBorder="1"/>
    <xf numFmtId="0" fontId="12" fillId="0" borderId="3" xfId="7" applyFont="1" applyBorder="1" applyAlignment="1">
      <alignment horizontal="centerContinuous"/>
    </xf>
    <xf numFmtId="0" fontId="12" fillId="0" borderId="4" xfId="7" applyFont="1" applyBorder="1" applyAlignment="1">
      <alignment horizontal="centerContinuous"/>
    </xf>
    <xf numFmtId="0" fontId="12" fillId="0" borderId="11" xfId="7" applyFont="1" applyBorder="1" applyAlignment="1">
      <alignment horizontal="centerContinuous"/>
    </xf>
    <xf numFmtId="0" fontId="12" fillId="0" borderId="12" xfId="7" applyFont="1" applyBorder="1" applyAlignment="1">
      <alignment horizontal="centerContinuous"/>
    </xf>
    <xf numFmtId="0" fontId="12" fillId="0" borderId="17" xfId="7" applyFont="1" applyBorder="1" applyAlignment="1">
      <alignment horizontal="centerContinuous"/>
    </xf>
    <xf numFmtId="0" fontId="12" fillId="0" borderId="11" xfId="7" applyFont="1" applyBorder="1" applyAlignment="1">
      <alignment horizontal="center"/>
    </xf>
    <xf numFmtId="0" fontId="12" fillId="0" borderId="9" xfId="7" applyFont="1" applyBorder="1" applyAlignment="1">
      <alignment horizontal="center"/>
    </xf>
    <xf numFmtId="0" fontId="12" fillId="0" borderId="18" xfId="7" applyFont="1" applyBorder="1" applyAlignment="1">
      <alignment horizontal="center"/>
    </xf>
    <xf numFmtId="0" fontId="12" fillId="0" borderId="17" xfId="7" applyFont="1" applyBorder="1" applyAlignment="1">
      <alignment horizontal="center"/>
    </xf>
    <xf numFmtId="0" fontId="12" fillId="0" borderId="19" xfId="7" applyFont="1" applyBorder="1"/>
    <xf numFmtId="1" fontId="12" fillId="0" borderId="0" xfId="7" applyNumberFormat="1" applyFont="1" applyBorder="1"/>
    <xf numFmtId="181" fontId="12" fillId="0" borderId="6" xfId="7" applyNumberFormat="1" applyFont="1" applyBorder="1"/>
    <xf numFmtId="170" fontId="12" fillId="0" borderId="19" xfId="3" applyNumberFormat="1" applyFont="1" applyBorder="1"/>
    <xf numFmtId="0" fontId="12" fillId="0" borderId="20" xfId="7" applyFont="1" applyBorder="1"/>
    <xf numFmtId="170" fontId="12" fillId="0" borderId="20" xfId="3" applyNumberFormat="1" applyFont="1" applyBorder="1"/>
    <xf numFmtId="2" fontId="12" fillId="0" borderId="20" xfId="7" applyNumberFormat="1" applyFont="1" applyBorder="1"/>
    <xf numFmtId="0" fontId="12" fillId="0" borderId="18" xfId="7" applyFont="1" applyBorder="1"/>
    <xf numFmtId="3" fontId="12" fillId="0" borderId="1" xfId="7" applyNumberFormat="1" applyFont="1" applyBorder="1"/>
    <xf numFmtId="181" fontId="12" fillId="0" borderId="9" xfId="7" applyNumberFormat="1" applyFont="1" applyBorder="1"/>
    <xf numFmtId="170" fontId="12" fillId="0" borderId="18" xfId="3" applyNumberFormat="1" applyFont="1" applyBorder="1"/>
    <xf numFmtId="0" fontId="12" fillId="0" borderId="3" xfId="7" applyFont="1" applyBorder="1" applyAlignment="1">
      <alignment horizontal="center"/>
    </xf>
    <xf numFmtId="181" fontId="12" fillId="0" borderId="19" xfId="7" applyNumberFormat="1" applyFont="1" applyBorder="1" applyAlignment="1">
      <alignment horizontal="center"/>
    </xf>
    <xf numFmtId="0" fontId="12" fillId="0" borderId="3" xfId="7" applyFont="1" applyBorder="1"/>
    <xf numFmtId="7" fontId="12" fillId="0" borderId="3" xfId="7" applyNumberFormat="1" applyFont="1" applyBorder="1" applyAlignment="1">
      <alignment horizontal="center"/>
    </xf>
    <xf numFmtId="7" fontId="12" fillId="0" borderId="19" xfId="7" applyNumberFormat="1" applyFont="1" applyBorder="1" applyAlignment="1">
      <alignment horizontal="center"/>
    </xf>
    <xf numFmtId="7" fontId="12" fillId="0" borderId="6" xfId="7" applyNumberFormat="1" applyFont="1" applyBorder="1" applyAlignment="1">
      <alignment horizontal="center"/>
    </xf>
    <xf numFmtId="7" fontId="12" fillId="0" borderId="20" xfId="7" applyNumberFormat="1" applyFont="1" applyBorder="1" applyAlignment="1">
      <alignment horizontal="center"/>
    </xf>
    <xf numFmtId="1" fontId="12" fillId="0" borderId="6" xfId="7" applyNumberFormat="1" applyFont="1" applyBorder="1" applyAlignment="1">
      <alignment horizontal="center"/>
    </xf>
    <xf numFmtId="1" fontId="12" fillId="0" borderId="20" xfId="7" applyNumberFormat="1" applyFont="1" applyBorder="1" applyAlignment="1">
      <alignment horizontal="center"/>
    </xf>
    <xf numFmtId="1" fontId="12" fillId="0" borderId="9" xfId="7" applyNumberFormat="1" applyFont="1" applyBorder="1" applyAlignment="1">
      <alignment horizontal="center"/>
    </xf>
    <xf numFmtId="1" fontId="12" fillId="0" borderId="18" xfId="7" applyNumberFormat="1" applyFont="1" applyBorder="1" applyAlignment="1">
      <alignment horizontal="center"/>
    </xf>
    <xf numFmtId="181" fontId="12" fillId="0" borderId="16" xfId="7" applyNumberFormat="1" applyFont="1" applyBorder="1" applyAlignment="1">
      <alignment horizontal="centerContinuous" wrapText="1"/>
    </xf>
    <xf numFmtId="3" fontId="12" fillId="0" borderId="0" xfId="7" applyNumberFormat="1" applyFont="1" applyAlignment="1">
      <alignment horizontal="center"/>
    </xf>
    <xf numFmtId="3" fontId="12" fillId="0" borderId="0" xfId="7" applyNumberFormat="1" applyFont="1" applyAlignment="1">
      <alignment horizontal="centerContinuous"/>
    </xf>
    <xf numFmtId="181" fontId="12" fillId="0" borderId="0" xfId="7" applyNumberFormat="1" applyFont="1" applyBorder="1" applyAlignment="1">
      <alignment horizontal="centerContinuous"/>
    </xf>
    <xf numFmtId="3" fontId="16" fillId="0" borderId="0" xfId="7" applyNumberFormat="1" applyFont="1"/>
    <xf numFmtId="3" fontId="12" fillId="0" borderId="1" xfId="7" applyNumberFormat="1" applyFont="1" applyBorder="1" applyAlignment="1">
      <alignment horizontal="center"/>
    </xf>
    <xf numFmtId="3" fontId="12" fillId="0" borderId="0" xfId="7" applyNumberFormat="1" applyFont="1" applyAlignment="1">
      <alignment horizontal="right"/>
    </xf>
    <xf numFmtId="181" fontId="14" fillId="0" borderId="11" xfId="7" applyNumberFormat="1" applyFont="1" applyBorder="1" applyAlignment="1">
      <alignment horizontal="left"/>
    </xf>
    <xf numFmtId="0" fontId="14" fillId="0" borderId="16" xfId="7" applyFont="1" applyBorder="1"/>
    <xf numFmtId="0" fontId="14" fillId="0" borderId="12" xfId="7" applyFont="1" applyBorder="1"/>
    <xf numFmtId="0" fontId="14" fillId="0" borderId="0" xfId="7" applyFont="1" applyAlignment="1">
      <alignment horizontal="center"/>
    </xf>
    <xf numFmtId="0" fontId="18" fillId="0" borderId="6" xfId="7" applyFont="1" applyBorder="1" applyAlignment="1">
      <alignment horizontal="left"/>
    </xf>
    <xf numFmtId="0" fontId="3" fillId="0" borderId="0" xfId="7"/>
    <xf numFmtId="10" fontId="12" fillId="0" borderId="0" xfId="3" applyNumberFormat="1" applyFont="1"/>
    <xf numFmtId="0" fontId="19" fillId="0" borderId="0" xfId="7" applyFont="1" applyBorder="1"/>
    <xf numFmtId="0" fontId="19" fillId="0" borderId="7" xfId="7" applyFont="1" applyBorder="1"/>
    <xf numFmtId="177" fontId="19" fillId="0" borderId="0" xfId="7" applyNumberFormat="1" applyFont="1" applyBorder="1"/>
    <xf numFmtId="3" fontId="21" fillId="0" borderId="0" xfId="7" applyNumberFormat="1" applyFont="1"/>
    <xf numFmtId="7" fontId="22" fillId="0" borderId="7" xfId="7" applyNumberFormat="1" applyFont="1" applyBorder="1"/>
    <xf numFmtId="10" fontId="19" fillId="0" borderId="0" xfId="7" applyNumberFormat="1" applyFont="1" applyBorder="1"/>
    <xf numFmtId="10" fontId="19" fillId="0" borderId="7" xfId="7" applyNumberFormat="1" applyFont="1" applyBorder="1"/>
    <xf numFmtId="0" fontId="23" fillId="0" borderId="0" xfId="7" applyFont="1"/>
    <xf numFmtId="10" fontId="12" fillId="0" borderId="1" xfId="7" applyNumberFormat="1" applyFont="1" applyBorder="1"/>
    <xf numFmtId="10" fontId="12" fillId="0" borderId="8" xfId="7" applyNumberFormat="1" applyFont="1" applyBorder="1"/>
    <xf numFmtId="3" fontId="24" fillId="0" borderId="0" xfId="7" applyNumberFormat="1" applyFont="1" applyAlignment="1">
      <alignment horizontal="left"/>
    </xf>
    <xf numFmtId="3" fontId="24" fillId="0" borderId="0" xfId="7" applyNumberFormat="1" applyFont="1" applyAlignment="1">
      <alignment horizontal="centerContinuous"/>
    </xf>
    <xf numFmtId="0" fontId="16" fillId="0" borderId="0" xfId="7" applyFont="1" applyAlignment="1">
      <alignment horizontal="centerContinuous"/>
    </xf>
    <xf numFmtId="181" fontId="16" fillId="0" borderId="0" xfId="7" applyNumberFormat="1" applyFont="1" applyAlignment="1">
      <alignment horizontal="centerContinuous"/>
    </xf>
    <xf numFmtId="0" fontId="12" fillId="0" borderId="0" xfId="7" applyFont="1" applyBorder="1" applyAlignment="1">
      <alignment horizontal="center"/>
    </xf>
    <xf numFmtId="5" fontId="12" fillId="0" borderId="0" xfId="7" applyNumberFormat="1" applyFont="1"/>
    <xf numFmtId="3" fontId="23" fillId="0" borderId="0" xfId="7" applyNumberFormat="1" applyFont="1" applyProtection="1">
      <protection locked="0" hidden="1"/>
    </xf>
    <xf numFmtId="10" fontId="22" fillId="0" borderId="7" xfId="7" applyNumberFormat="1" applyFont="1" applyBorder="1"/>
    <xf numFmtId="0" fontId="18" fillId="0" borderId="3" xfId="7" applyFont="1" applyBorder="1" applyAlignment="1">
      <alignment horizontal="left"/>
    </xf>
    <xf numFmtId="0" fontId="12" fillId="0" borderId="4" xfId="7" applyFont="1" applyBorder="1"/>
    <xf numFmtId="0" fontId="12" fillId="0" borderId="5" xfId="7" applyFont="1" applyBorder="1"/>
    <xf numFmtId="182" fontId="12" fillId="0" borderId="0" xfId="3" applyNumberFormat="1" applyFont="1"/>
    <xf numFmtId="3" fontId="23" fillId="0" borderId="0" xfId="7" applyNumberFormat="1" applyFont="1"/>
    <xf numFmtId="166" fontId="12" fillId="0" borderId="0" xfId="7" applyNumberFormat="1" applyFont="1"/>
    <xf numFmtId="180" fontId="12" fillId="0" borderId="0" xfId="7" applyNumberFormat="1" applyFont="1"/>
    <xf numFmtId="0" fontId="22" fillId="0" borderId="7" xfId="7" applyFont="1" applyBorder="1"/>
    <xf numFmtId="183" fontId="12" fillId="0" borderId="0" xfId="3" applyNumberFormat="1" applyFont="1"/>
    <xf numFmtId="0" fontId="3" fillId="0" borderId="1" xfId="7" applyFont="1" applyBorder="1" applyAlignment="1">
      <alignment horizontal="centerContinuous"/>
    </xf>
    <xf numFmtId="0" fontId="12" fillId="0" borderId="1" xfId="7" applyFont="1" applyBorder="1" applyAlignment="1">
      <alignment horizontal="center" wrapText="1"/>
    </xf>
    <xf numFmtId="0" fontId="12" fillId="0" borderId="0" xfId="8" applyFont="1"/>
    <xf numFmtId="37" fontId="12" fillId="0" borderId="0" xfId="8" applyNumberFormat="1" applyFont="1" applyProtection="1"/>
    <xf numFmtId="0" fontId="23" fillId="0" borderId="0" xfId="8" applyFont="1"/>
    <xf numFmtId="0" fontId="22" fillId="0" borderId="0" xfId="7" applyFont="1" applyBorder="1"/>
    <xf numFmtId="177" fontId="22" fillId="0" borderId="0" xfId="7" applyNumberFormat="1" applyFont="1" applyBorder="1"/>
    <xf numFmtId="170" fontId="12" fillId="0" borderId="0" xfId="3" applyNumberFormat="1" applyFont="1" applyBorder="1"/>
    <xf numFmtId="0" fontId="3" fillId="0" borderId="0" xfId="7" applyBorder="1" applyAlignment="1">
      <alignment horizontal="centerContinuous"/>
    </xf>
    <xf numFmtId="7" fontId="12" fillId="0" borderId="0" xfId="7" applyNumberFormat="1" applyFont="1" applyBorder="1" applyAlignment="1">
      <alignment horizontal="centerContinuous"/>
    </xf>
    <xf numFmtId="3" fontId="16" fillId="0" borderId="0" xfId="7" applyNumberFormat="1" applyFont="1" applyBorder="1" applyAlignment="1">
      <alignment horizontal="center"/>
    </xf>
    <xf numFmtId="181" fontId="12" fillId="0" borderId="0" xfId="7" applyNumberFormat="1" applyFont="1" applyBorder="1" applyAlignment="1">
      <alignment horizontal="centerContinuous" wrapText="1"/>
    </xf>
    <xf numFmtId="7" fontId="12" fillId="0" borderId="0" xfId="7" applyNumberFormat="1" applyFont="1" applyBorder="1" applyAlignment="1">
      <alignment horizontal="center"/>
    </xf>
    <xf numFmtId="3" fontId="12" fillId="0" borderId="0" xfId="7" applyNumberFormat="1" applyFont="1" applyBorder="1" applyAlignment="1">
      <alignment horizontal="center"/>
    </xf>
    <xf numFmtId="7" fontId="12" fillId="0" borderId="0" xfId="3" applyNumberFormat="1" applyFont="1" applyBorder="1"/>
    <xf numFmtId="0" fontId="33" fillId="0" borderId="0" xfId="14" applyFont="1" applyAlignment="1">
      <alignment horizontal="right"/>
    </xf>
    <xf numFmtId="0" fontId="34" fillId="0" borderId="0" xfId="14" applyFont="1" applyAlignment="1">
      <alignment horizontal="centerContinuous"/>
    </xf>
    <xf numFmtId="0" fontId="33" fillId="0" borderId="0" xfId="14" applyFont="1" applyAlignment="1">
      <alignment horizontal="centerContinuous"/>
    </xf>
    <xf numFmtId="0" fontId="33" fillId="0" borderId="0" xfId="14" applyFont="1" applyFill="1" applyAlignment="1">
      <alignment horizontal="centerContinuous"/>
    </xf>
    <xf numFmtId="0" fontId="7" fillId="0" borderId="0" xfId="14" applyFont="1"/>
    <xf numFmtId="0" fontId="33" fillId="0" borderId="0" xfId="14" applyFont="1"/>
    <xf numFmtId="0" fontId="33" fillId="0" borderId="21" xfId="14" applyFont="1" applyBorder="1" applyAlignment="1">
      <alignment horizontal="centerContinuous"/>
    </xf>
    <xf numFmtId="0" fontId="33" fillId="0" borderId="21" xfId="14" applyFont="1" applyFill="1" applyBorder="1" applyAlignment="1">
      <alignment horizontal="centerContinuous"/>
    </xf>
    <xf numFmtId="0" fontId="33" fillId="0" borderId="20" xfId="14" applyFont="1" applyBorder="1" applyAlignment="1">
      <alignment horizontal="center"/>
    </xf>
    <xf numFmtId="0" fontId="33" fillId="0" borderId="6" xfId="14" applyFont="1" applyFill="1" applyBorder="1" applyAlignment="1">
      <alignment horizontal="center"/>
    </xf>
    <xf numFmtId="0" fontId="33" fillId="0" borderId="20" xfId="14" applyFont="1" applyFill="1" applyBorder="1" applyAlignment="1">
      <alignment horizontal="center"/>
    </xf>
    <xf numFmtId="0" fontId="33" fillId="0" borderId="8" xfId="14" applyFont="1" applyBorder="1"/>
    <xf numFmtId="0" fontId="33" fillId="0" borderId="18" xfId="14" quotePrefix="1" applyFont="1" applyBorder="1" applyAlignment="1">
      <alignment horizontal="center"/>
    </xf>
    <xf numFmtId="0" fontId="33" fillId="0" borderId="18" xfId="14" quotePrefix="1" applyFont="1" applyFill="1" applyBorder="1" applyAlignment="1">
      <alignment horizontal="center"/>
    </xf>
    <xf numFmtId="0" fontId="33" fillId="0" borderId="0" xfId="14" applyFont="1" applyBorder="1" applyAlignment="1">
      <alignment horizontal="left"/>
    </xf>
    <xf numFmtId="181" fontId="33" fillId="0" borderId="20" xfId="14" applyNumberFormat="1" applyFont="1" applyBorder="1" applyAlignment="1">
      <alignment horizontal="center"/>
    </xf>
    <xf numFmtId="181" fontId="33" fillId="0" borderId="20" xfId="14" applyNumberFormat="1" applyFont="1" applyFill="1" applyBorder="1" applyAlignment="1">
      <alignment horizontal="center"/>
    </xf>
    <xf numFmtId="0" fontId="33" fillId="0" borderId="0" xfId="14" applyFont="1" applyFill="1" applyAlignment="1">
      <alignment horizontal="right"/>
    </xf>
    <xf numFmtId="0" fontId="33" fillId="0" borderId="0" xfId="14" applyFont="1" applyFill="1" applyBorder="1" applyAlignment="1">
      <alignment horizontal="left"/>
    </xf>
    <xf numFmtId="0" fontId="7" fillId="0" borderId="0" xfId="14" applyFont="1" applyFill="1"/>
    <xf numFmtId="0" fontId="33" fillId="0" borderId="0" xfId="14" applyFont="1" applyAlignment="1">
      <alignment horizontal="left" indent="2"/>
    </xf>
    <xf numFmtId="0" fontId="33" fillId="0" borderId="0" xfId="14" applyFont="1" applyAlignment="1">
      <alignment horizontal="left"/>
    </xf>
    <xf numFmtId="181" fontId="33" fillId="0" borderId="22" xfId="14" applyNumberFormat="1" applyFont="1" applyFill="1" applyBorder="1" applyAlignment="1">
      <alignment horizontal="center"/>
    </xf>
    <xf numFmtId="181" fontId="33" fillId="0" borderId="0" xfId="14" applyNumberFormat="1" applyFont="1"/>
    <xf numFmtId="0" fontId="7" fillId="0" borderId="0" xfId="14" applyFont="1" applyAlignment="1">
      <alignment horizontal="right"/>
    </xf>
    <xf numFmtId="0" fontId="7" fillId="0" borderId="0" xfId="14" applyFont="1" applyAlignment="1">
      <alignment horizontal="left" indent="2"/>
    </xf>
    <xf numFmtId="3" fontId="38" fillId="0" borderId="0" xfId="0" applyNumberFormat="1" applyFont="1" applyAlignment="1">
      <alignment horizontal="centerContinuous"/>
    </xf>
    <xf numFmtId="164" fontId="34" fillId="0" borderId="0" xfId="5" applyNumberFormat="1" applyFont="1" applyFill="1" applyAlignment="1">
      <alignment horizontal="centerContinuous"/>
    </xf>
    <xf numFmtId="164" fontId="34" fillId="0" borderId="0" xfId="5" applyNumberFormat="1" applyFont="1" applyFill="1" applyBorder="1" applyAlignment="1">
      <alignment horizontal="centerContinuous"/>
    </xf>
    <xf numFmtId="164" fontId="7" fillId="0" borderId="0" xfId="5" applyNumberFormat="1" applyFont="1" applyFill="1" applyAlignment="1">
      <alignment horizontal="centerContinuous"/>
    </xf>
    <xf numFmtId="164" fontId="34" fillId="0" borderId="0" xfId="5" applyNumberFormat="1" applyFont="1" applyFill="1" applyBorder="1" applyAlignment="1">
      <alignment horizontal="center"/>
    </xf>
    <xf numFmtId="164" fontId="39" fillId="0" borderId="0" xfId="5" applyNumberFormat="1" applyFont="1" applyFill="1" applyBorder="1" applyAlignment="1">
      <alignment horizontal="right"/>
    </xf>
    <xf numFmtId="9" fontId="39" fillId="0" borderId="0" xfId="5" applyNumberFormat="1" applyFont="1" applyBorder="1" applyAlignment="1">
      <alignment horizontal="right"/>
    </xf>
    <xf numFmtId="164" fontId="7" fillId="0" borderId="0" xfId="5" applyNumberFormat="1" applyFont="1" applyAlignment="1">
      <alignment horizontal="centerContinuous"/>
    </xf>
    <xf numFmtId="164" fontId="7" fillId="0" borderId="0" xfId="5" applyNumberFormat="1" applyFont="1"/>
    <xf numFmtId="164" fontId="39" fillId="0" borderId="0" xfId="5" applyNumberFormat="1" applyFont="1" applyFill="1" applyBorder="1" applyAlignment="1">
      <alignment horizontal="center"/>
    </xf>
    <xf numFmtId="164" fontId="39" fillId="0" borderId="0" xfId="5" applyNumberFormat="1" applyFont="1" applyFill="1" applyBorder="1" applyAlignment="1">
      <alignment horizontal="left"/>
    </xf>
    <xf numFmtId="168" fontId="39" fillId="0" borderId="0" xfId="5" applyNumberFormat="1" applyFont="1" applyBorder="1" applyAlignment="1">
      <alignment horizontal="right"/>
    </xf>
    <xf numFmtId="164" fontId="7" fillId="0" borderId="0" xfId="5" applyNumberFormat="1" applyFont="1" applyFill="1"/>
    <xf numFmtId="164" fontId="7" fillId="0" borderId="0" xfId="5" applyNumberFormat="1" applyFont="1" applyFill="1" applyBorder="1"/>
    <xf numFmtId="164" fontId="39" fillId="0" borderId="0" xfId="5" applyNumberFormat="1" applyFont="1" applyFill="1" applyBorder="1"/>
    <xf numFmtId="168" fontId="39" fillId="0" borderId="0" xfId="5" applyNumberFormat="1" applyFont="1" applyBorder="1"/>
    <xf numFmtId="37" fontId="39" fillId="0" borderId="0" xfId="5" applyNumberFormat="1" applyFont="1" applyFill="1" applyProtection="1"/>
    <xf numFmtId="164" fontId="39" fillId="0" borderId="0" xfId="5" applyNumberFormat="1" applyFont="1" applyFill="1" applyAlignment="1">
      <alignment horizontal="center"/>
    </xf>
    <xf numFmtId="37" fontId="39" fillId="0" borderId="0" xfId="5" applyNumberFormat="1" applyFont="1" applyFill="1" applyAlignment="1" applyProtection="1">
      <alignment horizontal="center"/>
    </xf>
    <xf numFmtId="5" fontId="7" fillId="0" borderId="0" xfId="5" applyNumberFormat="1" applyFont="1" applyFill="1" applyProtection="1"/>
    <xf numFmtId="37" fontId="39" fillId="0" borderId="0" xfId="5" applyNumberFormat="1" applyFont="1" applyFill="1" applyBorder="1" applyAlignment="1" applyProtection="1">
      <alignment horizontal="center"/>
    </xf>
    <xf numFmtId="10" fontId="7" fillId="0" borderId="0" xfId="5" quotePrefix="1" applyNumberFormat="1" applyFont="1" applyFill="1"/>
    <xf numFmtId="37" fontId="39" fillId="0" borderId="1" xfId="5" quotePrefix="1" applyNumberFormat="1" applyFont="1" applyFill="1" applyBorder="1" applyAlignment="1" applyProtection="1">
      <alignment horizontal="center"/>
    </xf>
    <xf numFmtId="164" fontId="39" fillId="0" borderId="10" xfId="5" quotePrefix="1" applyNumberFormat="1" applyFont="1" applyFill="1" applyBorder="1" applyAlignment="1">
      <alignment horizontal="center"/>
    </xf>
    <xf numFmtId="164" fontId="39" fillId="0" borderId="10" xfId="5" applyNumberFormat="1" applyFont="1" applyFill="1" applyBorder="1" applyAlignment="1">
      <alignment horizontal="center"/>
    </xf>
    <xf numFmtId="10" fontId="7" fillId="0" borderId="0" xfId="3" quotePrefix="1" applyNumberFormat="1" applyFont="1" applyFill="1"/>
    <xf numFmtId="37" fontId="7" fillId="0" borderId="0" xfId="5" applyNumberFormat="1" applyFont="1" applyFill="1" applyProtection="1">
      <protection locked="0"/>
    </xf>
    <xf numFmtId="10" fontId="7" fillId="0" borderId="0" xfId="3" applyNumberFormat="1" applyFont="1" applyFill="1"/>
    <xf numFmtId="164" fontId="39" fillId="0" borderId="0" xfId="5" applyNumberFormat="1" applyFont="1" applyFill="1" applyAlignment="1">
      <alignment horizontal="left"/>
    </xf>
    <xf numFmtId="169" fontId="7" fillId="0" borderId="0" xfId="5" applyNumberFormat="1" applyFont="1" applyFill="1" applyProtection="1"/>
    <xf numFmtId="164" fontId="7" fillId="0" borderId="11" xfId="5" applyNumberFormat="1" applyFont="1" applyFill="1" applyBorder="1"/>
    <xf numFmtId="164" fontId="7" fillId="0" borderId="0" xfId="5" applyNumberFormat="1" applyFont="1" applyBorder="1"/>
    <xf numFmtId="164" fontId="7" fillId="0" borderId="0" xfId="5" applyNumberFormat="1" applyFont="1" applyFill="1" applyAlignment="1">
      <alignment horizontal="left"/>
    </xf>
    <xf numFmtId="7" fontId="7" fillId="0" borderId="0" xfId="5" applyNumberFormat="1" applyFont="1" applyFill="1" applyBorder="1" applyProtection="1">
      <protection locked="0"/>
    </xf>
    <xf numFmtId="164" fontId="7" fillId="0" borderId="3" xfId="5" applyNumberFormat="1" applyFont="1" applyBorder="1"/>
    <xf numFmtId="5" fontId="7" fillId="0" borderId="5" xfId="5" applyNumberFormat="1" applyFont="1" applyFill="1" applyBorder="1" applyProtection="1"/>
    <xf numFmtId="170" fontId="7" fillId="0" borderId="0" xfId="3" applyNumberFormat="1" applyFont="1" applyBorder="1"/>
    <xf numFmtId="37" fontId="7" fillId="0" borderId="0" xfId="5" applyNumberFormat="1" applyFont="1" applyFill="1" applyBorder="1" applyProtection="1"/>
    <xf numFmtId="164" fontId="7" fillId="0" borderId="6" xfId="5" applyNumberFormat="1" applyFont="1" applyBorder="1"/>
    <xf numFmtId="5" fontId="7" fillId="0" borderId="7" xfId="5" applyNumberFormat="1" applyFont="1" applyFill="1" applyBorder="1" applyProtection="1"/>
    <xf numFmtId="164" fontId="40" fillId="0" borderId="9" xfId="5" applyNumberFormat="1" applyFont="1" applyBorder="1"/>
    <xf numFmtId="5" fontId="7" fillId="0" borderId="8" xfId="5" applyNumberFormat="1" applyFont="1" applyFill="1" applyBorder="1" applyProtection="1"/>
    <xf numFmtId="171" fontId="7" fillId="0" borderId="0" xfId="5" applyNumberFormat="1" applyFont="1" applyFill="1" applyProtection="1">
      <protection locked="0"/>
    </xf>
    <xf numFmtId="0" fontId="7" fillId="0" borderId="0" xfId="0" applyFont="1" applyBorder="1"/>
    <xf numFmtId="164" fontId="7" fillId="0" borderId="3" xfId="5" applyNumberFormat="1" applyFont="1" applyFill="1" applyBorder="1"/>
    <xf numFmtId="170" fontId="7" fillId="0" borderId="5" xfId="5" applyNumberFormat="1" applyFont="1" applyBorder="1"/>
    <xf numFmtId="164" fontId="7" fillId="0" borderId="0" xfId="5" applyNumberFormat="1" applyFont="1" applyBorder="1" applyAlignment="1">
      <alignment horizontal="centerContinuous"/>
    </xf>
    <xf numFmtId="9" fontId="7" fillId="0" borderId="0" xfId="3" applyFont="1" applyBorder="1" applyAlignment="1">
      <alignment horizontal="centerContinuous"/>
    </xf>
    <xf numFmtId="164" fontId="7" fillId="0" borderId="6" xfId="5" applyNumberFormat="1" applyFont="1" applyFill="1" applyBorder="1"/>
    <xf numFmtId="170" fontId="7" fillId="0" borderId="7" xfId="5" applyNumberFormat="1" applyFont="1" applyBorder="1"/>
    <xf numFmtId="9" fontId="7" fillId="0" borderId="0" xfId="3" applyFont="1" applyBorder="1" applyAlignment="1">
      <alignment horizontal="center"/>
    </xf>
    <xf numFmtId="170" fontId="7" fillId="0" borderId="0" xfId="5" applyNumberFormat="1" applyFont="1" applyBorder="1"/>
    <xf numFmtId="172" fontId="7" fillId="0" borderId="0" xfId="5" applyNumberFormat="1" applyFont="1" applyFill="1" applyProtection="1">
      <protection locked="0"/>
    </xf>
    <xf numFmtId="170" fontId="7" fillId="0" borderId="0" xfId="0" applyNumberFormat="1" applyFont="1" applyBorder="1"/>
    <xf numFmtId="7" fontId="7" fillId="0" borderId="0" xfId="5" applyNumberFormat="1" applyFont="1" applyFill="1" applyBorder="1" applyProtection="1"/>
    <xf numFmtId="7" fontId="7" fillId="0" borderId="0" xfId="5" applyNumberFormat="1" applyFont="1" applyFill="1" applyProtection="1"/>
    <xf numFmtId="5" fontId="7" fillId="0" borderId="0" xfId="5" applyNumberFormat="1" applyFont="1" applyFill="1" applyBorder="1" applyProtection="1"/>
    <xf numFmtId="3" fontId="7" fillId="0" borderId="5" xfId="0" applyNumberFormat="1" applyFont="1" applyBorder="1"/>
    <xf numFmtId="164" fontId="7" fillId="0" borderId="0" xfId="5" applyNumberFormat="1" applyFont="1" applyFill="1" applyBorder="1" applyAlignment="1">
      <alignment horizontal="left"/>
    </xf>
    <xf numFmtId="3" fontId="7" fillId="0" borderId="7" xfId="0" applyNumberFormat="1" applyFont="1" applyBorder="1"/>
    <xf numFmtId="164" fontId="7" fillId="0" borderId="9" xfId="5" applyNumberFormat="1" applyFont="1" applyFill="1" applyBorder="1"/>
    <xf numFmtId="3" fontId="7" fillId="0" borderId="8" xfId="0" applyNumberFormat="1" applyFont="1" applyBorder="1"/>
    <xf numFmtId="173" fontId="7" fillId="0" borderId="8" xfId="5" applyNumberFormat="1" applyFont="1" applyBorder="1"/>
    <xf numFmtId="5" fontId="7" fillId="0" borderId="10" xfId="5" applyNumberFormat="1" applyFont="1" applyFill="1" applyBorder="1" applyProtection="1"/>
    <xf numFmtId="0" fontId="7" fillId="0" borderId="0" xfId="0" applyFont="1"/>
    <xf numFmtId="37" fontId="7" fillId="0" borderId="2" xfId="5" applyNumberFormat="1" applyFont="1" applyFill="1" applyBorder="1" applyProtection="1"/>
    <xf numFmtId="164" fontId="7" fillId="0" borderId="2" xfId="5" applyNumberFormat="1" applyFont="1" applyFill="1" applyBorder="1"/>
    <xf numFmtId="5" fontId="7" fillId="0" borderId="2" xfId="5" applyNumberFormat="1" applyFont="1" applyFill="1" applyBorder="1" applyProtection="1"/>
    <xf numFmtId="174" fontId="7" fillId="0" borderId="0" xfId="5" applyNumberFormat="1" applyFont="1" applyFill="1" applyProtection="1"/>
    <xf numFmtId="172" fontId="7" fillId="0" borderId="0" xfId="5" applyNumberFormat="1" applyFont="1" applyFill="1" applyBorder="1" applyProtection="1">
      <protection locked="0"/>
    </xf>
    <xf numFmtId="10" fontId="7" fillId="0" borderId="0" xfId="5" applyNumberFormat="1" applyFont="1"/>
    <xf numFmtId="3" fontId="7" fillId="0" borderId="0" xfId="0" applyNumberFormat="1" applyFont="1"/>
    <xf numFmtId="10" fontId="7" fillId="0" borderId="0" xfId="3" applyNumberFormat="1" applyFont="1"/>
    <xf numFmtId="164" fontId="7" fillId="0" borderId="13" xfId="5" applyNumberFormat="1" applyFont="1" applyFill="1" applyBorder="1"/>
    <xf numFmtId="5" fontId="7" fillId="0" borderId="13" xfId="5" applyNumberFormat="1" applyFont="1" applyFill="1" applyBorder="1" applyProtection="1"/>
    <xf numFmtId="9" fontId="7" fillId="0" borderId="0" xfId="3" applyFont="1"/>
    <xf numFmtId="176" fontId="7" fillId="0" borderId="0" xfId="1" applyNumberFormat="1" applyFont="1"/>
    <xf numFmtId="172" fontId="7" fillId="0" borderId="0" xfId="5" applyNumberFormat="1" applyFont="1" applyFill="1" applyProtection="1"/>
    <xf numFmtId="10" fontId="7" fillId="0" borderId="5" xfId="5" applyNumberFormat="1" applyFont="1" applyBorder="1"/>
    <xf numFmtId="10" fontId="7" fillId="0" borderId="7" xfId="5" applyNumberFormat="1" applyFont="1" applyBorder="1"/>
    <xf numFmtId="37" fontId="7" fillId="0" borderId="13" xfId="5" applyNumberFormat="1" applyFont="1" applyFill="1" applyBorder="1" applyProtection="1"/>
    <xf numFmtId="10" fontId="7" fillId="0" borderId="8" xfId="5" applyNumberFormat="1" applyFont="1" applyBorder="1"/>
    <xf numFmtId="10" fontId="7" fillId="0" borderId="0" xfId="5" applyNumberFormat="1" applyFont="1" applyBorder="1"/>
    <xf numFmtId="49" fontId="7" fillId="0" borderId="0" xfId="5" applyNumberFormat="1" applyFont="1" applyFill="1" applyAlignment="1">
      <alignment horizontal="left"/>
    </xf>
    <xf numFmtId="165" fontId="7" fillId="0" borderId="0" xfId="1" applyNumberFormat="1" applyFont="1"/>
    <xf numFmtId="172" fontId="7" fillId="0" borderId="0" xfId="5" applyNumberFormat="1" applyFont="1" applyFill="1" applyBorder="1" applyProtection="1"/>
    <xf numFmtId="37" fontId="7" fillId="0" borderId="8" xfId="5" applyNumberFormat="1" applyFont="1" applyFill="1" applyBorder="1" applyProtection="1"/>
    <xf numFmtId="175" fontId="7" fillId="0" borderId="0" xfId="5" applyNumberFormat="1" applyFont="1" applyFill="1" applyProtection="1"/>
    <xf numFmtId="164" fontId="41" fillId="0" borderId="0" xfId="5" applyNumberFormat="1" applyFont="1" applyFill="1" applyAlignment="1">
      <alignment horizontal="left"/>
    </xf>
    <xf numFmtId="164" fontId="7" fillId="0" borderId="0" xfId="5" quotePrefix="1" applyNumberFormat="1" applyFont="1"/>
    <xf numFmtId="0" fontId="42" fillId="0" borderId="0" xfId="6" applyFont="1"/>
    <xf numFmtId="10" fontId="7" fillId="0" borderId="12" xfId="5" applyNumberFormat="1" applyFont="1" applyBorder="1"/>
    <xf numFmtId="37" fontId="7" fillId="0" borderId="1" xfId="5" applyNumberFormat="1" applyFont="1" applyFill="1" applyBorder="1" applyProtection="1">
      <protection locked="0"/>
    </xf>
    <xf numFmtId="164" fontId="7" fillId="0" borderId="1" xfId="5" applyNumberFormat="1" applyFont="1" applyFill="1" applyBorder="1"/>
    <xf numFmtId="5" fontId="7" fillId="0" borderId="1" xfId="5" applyNumberFormat="1" applyFont="1" applyFill="1" applyBorder="1" applyProtection="1"/>
    <xf numFmtId="37" fontId="7" fillId="0" borderId="2" xfId="5" applyNumberFormat="1" applyFont="1" applyFill="1" applyBorder="1" applyProtection="1">
      <protection locked="0"/>
    </xf>
    <xf numFmtId="173" fontId="7" fillId="0" borderId="0" xfId="5" applyNumberFormat="1" applyFont="1" applyFill="1" applyProtection="1">
      <protection locked="0"/>
    </xf>
    <xf numFmtId="170" fontId="7" fillId="0" borderId="8" xfId="5" applyNumberFormat="1" applyFont="1" applyBorder="1"/>
    <xf numFmtId="0" fontId="42" fillId="0" borderId="0" xfId="6" applyFont="1" applyFill="1"/>
    <xf numFmtId="0" fontId="42" fillId="0" borderId="0" xfId="6" applyFont="1" applyBorder="1"/>
    <xf numFmtId="164" fontId="7" fillId="0" borderId="0" xfId="5" applyNumberFormat="1" applyFont="1" applyFill="1" applyProtection="1">
      <protection locked="0"/>
    </xf>
    <xf numFmtId="177" fontId="7" fillId="0" borderId="0" xfId="5" applyNumberFormat="1" applyFont="1" applyFill="1" applyProtection="1">
      <protection locked="0"/>
    </xf>
    <xf numFmtId="164" fontId="7" fillId="0" borderId="7" xfId="5" applyNumberFormat="1" applyFont="1" applyBorder="1"/>
    <xf numFmtId="164" fontId="7" fillId="0" borderId="8" xfId="5" applyNumberFormat="1" applyFont="1" applyFill="1" applyBorder="1" applyProtection="1"/>
    <xf numFmtId="164" fontId="40" fillId="0" borderId="0" xfId="5" applyNumberFormat="1" applyFont="1" applyBorder="1"/>
    <xf numFmtId="170" fontId="7" fillId="0" borderId="0" xfId="3" applyNumberFormat="1" applyFont="1" applyFill="1"/>
    <xf numFmtId="37" fontId="7" fillId="0" borderId="14" xfId="5" applyNumberFormat="1" applyFont="1" applyFill="1" applyBorder="1" applyProtection="1"/>
    <xf numFmtId="164" fontId="7" fillId="0" borderId="10" xfId="5" applyNumberFormat="1" applyFont="1" applyFill="1" applyBorder="1"/>
    <xf numFmtId="168" fontId="7" fillId="0" borderId="8" xfId="5" applyNumberFormat="1" applyFont="1" applyFill="1" applyBorder="1" applyProtection="1"/>
    <xf numFmtId="178" fontId="7" fillId="0" borderId="0" xfId="5" applyNumberFormat="1" applyFont="1"/>
    <xf numFmtId="178" fontId="7" fillId="0" borderId="0" xfId="5" applyNumberFormat="1" applyFont="1" applyFill="1"/>
    <xf numFmtId="37" fontId="7" fillId="0" borderId="13" xfId="5" applyNumberFormat="1" applyFont="1" applyFill="1" applyBorder="1" applyProtection="1">
      <protection locked="0"/>
    </xf>
    <xf numFmtId="37" fontId="7" fillId="0" borderId="10" xfId="5" applyNumberFormat="1" applyFont="1" applyFill="1" applyBorder="1" applyProtection="1">
      <protection locked="0"/>
    </xf>
    <xf numFmtId="168" fontId="7" fillId="0" borderId="13" xfId="1" applyNumberFormat="1" applyFont="1" applyFill="1" applyBorder="1"/>
    <xf numFmtId="168" fontId="7" fillId="0" borderId="0" xfId="1" applyNumberFormat="1" applyFont="1" applyFill="1" applyBorder="1"/>
    <xf numFmtId="164" fontId="43" fillId="0" borderId="0" xfId="5" applyNumberFormat="1" applyFont="1" applyFill="1" applyAlignment="1">
      <alignment horizontal="left"/>
    </xf>
    <xf numFmtId="170" fontId="7" fillId="0" borderId="12" xfId="5" applyNumberFormat="1" applyFont="1" applyBorder="1"/>
    <xf numFmtId="176" fontId="7" fillId="0" borderId="0" xfId="1" applyNumberFormat="1" applyFont="1" applyFill="1" applyBorder="1" applyProtection="1">
      <protection locked="0"/>
    </xf>
    <xf numFmtId="49" fontId="39" fillId="0" borderId="0" xfId="5" applyNumberFormat="1" applyFont="1" applyFill="1"/>
    <xf numFmtId="7" fontId="7" fillId="0" borderId="1" xfId="5" applyNumberFormat="1" applyFont="1" applyFill="1" applyBorder="1" applyProtection="1">
      <protection locked="0"/>
    </xf>
    <xf numFmtId="37" fontId="7" fillId="0" borderId="0" xfId="5" applyNumberFormat="1" applyFont="1" applyFill="1" applyBorder="1" applyProtection="1">
      <protection locked="0"/>
    </xf>
    <xf numFmtId="179" fontId="7" fillId="0" borderId="0" xfId="5" applyNumberFormat="1" applyFont="1" applyFill="1" applyProtection="1"/>
    <xf numFmtId="37" fontId="7" fillId="0" borderId="1" xfId="5" applyNumberFormat="1" applyFont="1" applyFill="1" applyBorder="1" applyProtection="1"/>
    <xf numFmtId="10" fontId="7" fillId="0" borderId="0" xfId="3" applyNumberFormat="1" applyFont="1" applyFill="1" applyBorder="1"/>
    <xf numFmtId="164" fontId="44" fillId="0" borderId="0" xfId="5" applyNumberFormat="1" applyFont="1" applyFill="1" applyAlignment="1">
      <alignment horizontal="left"/>
    </xf>
    <xf numFmtId="176" fontId="7" fillId="0" borderId="0" xfId="1" applyNumberFormat="1" applyFont="1" applyFill="1" applyProtection="1">
      <protection locked="0"/>
    </xf>
    <xf numFmtId="9" fontId="7" fillId="0" borderId="0" xfId="3" applyNumberFormat="1" applyFont="1"/>
    <xf numFmtId="9" fontId="7" fillId="0" borderId="0" xfId="5" applyNumberFormat="1" applyFont="1"/>
    <xf numFmtId="164" fontId="7" fillId="3" borderId="11" xfId="5" applyNumberFormat="1" applyFont="1" applyFill="1" applyBorder="1"/>
    <xf numFmtId="164" fontId="7" fillId="3" borderId="12" xfId="5" applyNumberFormat="1" applyFont="1" applyFill="1" applyBorder="1"/>
    <xf numFmtId="180" fontId="7" fillId="0" borderId="5" xfId="5" applyNumberFormat="1" applyFont="1" applyFill="1" applyBorder="1" applyProtection="1"/>
    <xf numFmtId="180" fontId="7" fillId="0" borderId="7" xfId="5" applyNumberFormat="1" applyFont="1" applyFill="1" applyBorder="1" applyProtection="1"/>
    <xf numFmtId="164" fontId="39" fillId="0" borderId="0" xfId="5" applyNumberFormat="1" applyFont="1" applyFill="1"/>
    <xf numFmtId="9" fontId="7" fillId="0" borderId="0" xfId="3" applyNumberFormat="1" applyFont="1" applyProtection="1"/>
    <xf numFmtId="166" fontId="7" fillId="0" borderId="0" xfId="5" applyNumberFormat="1" applyFont="1" applyFill="1" applyProtection="1">
      <protection locked="0"/>
    </xf>
    <xf numFmtId="166" fontId="7" fillId="0" borderId="0" xfId="5" applyNumberFormat="1" applyFont="1" applyFill="1" applyBorder="1" applyProtection="1">
      <protection locked="0"/>
    </xf>
    <xf numFmtId="166" fontId="7" fillId="0" borderId="0" xfId="5" applyNumberFormat="1" applyFont="1" applyFill="1" applyProtection="1"/>
    <xf numFmtId="166" fontId="7" fillId="0" borderId="0" xfId="5" applyNumberFormat="1" applyFont="1" applyFill="1" applyBorder="1" applyProtection="1"/>
    <xf numFmtId="170" fontId="7" fillId="0" borderId="0" xfId="5" applyNumberFormat="1" applyFont="1"/>
    <xf numFmtId="175" fontId="7" fillId="0" borderId="1" xfId="5" applyNumberFormat="1" applyFont="1" applyFill="1" applyBorder="1" applyProtection="1"/>
    <xf numFmtId="175" fontId="7" fillId="0" borderId="0" xfId="5" applyNumberFormat="1" applyFont="1" applyFill="1" applyBorder="1" applyProtection="1"/>
    <xf numFmtId="5" fontId="7" fillId="0" borderId="0" xfId="5" applyNumberFormat="1" applyFont="1" applyFill="1" applyProtection="1">
      <protection locked="0"/>
    </xf>
    <xf numFmtId="164" fontId="7" fillId="0" borderId="0" xfId="5" applyNumberFormat="1" applyFont="1" applyFill="1" applyProtection="1"/>
    <xf numFmtId="164" fontId="7" fillId="0" borderId="0" xfId="5" applyNumberFormat="1" applyFont="1" applyFill="1" applyBorder="1" applyProtection="1"/>
    <xf numFmtId="5" fontId="7" fillId="0" borderId="1" xfId="5" applyNumberFormat="1" applyFont="1" applyFill="1" applyBorder="1" applyProtection="1">
      <protection locked="0"/>
    </xf>
    <xf numFmtId="172" fontId="7" fillId="0" borderId="13" xfId="5" applyNumberFormat="1" applyFont="1" applyFill="1" applyBorder="1" applyProtection="1"/>
    <xf numFmtId="176" fontId="7" fillId="0" borderId="0" xfId="1" applyNumberFormat="1" applyFont="1" applyFill="1" applyProtection="1"/>
    <xf numFmtId="176" fontId="7" fillId="0" borderId="0" xfId="1" applyNumberFormat="1" applyFont="1" applyFill="1" applyBorder="1" applyProtection="1"/>
    <xf numFmtId="37" fontId="7" fillId="0" borderId="15" xfId="5" applyNumberFormat="1" applyFont="1" applyFill="1" applyBorder="1" applyProtection="1"/>
    <xf numFmtId="172" fontId="7" fillId="0" borderId="2" xfId="5" applyNumberFormat="1" applyFont="1" applyFill="1" applyBorder="1" applyProtection="1"/>
    <xf numFmtId="5" fontId="7" fillId="0" borderId="15" xfId="5" applyNumberFormat="1" applyFont="1" applyFill="1" applyBorder="1" applyProtection="1"/>
    <xf numFmtId="164" fontId="7" fillId="0" borderId="0" xfId="5" applyNumberFormat="1" applyFont="1" applyFill="1" applyBorder="1" applyProtection="1">
      <protection locked="0"/>
    </xf>
    <xf numFmtId="5" fontId="7" fillId="0" borderId="0" xfId="5" applyNumberFormat="1" applyFont="1" applyFill="1" applyBorder="1" applyProtection="1">
      <protection locked="0"/>
    </xf>
    <xf numFmtId="166" fontId="7" fillId="0" borderId="1" xfId="5" applyNumberFormat="1" applyFont="1" applyFill="1" applyBorder="1" applyProtection="1"/>
    <xf numFmtId="165" fontId="7" fillId="0" borderId="0" xfId="1" applyNumberFormat="1" applyFont="1" applyFill="1"/>
    <xf numFmtId="172" fontId="7" fillId="0" borderId="0" xfId="5" applyNumberFormat="1" applyFont="1" applyProtection="1"/>
    <xf numFmtId="5" fontId="7" fillId="0" borderId="0" xfId="5" applyNumberFormat="1" applyFont="1" applyProtection="1"/>
    <xf numFmtId="165" fontId="7" fillId="0" borderId="2" xfId="1" applyNumberFormat="1" applyFont="1" applyFill="1" applyBorder="1"/>
    <xf numFmtId="164" fontId="1" fillId="5" borderId="0" xfId="4" applyFill="1"/>
    <xf numFmtId="164" fontId="1" fillId="5" borderId="0" xfId="4" applyNumberFormat="1" applyFill="1"/>
    <xf numFmtId="164" fontId="1" fillId="5" borderId="0" xfId="4" quotePrefix="1" applyNumberFormat="1" applyFill="1" applyAlignment="1">
      <alignment horizontal="right"/>
    </xf>
    <xf numFmtId="165" fontId="1" fillId="5" borderId="0" xfId="1" applyNumberFormat="1" applyFont="1" applyFill="1"/>
    <xf numFmtId="5" fontId="1" fillId="5" borderId="0" xfId="2" applyNumberFormat="1" applyFont="1" applyFill="1"/>
    <xf numFmtId="5" fontId="1" fillId="5" borderId="0" xfId="4" applyNumberFormat="1" applyFill="1"/>
    <xf numFmtId="10" fontId="4" fillId="5" borderId="0" xfId="2" applyNumberFormat="1" applyFont="1" applyFill="1"/>
    <xf numFmtId="2" fontId="1" fillId="5" borderId="0" xfId="4" applyNumberFormat="1" applyFill="1"/>
    <xf numFmtId="8" fontId="1" fillId="5" borderId="0" xfId="4" applyNumberFormat="1" applyFill="1"/>
    <xf numFmtId="5" fontId="1" fillId="5" borderId="2" xfId="2" applyNumberFormat="1" applyFont="1" applyFill="1" applyBorder="1"/>
    <xf numFmtId="10" fontId="1" fillId="0" borderId="0" xfId="2" applyNumberFormat="1" applyFont="1" applyFill="1" applyBorder="1"/>
    <xf numFmtId="10" fontId="7" fillId="0" borderId="7" xfId="1" applyNumberFormat="1" applyFont="1" applyBorder="1"/>
    <xf numFmtId="10" fontId="2" fillId="0" borderId="0" xfId="3" applyNumberFormat="1" applyFont="1" applyFill="1"/>
    <xf numFmtId="7" fontId="14" fillId="0" borderId="0" xfId="7" applyNumberFormat="1" applyFont="1" applyBorder="1" applyAlignment="1">
      <alignment horizontal="center"/>
    </xf>
  </cellXfs>
  <cellStyles count="135">
    <cellStyle name="Comma" xfId="1" builtinId="3"/>
    <cellStyle name="Comma 11" xfId="29"/>
    <cellStyle name="Comma 19" xfId="30"/>
    <cellStyle name="Comma 2" xfId="9"/>
    <cellStyle name="Comma 2 10" xfId="31"/>
    <cellStyle name="Comma 2 11" xfId="32"/>
    <cellStyle name="Comma 2 12" xfId="33"/>
    <cellStyle name="Comma 2 13" xfId="34"/>
    <cellStyle name="Comma 2 14" xfId="35"/>
    <cellStyle name="Comma 2 15" xfId="36"/>
    <cellStyle name="Comma 2 16" xfId="37"/>
    <cellStyle name="Comma 2 17" xfId="38"/>
    <cellStyle name="Comma 2 18" xfId="39"/>
    <cellStyle name="Comma 2 19" xfId="40"/>
    <cellStyle name="Comma 2 2" xfId="41"/>
    <cellStyle name="Comma 2 20" xfId="42"/>
    <cellStyle name="Comma 2 21" xfId="43"/>
    <cellStyle name="Comma 2 3" xfId="44"/>
    <cellStyle name="Comma 2 4" xfId="45"/>
    <cellStyle name="Comma 2 5" xfId="46"/>
    <cellStyle name="Comma 2 6" xfId="47"/>
    <cellStyle name="Comma 2 7" xfId="48"/>
    <cellStyle name="Comma 2 8" xfId="49"/>
    <cellStyle name="Comma 2 9" xfId="50"/>
    <cellStyle name="Comma 21" xfId="51"/>
    <cellStyle name="Comma 22" xfId="52"/>
    <cellStyle name="Comma 4" xfId="53"/>
    <cellStyle name="Comma 5" xfId="54"/>
    <cellStyle name="Currency" xfId="2" builtinId="4"/>
    <cellStyle name="Currency 2" xfId="10"/>
    <cellStyle name="Currency 2 10" xfId="55"/>
    <cellStyle name="Currency 2 11" xfId="56"/>
    <cellStyle name="Currency 2 12" xfId="57"/>
    <cellStyle name="Currency 2 13" xfId="58"/>
    <cellStyle name="Currency 2 14" xfId="59"/>
    <cellStyle name="Currency 2 15" xfId="60"/>
    <cellStyle name="Currency 2 16" xfId="61"/>
    <cellStyle name="Currency 2 17" xfId="62"/>
    <cellStyle name="Currency 2 18" xfId="63"/>
    <cellStyle name="Currency 2 19" xfId="64"/>
    <cellStyle name="Currency 2 2" xfId="65"/>
    <cellStyle name="Currency 2 20" xfId="66"/>
    <cellStyle name="Currency 2 21" xfId="67"/>
    <cellStyle name="Currency 2 3" xfId="68"/>
    <cellStyle name="Currency 2 4" xfId="69"/>
    <cellStyle name="Currency 2 5" xfId="70"/>
    <cellStyle name="Currency 2 6" xfId="71"/>
    <cellStyle name="Currency 2 7" xfId="72"/>
    <cellStyle name="Currency 2 8" xfId="73"/>
    <cellStyle name="Currency 2 9" xfId="74"/>
    <cellStyle name="General" xfId="11"/>
    <cellStyle name="nONE" xfId="12"/>
    <cellStyle name="Normal" xfId="0" builtinId="0"/>
    <cellStyle name="Normal 10" xfId="75"/>
    <cellStyle name="Normal 11" xfId="76"/>
    <cellStyle name="Normal 12" xfId="77"/>
    <cellStyle name="Normal 13" xfId="78"/>
    <cellStyle name="Normal 14" xfId="79"/>
    <cellStyle name="Normal 16" xfId="80"/>
    <cellStyle name="Normal 17" xfId="81"/>
    <cellStyle name="Normal 18" xfId="82"/>
    <cellStyle name="Normal 19" xfId="83"/>
    <cellStyle name="Normal 2" xfId="13"/>
    <cellStyle name="Normal 2 10" xfId="84"/>
    <cellStyle name="Normal 2 11" xfId="85"/>
    <cellStyle name="Normal 2 12" xfId="86"/>
    <cellStyle name="Normal 2 13" xfId="87"/>
    <cellStyle name="Normal 2 14" xfId="88"/>
    <cellStyle name="Normal 2 15" xfId="89"/>
    <cellStyle name="Normal 2 16" xfId="90"/>
    <cellStyle name="Normal 2 17" xfId="91"/>
    <cellStyle name="Normal 2 18" xfId="92"/>
    <cellStyle name="Normal 2 19" xfId="93"/>
    <cellStyle name="Normal 2 2" xfId="14"/>
    <cellStyle name="Normal 2 20" xfId="94"/>
    <cellStyle name="Normal 2 21" xfId="95"/>
    <cellStyle name="Normal 2 22" xfId="96"/>
    <cellStyle name="Normal 2 3" xfId="97"/>
    <cellStyle name="Normal 2 4" xfId="98"/>
    <cellStyle name="Normal 2 5" xfId="99"/>
    <cellStyle name="Normal 2 6" xfId="100"/>
    <cellStyle name="Normal 2 7" xfId="101"/>
    <cellStyle name="Normal 2 8" xfId="102"/>
    <cellStyle name="Normal 2 9" xfId="103"/>
    <cellStyle name="Normal 2_Book1" xfId="104"/>
    <cellStyle name="Normal 20" xfId="105"/>
    <cellStyle name="Normal 21" xfId="106"/>
    <cellStyle name="Normal 22" xfId="107"/>
    <cellStyle name="Normal 23" xfId="108"/>
    <cellStyle name="Normal 24" xfId="109"/>
    <cellStyle name="Normal 3" xfId="15"/>
    <cellStyle name="Normal 3 2" xfId="16"/>
    <cellStyle name="Normal 4" xfId="17"/>
    <cellStyle name="Normal 5" xfId="18"/>
    <cellStyle name="Normal 6" xfId="19"/>
    <cellStyle name="Normal 7" xfId="20"/>
    <cellStyle name="Normal 8" xfId="21"/>
    <cellStyle name="Normal 9" xfId="110"/>
    <cellStyle name="Normal_Bill Comp Settlement with New DSM" xfId="7"/>
    <cellStyle name="Normal_Blocking 03-01" xfId="4"/>
    <cellStyle name="Normal_Blocking 09-00" xfId="5"/>
    <cellStyle name="Normal_Book4" xfId="6"/>
    <cellStyle name="Normal_OR UE179 Blocking Stipulation FINAL IMPL JAN07" xfId="8"/>
    <cellStyle name="Percent" xfId="3" builtinId="5"/>
    <cellStyle name="Percent 13" xfId="111"/>
    <cellStyle name="Percent 19" xfId="112"/>
    <cellStyle name="Percent 2" xfId="22"/>
    <cellStyle name="Percent 2 10" xfId="113"/>
    <cellStyle name="Percent 2 11" xfId="114"/>
    <cellStyle name="Percent 2 12" xfId="115"/>
    <cellStyle name="Percent 2 13" xfId="116"/>
    <cellStyle name="Percent 2 14" xfId="117"/>
    <cellStyle name="Percent 2 15" xfId="118"/>
    <cellStyle name="Percent 2 16" xfId="119"/>
    <cellStyle name="Percent 2 17" xfId="120"/>
    <cellStyle name="Percent 2 18" xfId="121"/>
    <cellStyle name="Percent 2 19" xfId="122"/>
    <cellStyle name="Percent 2 2" xfId="23"/>
    <cellStyle name="Percent 2 20" xfId="123"/>
    <cellStyle name="Percent 2 21" xfId="124"/>
    <cellStyle name="Percent 2 3" xfId="125"/>
    <cellStyle name="Percent 2 4" xfId="126"/>
    <cellStyle name="Percent 2 5" xfId="127"/>
    <cellStyle name="Percent 2 6" xfId="128"/>
    <cellStyle name="Percent 2 7" xfId="129"/>
    <cellStyle name="Percent 2 8" xfId="130"/>
    <cellStyle name="Percent 2 9" xfId="131"/>
    <cellStyle name="Percent 22" xfId="132"/>
    <cellStyle name="Percent 3" xfId="24"/>
    <cellStyle name="Percent 4" xfId="25"/>
    <cellStyle name="Percent 5" xfId="26"/>
    <cellStyle name="Percent 6" xfId="27"/>
    <cellStyle name="SAPBEXchaText" xfId="133"/>
    <cellStyle name="SAPBEXtitle" xfId="134"/>
    <cellStyle name="TRANSMISSION RELIABILITY PORTION OF PROJECT" xf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ork\Cost%20of%20Service\Utah\Docket%2006-035-21%20(GRC%20-%202006)\Filed\KDA%20-%20Exhibit%203\JAM%20-%20UT%20Sept%202007%20GRC%20(Final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Utah%20Docket%2010-035-124%20(GRC%202011)\Filed%20(rebuttal)\Testimony%20and%20Exhibits\Exhibit%20RMP%20(CCP-3R)\Tabs%204%20&amp;%205\COS%20UT%20Jun%202012_Rebuttal%20CO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Utah%20Docket%2012-035-xx%20(GRC%202012)\COS%20(embedded)\COS%20UT%20May%202013_N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GRC%202011\1.%20Embedded%20COS\COS%20UT%20Jun%202012_NS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Utah%20Docket%2010-035-124%20(GRC%202011)\Filed%20(direct)\Testimony%20and%20Exhibits\Confidential%20Exhibit%20RMP__(CCP-5)\UT%20GRC%20MC%20Study%20Jun%202012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JAM%20Dec%201999%20-%20C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Utah%20GRC%202011\2.%20Marginal%20COS\OR%20GRC%20MC%20Study%20Dec%202011%20-%20N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Summary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2">
          <cell r="B32">
            <v>3.3719388692489598E-3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</sheetData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NPC Factors"/>
      <sheetName val="Revenues"/>
      <sheetName val="TransInvest"/>
      <sheetName val="DistInvest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6">
          <cell r="C6" t="str">
            <v>12 Months Ended Jun 2012</v>
          </cell>
        </row>
        <row r="9">
          <cell r="D9">
            <v>0.75</v>
          </cell>
        </row>
        <row r="10">
          <cell r="D10">
            <v>0.5</v>
          </cell>
        </row>
        <row r="11">
          <cell r="W11">
            <v>3</v>
          </cell>
        </row>
        <row r="21">
          <cell r="H21">
            <v>0.61853759912956474</v>
          </cell>
        </row>
        <row r="24">
          <cell r="D24">
            <v>0.3694468413935218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5566045566.0353851</v>
          </cell>
        </row>
      </sheetData>
      <sheetData sheetId="12"/>
      <sheetData sheetId="13"/>
      <sheetData sheetId="14"/>
      <sheetData sheetId="15"/>
      <sheetData sheetId="16"/>
      <sheetData sheetId="17">
        <row r="120">
          <cell r="F120" t="str">
            <v>Mo Wgt Fac</v>
          </cell>
        </row>
      </sheetData>
      <sheetData sheetId="18">
        <row r="4">
          <cell r="I4">
            <v>0.74155389074644962</v>
          </cell>
        </row>
      </sheetData>
      <sheetData sheetId="19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64">
          <cell r="H264">
            <v>10911620.343994766</v>
          </cell>
        </row>
        <row r="273">
          <cell r="H273">
            <v>0</v>
          </cell>
          <cell r="AB273">
            <v>0</v>
          </cell>
        </row>
        <row r="274">
          <cell r="AB274">
            <v>0</v>
          </cell>
        </row>
        <row r="280">
          <cell r="AB280">
            <v>0</v>
          </cell>
        </row>
        <row r="283">
          <cell r="AB283">
            <v>0</v>
          </cell>
        </row>
        <row r="284">
          <cell r="AB284">
            <v>0</v>
          </cell>
        </row>
        <row r="289">
          <cell r="AB289">
            <v>0</v>
          </cell>
        </row>
        <row r="290">
          <cell r="AB290">
            <v>241043.67823844633</v>
          </cell>
        </row>
        <row r="291">
          <cell r="H291">
            <v>3577623.4299999997</v>
          </cell>
          <cell r="AB291">
            <v>114961.64623925314</v>
          </cell>
        </row>
        <row r="297">
          <cell r="H297">
            <v>2935273.83</v>
          </cell>
          <cell r="AB297">
            <v>0</v>
          </cell>
        </row>
        <row r="298">
          <cell r="AB298">
            <v>0</v>
          </cell>
        </row>
        <row r="299">
          <cell r="AB299">
            <v>0</v>
          </cell>
        </row>
        <row r="302">
          <cell r="H302">
            <v>3890290.93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9">
          <cell r="AB309">
            <v>0</v>
          </cell>
        </row>
        <row r="312">
          <cell r="H312">
            <v>3182622.92</v>
          </cell>
          <cell r="AB312">
            <v>116597.57917836553</v>
          </cell>
        </row>
        <row r="313">
          <cell r="AB313">
            <v>0</v>
          </cell>
        </row>
        <row r="314">
          <cell r="AB314">
            <v>14809.566820082549</v>
          </cell>
        </row>
        <row r="315">
          <cell r="AB315">
            <v>131407.14599844808</v>
          </cell>
        </row>
        <row r="318">
          <cell r="H318">
            <v>-60653.539999999106</v>
          </cell>
          <cell r="AB318">
            <v>0</v>
          </cell>
        </row>
        <row r="319">
          <cell r="AB319">
            <v>0</v>
          </cell>
        </row>
        <row r="320">
          <cell r="AB320">
            <v>0</v>
          </cell>
        </row>
        <row r="323">
          <cell r="AB323">
            <v>0</v>
          </cell>
        </row>
        <row r="355">
          <cell r="AB355">
            <v>0</v>
          </cell>
        </row>
        <row r="360">
          <cell r="AB360">
            <v>0</v>
          </cell>
        </row>
        <row r="364">
          <cell r="AB364">
            <v>0</v>
          </cell>
        </row>
        <row r="367">
          <cell r="AB367">
            <v>0</v>
          </cell>
        </row>
        <row r="371">
          <cell r="AB371">
            <v>0</v>
          </cell>
        </row>
        <row r="380">
          <cell r="AB380">
            <v>-43135.714868065479</v>
          </cell>
        </row>
        <row r="387">
          <cell r="AB387">
            <v>0</v>
          </cell>
        </row>
        <row r="390">
          <cell r="AB390">
            <v>0</v>
          </cell>
        </row>
        <row r="391">
          <cell r="AB391">
            <v>0</v>
          </cell>
        </row>
        <row r="392">
          <cell r="AB392">
            <v>0</v>
          </cell>
        </row>
        <row r="405">
          <cell r="AB405">
            <v>0</v>
          </cell>
        </row>
        <row r="406">
          <cell r="AB406">
            <v>0</v>
          </cell>
        </row>
        <row r="409">
          <cell r="AB409">
            <v>0</v>
          </cell>
        </row>
        <row r="410">
          <cell r="AB410">
            <v>0</v>
          </cell>
        </row>
        <row r="411">
          <cell r="AB411">
            <v>0</v>
          </cell>
        </row>
        <row r="412">
          <cell r="AB412">
            <v>0</v>
          </cell>
        </row>
        <row r="413">
          <cell r="AB413">
            <v>0</v>
          </cell>
        </row>
        <row r="414">
          <cell r="AB414">
            <v>0</v>
          </cell>
        </row>
        <row r="417">
          <cell r="AB417">
            <v>0</v>
          </cell>
        </row>
        <row r="418">
          <cell r="AB418">
            <v>0</v>
          </cell>
        </row>
        <row r="419">
          <cell r="AB419">
            <v>0</v>
          </cell>
        </row>
        <row r="422">
          <cell r="AB422">
            <v>0</v>
          </cell>
        </row>
        <row r="423">
          <cell r="AB423">
            <v>0</v>
          </cell>
        </row>
        <row r="424">
          <cell r="AB424">
            <v>0</v>
          </cell>
        </row>
        <row r="427">
          <cell r="AB427">
            <v>0</v>
          </cell>
        </row>
        <row r="428">
          <cell r="AB428">
            <v>0</v>
          </cell>
        </row>
        <row r="429">
          <cell r="AB429">
            <v>0</v>
          </cell>
        </row>
        <row r="432">
          <cell r="AB432">
            <v>0</v>
          </cell>
        </row>
        <row r="433">
          <cell r="AB433">
            <v>0</v>
          </cell>
        </row>
        <row r="434">
          <cell r="AB434">
            <v>0</v>
          </cell>
        </row>
        <row r="435">
          <cell r="AB435">
            <v>0</v>
          </cell>
        </row>
        <row r="443">
          <cell r="AB443">
            <v>0</v>
          </cell>
        </row>
        <row r="444">
          <cell r="AB444">
            <v>0</v>
          </cell>
        </row>
        <row r="448">
          <cell r="AB448">
            <v>0</v>
          </cell>
        </row>
        <row r="449">
          <cell r="AB449">
            <v>0</v>
          </cell>
        </row>
        <row r="453">
          <cell r="AB453">
            <v>0</v>
          </cell>
        </row>
        <row r="454">
          <cell r="AB454">
            <v>0</v>
          </cell>
        </row>
        <row r="458">
          <cell r="AB458">
            <v>0</v>
          </cell>
        </row>
        <row r="459">
          <cell r="AB459">
            <v>0</v>
          </cell>
        </row>
        <row r="463">
          <cell r="AB463">
            <v>0</v>
          </cell>
        </row>
        <row r="464">
          <cell r="AB464">
            <v>0</v>
          </cell>
        </row>
        <row r="468">
          <cell r="AB468">
            <v>0</v>
          </cell>
        </row>
        <row r="469">
          <cell r="AB469">
            <v>0</v>
          </cell>
        </row>
        <row r="478">
          <cell r="AB478">
            <v>0</v>
          </cell>
        </row>
        <row r="482">
          <cell r="AB482">
            <v>0</v>
          </cell>
        </row>
        <row r="487">
          <cell r="AB487">
            <v>0</v>
          </cell>
        </row>
        <row r="491">
          <cell r="AB491">
            <v>0</v>
          </cell>
        </row>
        <row r="495">
          <cell r="AB495">
            <v>0</v>
          </cell>
        </row>
        <row r="499">
          <cell r="AB499">
            <v>0</v>
          </cell>
        </row>
        <row r="503">
          <cell r="AB503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43">
          <cell r="AB543">
            <v>0</v>
          </cell>
        </row>
        <row r="547">
          <cell r="AB547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7">
          <cell r="AB567">
            <v>0</v>
          </cell>
        </row>
        <row r="571">
          <cell r="AB571">
            <v>0</v>
          </cell>
        </row>
        <row r="584">
          <cell r="AB584">
            <v>0</v>
          </cell>
        </row>
        <row r="587">
          <cell r="AB587">
            <v>0</v>
          </cell>
        </row>
        <row r="588">
          <cell r="AB588">
            <v>0</v>
          </cell>
        </row>
        <row r="593">
          <cell r="AB593">
            <v>0</v>
          </cell>
        </row>
        <row r="594">
          <cell r="AB594">
            <v>0</v>
          </cell>
        </row>
        <row r="599">
          <cell r="AB599">
            <v>0</v>
          </cell>
        </row>
        <row r="609">
          <cell r="AB609">
            <v>0</v>
          </cell>
        </row>
        <row r="610">
          <cell r="AB610">
            <v>0</v>
          </cell>
        </row>
        <row r="614">
          <cell r="AB614">
            <v>0</v>
          </cell>
        </row>
        <row r="619">
          <cell r="AB619">
            <v>0</v>
          </cell>
        </row>
        <row r="624">
          <cell r="AB624">
            <v>0</v>
          </cell>
        </row>
        <row r="625">
          <cell r="AB625">
            <v>0</v>
          </cell>
        </row>
        <row r="629">
          <cell r="AB629">
            <v>0</v>
          </cell>
        </row>
        <row r="630">
          <cell r="AB630">
            <v>0</v>
          </cell>
        </row>
        <row r="641">
          <cell r="AB641">
            <v>0</v>
          </cell>
        </row>
        <row r="642">
          <cell r="AB642">
            <v>0</v>
          </cell>
        </row>
        <row r="643">
          <cell r="AB643">
            <v>0</v>
          </cell>
        </row>
        <row r="644">
          <cell r="AB644">
            <v>0</v>
          </cell>
        </row>
        <row r="645">
          <cell r="AB645">
            <v>0</v>
          </cell>
        </row>
        <row r="650">
          <cell r="AB650">
            <v>0</v>
          </cell>
        </row>
        <row r="657">
          <cell r="AB657">
            <v>0</v>
          </cell>
        </row>
        <row r="659">
          <cell r="AB659">
            <v>0</v>
          </cell>
        </row>
        <row r="662">
          <cell r="AB662">
            <v>0</v>
          </cell>
        </row>
        <row r="663">
          <cell r="AB663">
            <v>0</v>
          </cell>
        </row>
        <row r="664">
          <cell r="AB664">
            <v>0</v>
          </cell>
        </row>
        <row r="665">
          <cell r="AB665">
            <v>0</v>
          </cell>
        </row>
        <row r="666">
          <cell r="AB666">
            <v>0</v>
          </cell>
        </row>
        <row r="667">
          <cell r="AB667">
            <v>0</v>
          </cell>
        </row>
        <row r="682">
          <cell r="AB682">
            <v>0</v>
          </cell>
        </row>
        <row r="686">
          <cell r="AB686">
            <v>0</v>
          </cell>
        </row>
        <row r="690">
          <cell r="AB690">
            <v>0</v>
          </cell>
        </row>
        <row r="694">
          <cell r="AB694">
            <v>0</v>
          </cell>
        </row>
        <row r="698">
          <cell r="AB698">
            <v>0</v>
          </cell>
        </row>
        <row r="702">
          <cell r="AB702">
            <v>0</v>
          </cell>
        </row>
        <row r="703">
          <cell r="AB703">
            <v>0</v>
          </cell>
        </row>
        <row r="707">
          <cell r="AB707">
            <v>0</v>
          </cell>
        </row>
        <row r="711">
          <cell r="AB711">
            <v>0</v>
          </cell>
        </row>
        <row r="715">
          <cell r="AB715">
            <v>0</v>
          </cell>
        </row>
        <row r="719">
          <cell r="AB719">
            <v>0</v>
          </cell>
        </row>
        <row r="723">
          <cell r="AB723">
            <v>0</v>
          </cell>
        </row>
        <row r="727">
          <cell r="AB727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8">
          <cell r="H748">
            <v>9034335.1104840785</v>
          </cell>
          <cell r="AB748">
            <v>330979.07915794029</v>
          </cell>
        </row>
        <row r="753">
          <cell r="H753">
            <v>6827623.173287319</v>
          </cell>
          <cell r="AB753">
            <v>0</v>
          </cell>
        </row>
        <row r="758">
          <cell r="H758">
            <v>1911902.8294529617</v>
          </cell>
          <cell r="AB758">
            <v>0</v>
          </cell>
        </row>
        <row r="763">
          <cell r="H763">
            <v>1616348.0755915414</v>
          </cell>
          <cell r="AB763">
            <v>0</v>
          </cell>
        </row>
        <row r="768">
          <cell r="H768">
            <v>49.504394141145141</v>
          </cell>
          <cell r="AB768">
            <v>0</v>
          </cell>
        </row>
        <row r="773">
          <cell r="H773">
            <v>104250.16590039269</v>
          </cell>
          <cell r="AB773">
            <v>104250.16590039269</v>
          </cell>
        </row>
        <row r="778">
          <cell r="H778">
            <v>1968077.1591296275</v>
          </cell>
          <cell r="AB778">
            <v>1968077.1591296275</v>
          </cell>
        </row>
        <row r="783">
          <cell r="H783">
            <v>5506349.2060341947</v>
          </cell>
          <cell r="AB783">
            <v>0</v>
          </cell>
        </row>
        <row r="788">
          <cell r="H788">
            <v>3597851.0312700737</v>
          </cell>
          <cell r="AB788">
            <v>0</v>
          </cell>
        </row>
        <row r="793">
          <cell r="H793">
            <v>559226.23933255568</v>
          </cell>
          <cell r="AB793">
            <v>0</v>
          </cell>
        </row>
        <row r="798">
          <cell r="H798">
            <v>3241717.7722080662</v>
          </cell>
          <cell r="AB798">
            <v>118762.55972509139</v>
          </cell>
        </row>
        <row r="803">
          <cell r="H803">
            <v>760677.68611824024</v>
          </cell>
          <cell r="AB803">
            <v>0</v>
          </cell>
        </row>
        <row r="808">
          <cell r="H808">
            <v>4778049.5305086197</v>
          </cell>
          <cell r="AB808">
            <v>0</v>
          </cell>
        </row>
        <row r="813">
          <cell r="H813">
            <v>38917701.291922048</v>
          </cell>
          <cell r="AB813">
            <v>0</v>
          </cell>
        </row>
        <row r="818">
          <cell r="H818">
            <v>12708363.178767273</v>
          </cell>
          <cell r="AB818">
            <v>0</v>
          </cell>
        </row>
        <row r="823">
          <cell r="H823">
            <v>494541.03724424943</v>
          </cell>
          <cell r="AB823">
            <v>0</v>
          </cell>
        </row>
        <row r="833">
          <cell r="H833">
            <v>2281006.8170035193</v>
          </cell>
          <cell r="AB833">
            <v>0</v>
          </cell>
        </row>
        <row r="838">
          <cell r="H838">
            <v>2760377.9114741907</v>
          </cell>
          <cell r="AB838">
            <v>2760377.9114741907</v>
          </cell>
        </row>
        <row r="843">
          <cell r="H843">
            <v>1486844.1560219452</v>
          </cell>
          <cell r="AB843">
            <v>0</v>
          </cell>
        </row>
        <row r="855">
          <cell r="AB855">
            <v>0</v>
          </cell>
        </row>
        <row r="860">
          <cell r="AB860">
            <v>0</v>
          </cell>
        </row>
        <row r="865">
          <cell r="AB865">
            <v>0</v>
          </cell>
        </row>
        <row r="871">
          <cell r="AB871">
            <v>0</v>
          </cell>
        </row>
        <row r="876">
          <cell r="AB876">
            <v>0</v>
          </cell>
        </row>
        <row r="890">
          <cell r="AB890">
            <v>0</v>
          </cell>
        </row>
        <row r="895">
          <cell r="AB895">
            <v>0</v>
          </cell>
        </row>
        <row r="900">
          <cell r="AB900">
            <v>0</v>
          </cell>
        </row>
        <row r="905">
          <cell r="AB905">
            <v>0</v>
          </cell>
        </row>
        <row r="916">
          <cell r="AB916">
            <v>0</v>
          </cell>
        </row>
        <row r="921">
          <cell r="AB921">
            <v>0</v>
          </cell>
        </row>
        <row r="926">
          <cell r="AB926">
            <v>0</v>
          </cell>
        </row>
        <row r="931">
          <cell r="AB931">
            <v>0</v>
          </cell>
        </row>
        <row r="940">
          <cell r="AB940">
            <v>0</v>
          </cell>
        </row>
        <row r="942">
          <cell r="AB942">
            <v>320126.54926868004</v>
          </cell>
        </row>
        <row r="946">
          <cell r="AB946">
            <v>0</v>
          </cell>
        </row>
        <row r="948">
          <cell r="AB948">
            <v>-84964.595736086674</v>
          </cell>
        </row>
        <row r="952">
          <cell r="AB952">
            <v>0</v>
          </cell>
        </row>
        <row r="954">
          <cell r="AB954">
            <v>51119.30630128437</v>
          </cell>
        </row>
        <row r="958">
          <cell r="AB958">
            <v>0</v>
          </cell>
        </row>
        <row r="959">
          <cell r="AB959">
            <v>57336.339925998895</v>
          </cell>
        </row>
        <row r="963">
          <cell r="AB963">
            <v>40583.821637839552</v>
          </cell>
        </row>
        <row r="969">
          <cell r="AB969">
            <v>0</v>
          </cell>
        </row>
        <row r="974">
          <cell r="AB974">
            <v>0</v>
          </cell>
        </row>
        <row r="981">
          <cell r="AB981">
            <v>0</v>
          </cell>
        </row>
        <row r="983">
          <cell r="H983">
            <v>0</v>
          </cell>
          <cell r="AB983">
            <v>0</v>
          </cell>
        </row>
        <row r="988">
          <cell r="AB988">
            <v>-46760.715808708104</v>
          </cell>
        </row>
        <row r="991">
          <cell r="AB991">
            <v>15642.613310406578</v>
          </cell>
        </row>
        <row r="992">
          <cell r="AB992">
            <v>0</v>
          </cell>
        </row>
        <row r="993">
          <cell r="AB993">
            <v>149468.26384999367</v>
          </cell>
        </row>
        <row r="999">
          <cell r="AB999">
            <v>23753.677211923161</v>
          </cell>
        </row>
        <row r="1005">
          <cell r="AB1005">
            <v>157378.40036011403</v>
          </cell>
        </row>
        <row r="1016">
          <cell r="AB1016">
            <v>0</v>
          </cell>
        </row>
        <row r="1017">
          <cell r="AB1017">
            <v>0</v>
          </cell>
        </row>
        <row r="1018">
          <cell r="AB1018">
            <v>0</v>
          </cell>
        </row>
        <row r="1019">
          <cell r="AB1019">
            <v>0</v>
          </cell>
        </row>
        <row r="1024">
          <cell r="AB1024">
            <v>0</v>
          </cell>
        </row>
        <row r="1029">
          <cell r="AB1029">
            <v>0</v>
          </cell>
        </row>
        <row r="1034">
          <cell r="AB1034">
            <v>0</v>
          </cell>
        </row>
        <row r="1035">
          <cell r="AB1035">
            <v>0</v>
          </cell>
        </row>
        <row r="1036">
          <cell r="AB1036">
            <v>0</v>
          </cell>
        </row>
        <row r="1042">
          <cell r="AB1042">
            <v>0</v>
          </cell>
        </row>
        <row r="1045">
          <cell r="AB1045">
            <v>0</v>
          </cell>
        </row>
        <row r="1046">
          <cell r="AB1046">
            <v>0</v>
          </cell>
        </row>
        <row r="1047">
          <cell r="AB1047">
            <v>0</v>
          </cell>
        </row>
        <row r="1048">
          <cell r="AB1048">
            <v>0</v>
          </cell>
        </row>
        <row r="1049">
          <cell r="AB1049">
            <v>0</v>
          </cell>
        </row>
        <row r="1050">
          <cell r="AB1050">
            <v>0</v>
          </cell>
        </row>
        <row r="1051">
          <cell r="AB1051">
            <v>0</v>
          </cell>
        </row>
        <row r="1052">
          <cell r="AB1052">
            <v>0</v>
          </cell>
        </row>
        <row r="1053">
          <cell r="AB1053">
            <v>0</v>
          </cell>
        </row>
        <row r="1054">
          <cell r="AB1054">
            <v>2736928.3052617074</v>
          </cell>
        </row>
        <row r="1055">
          <cell r="AB1055">
            <v>0</v>
          </cell>
        </row>
        <row r="1056">
          <cell r="AB1056">
            <v>0</v>
          </cell>
        </row>
        <row r="1057">
          <cell r="AB1057">
            <v>0</v>
          </cell>
        </row>
        <row r="1061">
          <cell r="AB1061">
            <v>101840.53099260862</v>
          </cell>
        </row>
        <row r="1062">
          <cell r="AB1062">
            <v>0</v>
          </cell>
        </row>
        <row r="1063">
          <cell r="AB1063">
            <v>0</v>
          </cell>
        </row>
        <row r="1064">
          <cell r="AB1064">
            <v>0</v>
          </cell>
        </row>
        <row r="1065">
          <cell r="AB1065">
            <v>0</v>
          </cell>
        </row>
        <row r="1066">
          <cell r="AB1066">
            <v>0</v>
          </cell>
        </row>
        <row r="1067">
          <cell r="AB1067">
            <v>57914.307696588898</v>
          </cell>
        </row>
        <row r="1068">
          <cell r="AB1068">
            <v>0</v>
          </cell>
        </row>
        <row r="1069">
          <cell r="AB1069">
            <v>0</v>
          </cell>
        </row>
        <row r="1070">
          <cell r="AB1070">
            <v>0</v>
          </cell>
        </row>
        <row r="1075">
          <cell r="AB1075">
            <v>0</v>
          </cell>
        </row>
        <row r="1079">
          <cell r="AB1079">
            <v>0</v>
          </cell>
        </row>
        <row r="1084">
          <cell r="AB1084">
            <v>0</v>
          </cell>
        </row>
        <row r="1095">
          <cell r="AB1095">
            <v>4747.5458265600755</v>
          </cell>
        </row>
        <row r="1097">
          <cell r="AB1097">
            <v>0</v>
          </cell>
        </row>
        <row r="1099">
          <cell r="AB1099">
            <v>4761.8336166948075</v>
          </cell>
        </row>
        <row r="1104">
          <cell r="AB1104">
            <v>0</v>
          </cell>
        </row>
        <row r="1107">
          <cell r="AB1107">
            <v>259.16640272207434</v>
          </cell>
        </row>
        <row r="1108">
          <cell r="AB1108">
            <v>0</v>
          </cell>
        </row>
        <row r="1109">
          <cell r="AB1109">
            <v>0</v>
          </cell>
        </row>
        <row r="1110">
          <cell r="AB1110">
            <v>78838.316022503132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0</v>
          </cell>
        </row>
        <row r="1114">
          <cell r="AB1114">
            <v>0</v>
          </cell>
        </row>
        <row r="1115">
          <cell r="AB1115">
            <v>0</v>
          </cell>
        </row>
        <row r="1120">
          <cell r="AB1120">
            <v>0</v>
          </cell>
        </row>
        <row r="1126">
          <cell r="AB1126">
            <v>0</v>
          </cell>
        </row>
        <row r="1134">
          <cell r="AB1134">
            <v>0</v>
          </cell>
        </row>
        <row r="1142">
          <cell r="AB1142">
            <v>0</v>
          </cell>
        </row>
        <row r="1151">
          <cell r="AB1151">
            <v>0</v>
          </cell>
        </row>
        <row r="1162">
          <cell r="AB1162">
            <v>0</v>
          </cell>
        </row>
        <row r="1170">
          <cell r="AB1170">
            <v>546414.08506271814</v>
          </cell>
        </row>
        <row r="1181">
          <cell r="AB1181">
            <v>-15515.016818158245</v>
          </cell>
        </row>
        <row r="1186">
          <cell r="AB1186">
            <v>0</v>
          </cell>
        </row>
        <row r="1223">
          <cell r="AB1223">
            <v>-180055.71154094639</v>
          </cell>
        </row>
        <row r="1248">
          <cell r="AB1248">
            <v>2382976.3439226565</v>
          </cell>
        </row>
        <row r="1263">
          <cell r="AB1263">
            <v>0</v>
          </cell>
        </row>
        <row r="1282">
          <cell r="AB1282">
            <v>-1579965.9680125797</v>
          </cell>
        </row>
        <row r="1297">
          <cell r="AB1297">
            <v>0</v>
          </cell>
        </row>
        <row r="1302">
          <cell r="AB1302">
            <v>0</v>
          </cell>
        </row>
        <row r="1303">
          <cell r="AB1303">
            <v>0</v>
          </cell>
        </row>
        <row r="1304">
          <cell r="AB1304">
            <v>0</v>
          </cell>
        </row>
        <row r="1305">
          <cell r="AB1305">
            <v>0</v>
          </cell>
        </row>
        <row r="1306">
          <cell r="AB1306">
            <v>0</v>
          </cell>
        </row>
        <row r="1307">
          <cell r="AB1307">
            <v>0</v>
          </cell>
        </row>
        <row r="1311">
          <cell r="AB1311">
            <v>0</v>
          </cell>
        </row>
        <row r="1312">
          <cell r="AB1312">
            <v>0</v>
          </cell>
        </row>
        <row r="1313">
          <cell r="AB1313">
            <v>0</v>
          </cell>
        </row>
        <row r="1314">
          <cell r="AB1314">
            <v>92761.03722545864</v>
          </cell>
        </row>
        <row r="1315">
          <cell r="AB1315">
            <v>0</v>
          </cell>
        </row>
        <row r="1316">
          <cell r="AB1316">
            <v>-1239.72733780155</v>
          </cell>
        </row>
        <row r="1320">
          <cell r="AB1320">
            <v>2404.104417848755</v>
          </cell>
        </row>
        <row r="1321">
          <cell r="AB1321">
            <v>0</v>
          </cell>
        </row>
        <row r="1322">
          <cell r="AB1322">
            <v>1182928.2815038655</v>
          </cell>
        </row>
        <row r="1323">
          <cell r="AB1323">
            <v>489519.39390886907</v>
          </cell>
        </row>
        <row r="1324">
          <cell r="AB1324">
            <v>0</v>
          </cell>
        </row>
        <row r="1325">
          <cell r="AB1325">
            <v>0</v>
          </cell>
        </row>
        <row r="1326">
          <cell r="AB1326">
            <v>0</v>
          </cell>
        </row>
        <row r="1327">
          <cell r="AB1327">
            <v>0</v>
          </cell>
        </row>
        <row r="1328">
          <cell r="AB1328">
            <v>0</v>
          </cell>
        </row>
        <row r="1329">
          <cell r="AB1329">
            <v>96277.421264647564</v>
          </cell>
        </row>
        <row r="1330">
          <cell r="AB1330">
            <v>0</v>
          </cell>
        </row>
        <row r="1331">
          <cell r="AB1331">
            <v>0</v>
          </cell>
        </row>
        <row r="1332">
          <cell r="AB1332">
            <v>0</v>
          </cell>
        </row>
        <row r="1333">
          <cell r="AB1333">
            <v>3126038.4599523568</v>
          </cell>
        </row>
        <row r="1339">
          <cell r="AB1339">
            <v>0</v>
          </cell>
        </row>
        <row r="1340">
          <cell r="AB1340">
            <v>0</v>
          </cell>
        </row>
        <row r="1341">
          <cell r="AB1341">
            <v>0</v>
          </cell>
        </row>
        <row r="1344">
          <cell r="AB1344">
            <v>0</v>
          </cell>
        </row>
        <row r="1345">
          <cell r="AB1345">
            <v>0</v>
          </cell>
        </row>
        <row r="1346">
          <cell r="AB1346">
            <v>3205.8019896304322</v>
          </cell>
        </row>
        <row r="1347">
          <cell r="AB1347">
            <v>0</v>
          </cell>
        </row>
        <row r="1348">
          <cell r="AB1348">
            <v>0</v>
          </cell>
        </row>
        <row r="1349">
          <cell r="AB1349">
            <v>87892.998035928351</v>
          </cell>
        </row>
        <row r="1353">
          <cell r="AB1353">
            <v>48201.91943210701</v>
          </cell>
        </row>
        <row r="1354">
          <cell r="AB1354">
            <v>0</v>
          </cell>
        </row>
        <row r="1355">
          <cell r="AB1355">
            <v>574745.18040971807</v>
          </cell>
        </row>
        <row r="1356">
          <cell r="AB1356">
            <v>0</v>
          </cell>
        </row>
        <row r="1357">
          <cell r="AB1357">
            <v>0</v>
          </cell>
        </row>
        <row r="1358">
          <cell r="AB1358">
            <v>0</v>
          </cell>
        </row>
        <row r="1359">
          <cell r="AB1359">
            <v>0</v>
          </cell>
        </row>
        <row r="1360">
          <cell r="AB1360">
            <v>2310.6571155258148</v>
          </cell>
        </row>
        <row r="1361">
          <cell r="AB1361">
            <v>194966.73276667667</v>
          </cell>
        </row>
        <row r="1362">
          <cell r="AB1362">
            <v>15927.448036904676</v>
          </cell>
        </row>
        <row r="1363">
          <cell r="AB1363">
            <v>10890878.152360747</v>
          </cell>
        </row>
        <row r="1364">
          <cell r="AB1364">
            <v>0</v>
          </cell>
        </row>
        <row r="1376">
          <cell r="AB1376">
            <v>64234.509334369584</v>
          </cell>
        </row>
        <row r="1378">
          <cell r="AB1378">
            <v>0</v>
          </cell>
        </row>
        <row r="1401">
          <cell r="AB1401">
            <v>-6829439.919211993</v>
          </cell>
        </row>
        <row r="1405">
          <cell r="AB1405">
            <v>64234.509334369468</v>
          </cell>
        </row>
        <row r="1415">
          <cell r="AB1415">
            <v>0</v>
          </cell>
        </row>
        <row r="1422">
          <cell r="H1422">
            <v>-78653432.161962554</v>
          </cell>
          <cell r="AB1422">
            <v>472717.883561811</v>
          </cell>
        </row>
        <row r="1440">
          <cell r="AB1440">
            <v>0</v>
          </cell>
        </row>
        <row r="1441">
          <cell r="AB1441">
            <v>0</v>
          </cell>
        </row>
        <row r="1447">
          <cell r="AB1447">
            <v>0</v>
          </cell>
        </row>
        <row r="1448">
          <cell r="AB1448">
            <v>0</v>
          </cell>
        </row>
        <row r="1454">
          <cell r="AB1454">
            <v>0</v>
          </cell>
        </row>
        <row r="1455">
          <cell r="AB1455">
            <v>0</v>
          </cell>
        </row>
        <row r="1461">
          <cell r="AB1461">
            <v>0</v>
          </cell>
        </row>
        <row r="1462">
          <cell r="AB1462">
            <v>0</v>
          </cell>
        </row>
        <row r="1468">
          <cell r="AB1468">
            <v>0</v>
          </cell>
        </row>
        <row r="1469">
          <cell r="AB1469">
            <v>0</v>
          </cell>
        </row>
        <row r="1475">
          <cell r="AB1475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92">
          <cell r="AB1492">
            <v>0</v>
          </cell>
        </row>
        <row r="1497">
          <cell r="AB1497">
            <v>0</v>
          </cell>
        </row>
        <row r="1502">
          <cell r="AB1502">
            <v>0</v>
          </cell>
        </row>
        <row r="1507">
          <cell r="AB1507">
            <v>0</v>
          </cell>
        </row>
        <row r="1512">
          <cell r="AB1512">
            <v>0</v>
          </cell>
        </row>
        <row r="1517">
          <cell r="AB1517">
            <v>0</v>
          </cell>
        </row>
        <row r="1522">
          <cell r="AB1522">
            <v>0</v>
          </cell>
        </row>
        <row r="1535">
          <cell r="AB1535">
            <v>0</v>
          </cell>
        </row>
        <row r="1541">
          <cell r="AB1541">
            <v>0</v>
          </cell>
        </row>
        <row r="1547">
          <cell r="AB1547">
            <v>0</v>
          </cell>
        </row>
        <row r="1553">
          <cell r="AB1553">
            <v>0</v>
          </cell>
        </row>
        <row r="1559">
          <cell r="AB1559">
            <v>0</v>
          </cell>
        </row>
        <row r="1565">
          <cell r="AB1565">
            <v>0</v>
          </cell>
        </row>
        <row r="1571">
          <cell r="AB1571">
            <v>0</v>
          </cell>
        </row>
        <row r="1578">
          <cell r="AB1578">
            <v>0</v>
          </cell>
        </row>
        <row r="1600">
          <cell r="AB1600">
            <v>0</v>
          </cell>
        </row>
        <row r="1604">
          <cell r="AB1604">
            <v>0</v>
          </cell>
        </row>
        <row r="1605">
          <cell r="AB1605">
            <v>0</v>
          </cell>
        </row>
        <row r="1609">
          <cell r="AB1609">
            <v>0</v>
          </cell>
        </row>
        <row r="1610">
          <cell r="AB1610">
            <v>0</v>
          </cell>
        </row>
        <row r="1616">
          <cell r="AB1616">
            <v>0</v>
          </cell>
        </row>
        <row r="1617">
          <cell r="AB1617">
            <v>0</v>
          </cell>
        </row>
        <row r="1622">
          <cell r="AB1622">
            <v>0</v>
          </cell>
        </row>
        <row r="1623">
          <cell r="AB1623">
            <v>0</v>
          </cell>
        </row>
        <row r="1627">
          <cell r="AB1627">
            <v>0</v>
          </cell>
        </row>
        <row r="1628">
          <cell r="AB1628">
            <v>0</v>
          </cell>
        </row>
        <row r="1633">
          <cell r="AB1633">
            <v>0</v>
          </cell>
        </row>
        <row r="1638">
          <cell r="AB1638">
            <v>0</v>
          </cell>
        </row>
        <row r="1645">
          <cell r="AB1645">
            <v>0</v>
          </cell>
        </row>
        <row r="1660">
          <cell r="H1660">
            <v>46670213.579049021</v>
          </cell>
          <cell r="AB1660">
            <v>0</v>
          </cell>
        </row>
        <row r="1667">
          <cell r="H1667">
            <v>37071655.374845229</v>
          </cell>
          <cell r="AB1667">
            <v>0</v>
          </cell>
        </row>
        <row r="1673">
          <cell r="H1673">
            <v>561285590.76876986</v>
          </cell>
          <cell r="AB1673">
            <v>0</v>
          </cell>
        </row>
        <row r="1679">
          <cell r="H1679">
            <v>227151660.05616897</v>
          </cell>
          <cell r="AB1679">
            <v>0</v>
          </cell>
        </row>
        <row r="1685">
          <cell r="H1685">
            <v>751041020.61732423</v>
          </cell>
          <cell r="AB1685">
            <v>0</v>
          </cell>
        </row>
        <row r="1691">
          <cell r="H1691">
            <v>325115627.01884234</v>
          </cell>
          <cell r="AB1691">
            <v>0</v>
          </cell>
        </row>
        <row r="1697">
          <cell r="H1697">
            <v>1403362.2646082304</v>
          </cell>
          <cell r="AB1697">
            <v>0</v>
          </cell>
        </row>
        <row r="1703">
          <cell r="H1703">
            <v>3259173.98567193</v>
          </cell>
          <cell r="AB1703">
            <v>0</v>
          </cell>
        </row>
        <row r="1709">
          <cell r="H1709">
            <v>4980029.5959774898</v>
          </cell>
          <cell r="AB1709">
            <v>0</v>
          </cell>
        </row>
        <row r="1713">
          <cell r="AB1713">
            <v>0</v>
          </cell>
        </row>
        <row r="1717">
          <cell r="H1717">
            <v>0</v>
          </cell>
        </row>
        <row r="1729">
          <cell r="H1729">
            <v>32196842.689616952</v>
          </cell>
          <cell r="AB1729">
            <v>0</v>
          </cell>
        </row>
        <row r="1735">
          <cell r="H1735">
            <v>36516908.346329331</v>
          </cell>
          <cell r="AB1735">
            <v>0</v>
          </cell>
        </row>
        <row r="1741">
          <cell r="H1741">
            <v>415747890.56570876</v>
          </cell>
          <cell r="AB1741">
            <v>0</v>
          </cell>
        </row>
        <row r="1748">
          <cell r="H1748">
            <v>318413723.69013411</v>
          </cell>
        </row>
        <row r="1755">
          <cell r="H1755">
            <v>216610706.02967823</v>
          </cell>
        </row>
        <row r="1762">
          <cell r="H1762">
            <v>165085242.94686636</v>
          </cell>
        </row>
        <row r="1769">
          <cell r="H1769">
            <v>464330231.88776994</v>
          </cell>
        </row>
        <row r="1775">
          <cell r="H1775">
            <v>422443903.56040674</v>
          </cell>
          <cell r="AB1775">
            <v>0</v>
          </cell>
        </row>
        <row r="1782">
          <cell r="H1782">
            <v>222755706.53285047</v>
          </cell>
          <cell r="AB1782">
            <v>0</v>
          </cell>
        </row>
        <row r="1793">
          <cell r="H1793">
            <v>85840275.471519634</v>
          </cell>
          <cell r="AB1793">
            <v>85840275.471519634</v>
          </cell>
        </row>
        <row r="1800">
          <cell r="H1800">
            <v>4762733.7057517059</v>
          </cell>
        </row>
        <row r="1804">
          <cell r="H1804">
            <v>0</v>
          </cell>
          <cell r="AB1804">
            <v>0</v>
          </cell>
        </row>
        <row r="1805">
          <cell r="H1805">
            <v>0</v>
          </cell>
          <cell r="AB1805">
            <v>0</v>
          </cell>
        </row>
        <row r="1806">
          <cell r="H1806">
            <v>0</v>
          </cell>
          <cell r="AB1806">
            <v>0</v>
          </cell>
        </row>
        <row r="1807">
          <cell r="H1807">
            <v>0</v>
          </cell>
        </row>
        <row r="1813">
          <cell r="H1813">
            <v>27087633.197658978</v>
          </cell>
          <cell r="AB1813">
            <v>0</v>
          </cell>
        </row>
        <row r="1817">
          <cell r="AB1817">
            <v>0</v>
          </cell>
        </row>
        <row r="1821">
          <cell r="AB1821">
            <v>0</v>
          </cell>
        </row>
        <row r="1830">
          <cell r="AB1830">
            <v>110007.65473874166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23937.92290738723</v>
          </cell>
        </row>
        <row r="1838">
          <cell r="AB1838">
            <v>1005495.4006594135</v>
          </cell>
        </row>
        <row r="1839">
          <cell r="AB1839">
            <v>0</v>
          </cell>
        </row>
        <row r="1840">
          <cell r="AB1840">
            <v>0</v>
          </cell>
        </row>
        <row r="1841">
          <cell r="AB1841">
            <v>0</v>
          </cell>
        </row>
        <row r="1842">
          <cell r="AB1842">
            <v>0</v>
          </cell>
        </row>
        <row r="1843">
          <cell r="AB1843">
            <v>436761.44252446422</v>
          </cell>
        </row>
        <row r="1848">
          <cell r="AB1848">
            <v>78712.935968676902</v>
          </cell>
        </row>
        <row r="1849">
          <cell r="AB1849">
            <v>0</v>
          </cell>
        </row>
        <row r="1850">
          <cell r="AB1850">
            <v>0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0</v>
          </cell>
        </row>
        <row r="1854">
          <cell r="AB1854">
            <v>237752.99784401749</v>
          </cell>
        </row>
        <row r="1855">
          <cell r="AB1855">
            <v>0</v>
          </cell>
        </row>
        <row r="1856">
          <cell r="AB1856">
            <v>0</v>
          </cell>
        </row>
        <row r="1860">
          <cell r="AB1860">
            <v>869911.56289544143</v>
          </cell>
        </row>
        <row r="1861">
          <cell r="AB1861">
            <v>34362.239105945606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0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68">
          <cell r="AB1868">
            <v>0</v>
          </cell>
        </row>
        <row r="1872">
          <cell r="AB1872">
            <v>99960.228083131791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1551.8929269263908</v>
          </cell>
        </row>
        <row r="1876">
          <cell r="AB1876">
            <v>0</v>
          </cell>
        </row>
        <row r="1877">
          <cell r="AB1877">
            <v>0</v>
          </cell>
        </row>
        <row r="1881">
          <cell r="AB1881">
            <v>329938.54988456774</v>
          </cell>
        </row>
        <row r="1882">
          <cell r="AB1882">
            <v>0</v>
          </cell>
        </row>
        <row r="1883">
          <cell r="AB1883">
            <v>0</v>
          </cell>
        </row>
        <row r="1884">
          <cell r="AB1884">
            <v>16949.737560484129</v>
          </cell>
        </row>
        <row r="1885">
          <cell r="AB1885">
            <v>0</v>
          </cell>
        </row>
        <row r="1886">
          <cell r="AB1886">
            <v>0</v>
          </cell>
        </row>
        <row r="1887">
          <cell r="AB1887">
            <v>0</v>
          </cell>
        </row>
        <row r="1888">
          <cell r="AB1888">
            <v>0</v>
          </cell>
        </row>
        <row r="1892">
          <cell r="AB1892">
            <v>197730.81918243528</v>
          </cell>
        </row>
        <row r="1893">
          <cell r="AB1893">
            <v>0</v>
          </cell>
        </row>
        <row r="1894">
          <cell r="AB1894">
            <v>0</v>
          </cell>
        </row>
        <row r="1895">
          <cell r="AB1895">
            <v>21780.394343186828</v>
          </cell>
        </row>
        <row r="1896">
          <cell r="AB1896">
            <v>0</v>
          </cell>
        </row>
        <row r="1897">
          <cell r="AB1897">
            <v>0</v>
          </cell>
        </row>
        <row r="1898">
          <cell r="AB1898">
            <v>0</v>
          </cell>
        </row>
        <row r="1899">
          <cell r="AB1899">
            <v>0</v>
          </cell>
        </row>
        <row r="1903">
          <cell r="AB1903">
            <v>966638.32561087958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6042.8223424323396</v>
          </cell>
        </row>
        <row r="1907">
          <cell r="AB1907">
            <v>0</v>
          </cell>
        </row>
        <row r="1908">
          <cell r="AB1908">
            <v>0</v>
          </cell>
        </row>
        <row r="1909">
          <cell r="AB1909">
            <v>0</v>
          </cell>
        </row>
        <row r="1910">
          <cell r="AB1910">
            <v>0</v>
          </cell>
        </row>
        <row r="1917">
          <cell r="AB1917">
            <v>1032259.2429845872</v>
          </cell>
        </row>
        <row r="1918">
          <cell r="AB1918">
            <v>0</v>
          </cell>
        </row>
        <row r="1919">
          <cell r="AB1919">
            <v>0</v>
          </cell>
        </row>
        <row r="1920">
          <cell r="AB1920">
            <v>190498.71565412349</v>
          </cell>
        </row>
        <row r="1921">
          <cell r="AB1921">
            <v>0</v>
          </cell>
        </row>
        <row r="1922">
          <cell r="AB1922">
            <v>0</v>
          </cell>
        </row>
        <row r="1923">
          <cell r="AB1923">
            <v>0</v>
          </cell>
        </row>
        <row r="1924">
          <cell r="AB1924">
            <v>0</v>
          </cell>
        </row>
        <row r="1925">
          <cell r="AB1925">
            <v>0</v>
          </cell>
        </row>
        <row r="1929">
          <cell r="AB1929">
            <v>9819.2932679764181</v>
          </cell>
        </row>
        <row r="1930">
          <cell r="AB1930">
            <v>0</v>
          </cell>
        </row>
        <row r="1931">
          <cell r="AB1931">
            <v>0</v>
          </cell>
        </row>
        <row r="1932">
          <cell r="AB1932">
            <v>0</v>
          </cell>
        </row>
        <row r="1933">
          <cell r="AB1933">
            <v>14171.189909231061</v>
          </cell>
        </row>
        <row r="1934">
          <cell r="AB1934">
            <v>0</v>
          </cell>
        </row>
        <row r="1935">
          <cell r="AB1935">
            <v>0</v>
          </cell>
        </row>
        <row r="1936">
          <cell r="AB1936">
            <v>0</v>
          </cell>
        </row>
        <row r="1943">
          <cell r="AB1943">
            <v>0</v>
          </cell>
        </row>
        <row r="1947">
          <cell r="AB1947">
            <v>0</v>
          </cell>
        </row>
        <row r="1949">
          <cell r="AB1949">
            <v>0</v>
          </cell>
        </row>
        <row r="1954">
          <cell r="AB1954">
            <v>320682.72506926494</v>
          </cell>
        </row>
        <row r="1955">
          <cell r="AB1955">
            <v>0</v>
          </cell>
        </row>
        <row r="1956">
          <cell r="AB1956">
            <v>54662.648752090478</v>
          </cell>
        </row>
        <row r="1964">
          <cell r="AB1964">
            <v>0</v>
          </cell>
        </row>
        <row r="1967">
          <cell r="H1967">
            <v>0</v>
          </cell>
        </row>
        <row r="1976">
          <cell r="AB1976">
            <v>-4063.3676869692395</v>
          </cell>
        </row>
        <row r="1984">
          <cell r="AB1984">
            <v>0</v>
          </cell>
        </row>
        <row r="1993">
          <cell r="AB1993">
            <v>0</v>
          </cell>
        </row>
        <row r="1994">
          <cell r="AB1994">
            <v>0</v>
          </cell>
        </row>
        <row r="1995">
          <cell r="AB1995">
            <v>0</v>
          </cell>
        </row>
        <row r="1998">
          <cell r="AB1998">
            <v>0</v>
          </cell>
        </row>
        <row r="1999">
          <cell r="AB1999">
            <v>0</v>
          </cell>
        </row>
        <row r="2000">
          <cell r="AB2000">
            <v>0</v>
          </cell>
        </row>
        <row r="2001">
          <cell r="AB2001">
            <v>0</v>
          </cell>
        </row>
        <row r="2005">
          <cell r="AB2005">
            <v>55687.961381608504</v>
          </cell>
        </row>
        <row r="2006">
          <cell r="AB2006">
            <v>0</v>
          </cell>
        </row>
        <row r="2007">
          <cell r="AB2007">
            <v>1644160.3396729536</v>
          </cell>
        </row>
        <row r="2008">
          <cell r="AB2008">
            <v>0</v>
          </cell>
        </row>
        <row r="2009">
          <cell r="AB2009">
            <v>0</v>
          </cell>
        </row>
        <row r="2011">
          <cell r="AB2011">
            <v>0</v>
          </cell>
        </row>
        <row r="2021">
          <cell r="AB2021">
            <v>0</v>
          </cell>
        </row>
        <row r="2033">
          <cell r="AB2033">
            <v>89067.003498634149</v>
          </cell>
        </row>
        <row r="2034">
          <cell r="AB2034">
            <v>0</v>
          </cell>
        </row>
        <row r="2035">
          <cell r="AB2035">
            <v>0</v>
          </cell>
        </row>
        <row r="2036">
          <cell r="AB2036">
            <v>0</v>
          </cell>
        </row>
        <row r="2037">
          <cell r="AB2037">
            <v>0</v>
          </cell>
        </row>
        <row r="2038">
          <cell r="AB2038">
            <v>0</v>
          </cell>
        </row>
        <row r="2045">
          <cell r="AB2045">
            <v>0</v>
          </cell>
        </row>
        <row r="2049">
          <cell r="AB2049">
            <v>0</v>
          </cell>
        </row>
        <row r="2054">
          <cell r="AB2054">
            <v>0</v>
          </cell>
        </row>
        <row r="2061">
          <cell r="AB2061">
            <v>0</v>
          </cell>
        </row>
        <row r="2069">
          <cell r="AB2069">
            <v>0</v>
          </cell>
        </row>
        <row r="2075">
          <cell r="AB2075">
            <v>0</v>
          </cell>
        </row>
        <row r="2076">
          <cell r="AB2076">
            <v>0</v>
          </cell>
        </row>
        <row r="2084">
          <cell r="AB2084">
            <v>0</v>
          </cell>
        </row>
        <row r="2088">
          <cell r="AB2088">
            <v>0</v>
          </cell>
        </row>
        <row r="2092">
          <cell r="AB2092">
            <v>0</v>
          </cell>
        </row>
        <row r="2109">
          <cell r="AB2109">
            <v>0</v>
          </cell>
        </row>
        <row r="2110">
          <cell r="AB2110">
            <v>435181.55665316503</v>
          </cell>
        </row>
        <row r="2120">
          <cell r="AB2120">
            <v>0</v>
          </cell>
        </row>
        <row r="2125">
          <cell r="AB2125">
            <v>-667.83539182216964</v>
          </cell>
        </row>
        <row r="2133">
          <cell r="AB2133">
            <v>0</v>
          </cell>
        </row>
        <row r="2135">
          <cell r="AB2135">
            <v>107896.36835050247</v>
          </cell>
        </row>
        <row r="2142">
          <cell r="AB2142">
            <v>0</v>
          </cell>
        </row>
        <row r="2145">
          <cell r="AB2145">
            <v>11432.885191432661</v>
          </cell>
        </row>
        <row r="2153">
          <cell r="AB2153">
            <v>0</v>
          </cell>
        </row>
        <row r="2156">
          <cell r="AB2156">
            <v>195.56105843370804</v>
          </cell>
        </row>
        <row r="2163">
          <cell r="AB2163">
            <v>82968.914264662017</v>
          </cell>
        </row>
        <row r="2174">
          <cell r="AB2174">
            <v>0</v>
          </cell>
        </row>
        <row r="2175">
          <cell r="AB2175">
            <v>127983.25494826888</v>
          </cell>
        </row>
        <row r="2189">
          <cell r="AB2189">
            <v>0</v>
          </cell>
        </row>
        <row r="2194">
          <cell r="AB2194">
            <v>0</v>
          </cell>
        </row>
        <row r="2199">
          <cell r="AB2199">
            <v>0</v>
          </cell>
        </row>
        <row r="2212">
          <cell r="AB2212">
            <v>0</v>
          </cell>
        </row>
        <row r="2216">
          <cell r="H2216">
            <v>0</v>
          </cell>
          <cell r="AB2216">
            <v>0</v>
          </cell>
        </row>
        <row r="2219">
          <cell r="H2219">
            <v>-3405682.2975901593</v>
          </cell>
        </row>
        <row r="2220">
          <cell r="H2220">
            <v>-3405682.2975901593</v>
          </cell>
          <cell r="AB2220">
            <v>-33910.733381820428</v>
          </cell>
        </row>
        <row r="2224">
          <cell r="H2224">
            <v>-9561269.1045228988</v>
          </cell>
          <cell r="AB2224">
            <v>-95202.552400362169</v>
          </cell>
        </row>
        <row r="2228">
          <cell r="H2228">
            <v>-649261.67011951737</v>
          </cell>
          <cell r="AB2228">
            <v>0</v>
          </cell>
        </row>
        <row r="2232">
          <cell r="AB2232">
            <v>-223.53114269284001</v>
          </cell>
        </row>
        <row r="2233">
          <cell r="H2233">
            <v>-22449.412905862595</v>
          </cell>
          <cell r="AB2233">
            <v>-223.53114269284001</v>
          </cell>
        </row>
        <row r="2237">
          <cell r="H2237">
            <v>-2291352.7786638215</v>
          </cell>
          <cell r="AB2237">
            <v>0</v>
          </cell>
        </row>
        <row r="2245">
          <cell r="AB2245">
            <v>-122766.44207350811</v>
          </cell>
        </row>
        <row r="2249">
          <cell r="H2249">
            <v>-2028144.5304859313</v>
          </cell>
          <cell r="AB2249">
            <v>0</v>
          </cell>
        </row>
        <row r="2256">
          <cell r="H2256">
            <v>-6190841.3351955898</v>
          </cell>
          <cell r="AB2256">
            <v>-5739.0863440579751</v>
          </cell>
        </row>
        <row r="2260">
          <cell r="AB2260">
            <v>0</v>
          </cell>
        </row>
        <row r="2261">
          <cell r="AB2261">
            <v>544691.37226351083</v>
          </cell>
        </row>
        <row r="2263">
          <cell r="AB2263">
            <v>0</v>
          </cell>
        </row>
        <row r="2270">
          <cell r="AB2270">
            <v>0</v>
          </cell>
        </row>
        <row r="2271">
          <cell r="AB2271">
            <v>557082.42554382095</v>
          </cell>
        </row>
        <row r="2277">
          <cell r="AB2277">
            <v>0</v>
          </cell>
        </row>
        <row r="2283">
          <cell r="AB2283">
            <v>59060.212995754206</v>
          </cell>
        </row>
        <row r="2295">
          <cell r="AB2295">
            <v>-14270946.764424136</v>
          </cell>
        </row>
        <row r="2301">
          <cell r="AB2301">
            <v>-61826.907768099067</v>
          </cell>
        </row>
        <row r="2307">
          <cell r="AB2307">
            <v>0</v>
          </cell>
        </row>
        <row r="2308">
          <cell r="AB2308">
            <v>-128091.25975252716</v>
          </cell>
        </row>
        <row r="2321">
          <cell r="AB2321">
            <v>-1207.3958785378845</v>
          </cell>
        </row>
        <row r="2335">
          <cell r="AB2335">
            <v>0</v>
          </cell>
        </row>
        <row r="2336">
          <cell r="AB2336">
            <v>0</v>
          </cell>
        </row>
        <row r="2342">
          <cell r="AB2342">
            <v>0</v>
          </cell>
        </row>
        <row r="2349">
          <cell r="AB2349">
            <v>0</v>
          </cell>
        </row>
        <row r="2356">
          <cell r="AB2356">
            <v>0</v>
          </cell>
        </row>
        <row r="2357">
          <cell r="AB2357">
            <v>0</v>
          </cell>
        </row>
        <row r="2362">
          <cell r="AB2362">
            <v>0</v>
          </cell>
        </row>
        <row r="2380">
          <cell r="AB2380">
            <v>0</v>
          </cell>
        </row>
        <row r="2389">
          <cell r="AB2389">
            <v>0</v>
          </cell>
        </row>
        <row r="2393">
          <cell r="AB2393">
            <v>0</v>
          </cell>
        </row>
        <row r="2397">
          <cell r="AB2397">
            <v>0</v>
          </cell>
        </row>
        <row r="2401">
          <cell r="AB2401">
            <v>0</v>
          </cell>
        </row>
        <row r="2405">
          <cell r="AB2405">
            <v>0</v>
          </cell>
        </row>
        <row r="2409">
          <cell r="AB2409">
            <v>0</v>
          </cell>
        </row>
        <row r="2413">
          <cell r="AB2413">
            <v>0</v>
          </cell>
        </row>
        <row r="2417">
          <cell r="AB2417">
            <v>0</v>
          </cell>
        </row>
        <row r="2421">
          <cell r="AB2421">
            <v>0</v>
          </cell>
        </row>
        <row r="2425">
          <cell r="AB2425">
            <v>-31273826.180826589</v>
          </cell>
        </row>
        <row r="2429">
          <cell r="AB2429">
            <v>0</v>
          </cell>
        </row>
        <row r="2433">
          <cell r="AB2433">
            <v>0</v>
          </cell>
        </row>
        <row r="2437">
          <cell r="AB2437">
            <v>0</v>
          </cell>
        </row>
        <row r="2440">
          <cell r="H2440">
            <v>0</v>
          </cell>
        </row>
        <row r="2441">
          <cell r="AB2441">
            <v>0</v>
          </cell>
        </row>
        <row r="2444">
          <cell r="H2444">
            <v>0</v>
          </cell>
        </row>
        <row r="2445">
          <cell r="AB2445">
            <v>0</v>
          </cell>
        </row>
        <row r="2448">
          <cell r="H2448">
            <v>138624</v>
          </cell>
        </row>
        <row r="2449">
          <cell r="AB2449">
            <v>5078.5855636399874</v>
          </cell>
        </row>
        <row r="2459">
          <cell r="AB2459">
            <v>-1483017.6011861232</v>
          </cell>
        </row>
        <row r="2460">
          <cell r="AB2460">
            <v>0</v>
          </cell>
        </row>
        <row r="2461">
          <cell r="AB2461">
            <v>0</v>
          </cell>
        </row>
        <row r="2462">
          <cell r="AB2462">
            <v>0</v>
          </cell>
        </row>
        <row r="2463">
          <cell r="AB2463">
            <v>0</v>
          </cell>
        </row>
        <row r="2464">
          <cell r="AB2464">
            <v>-271180.17836761073</v>
          </cell>
        </row>
        <row r="2465">
          <cell r="AB2465">
            <v>0</v>
          </cell>
        </row>
        <row r="2466">
          <cell r="AB2466">
            <v>0</v>
          </cell>
        </row>
        <row r="2467">
          <cell r="AB2467">
            <v>0</v>
          </cell>
        </row>
        <row r="2468">
          <cell r="AB2468">
            <v>0</v>
          </cell>
        </row>
        <row r="2480">
          <cell r="AB2480">
            <v>0</v>
          </cell>
        </row>
        <row r="2486">
          <cell r="AB2486">
            <v>0</v>
          </cell>
        </row>
        <row r="2487">
          <cell r="AB2487">
            <v>0</v>
          </cell>
        </row>
        <row r="2494">
          <cell r="AB2494">
            <v>0</v>
          </cell>
        </row>
        <row r="2495">
          <cell r="AB2495">
            <v>0</v>
          </cell>
        </row>
        <row r="2514">
          <cell r="AB2514">
            <v>0</v>
          </cell>
        </row>
        <row r="2519">
          <cell r="AB2519">
            <v>0</v>
          </cell>
        </row>
        <row r="2521">
          <cell r="AB2521">
            <v>-51777.708865938483</v>
          </cell>
        </row>
        <row r="2522">
          <cell r="AB2522">
            <v>0</v>
          </cell>
        </row>
        <row r="2523">
          <cell r="AB2523">
            <v>-52121.371276847553</v>
          </cell>
        </row>
        <row r="2529">
          <cell r="AB2529">
            <v>0</v>
          </cell>
        </row>
        <row r="2533">
          <cell r="AB2533">
            <v>-771.95975605543174</v>
          </cell>
        </row>
        <row r="2534">
          <cell r="AB2534">
            <v>0</v>
          </cell>
        </row>
        <row r="2535">
          <cell r="AB2535">
            <v>0</v>
          </cell>
        </row>
        <row r="2536">
          <cell r="AB2536">
            <v>0</v>
          </cell>
        </row>
        <row r="2537">
          <cell r="AB2537">
            <v>0</v>
          </cell>
        </row>
        <row r="2538">
          <cell r="AB2538">
            <v>0</v>
          </cell>
        </row>
        <row r="2539">
          <cell r="AB2539">
            <v>0</v>
          </cell>
        </row>
        <row r="2540">
          <cell r="AB2540">
            <v>0</v>
          </cell>
        </row>
        <row r="2541">
          <cell r="AB2541">
            <v>-1182821.0007189873</v>
          </cell>
        </row>
        <row r="2554">
          <cell r="AB2554">
            <v>0</v>
          </cell>
        </row>
      </sheetData>
      <sheetData sheetId="20"/>
      <sheetData sheetId="2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0.74155389074644962</v>
          </cell>
          <cell r="C11">
            <v>0.13067317353392571</v>
          </cell>
          <cell r="D11">
            <v>0.12777293571962478</v>
          </cell>
          <cell r="E11">
            <v>0.12502862731532027</v>
          </cell>
          <cell r="F11">
            <v>2.7443084043045018E-3</v>
          </cell>
          <cell r="G11">
            <v>0</v>
          </cell>
          <cell r="H11">
            <v>0.99999999999999989</v>
          </cell>
        </row>
        <row r="12">
          <cell r="A12" t="str">
            <v>BOOKDEPR</v>
          </cell>
          <cell r="B12">
            <v>0.51974496753337573</v>
          </cell>
          <cell r="C12">
            <v>0.15093978352398185</v>
          </cell>
          <cell r="D12">
            <v>0.32931524894264247</v>
          </cell>
          <cell r="E12">
            <v>0.32557157689672078</v>
          </cell>
          <cell r="F12">
            <v>3.7436720459216623E-3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0.7584657535476006</v>
          </cell>
          <cell r="C15">
            <v>8.5546029106398552E-2</v>
          </cell>
          <cell r="D15">
            <v>0.15598821734601578</v>
          </cell>
          <cell r="E15">
            <v>0.1160244572836885</v>
          </cell>
          <cell r="F15">
            <v>3.4431842676628258E-2</v>
          </cell>
          <cell r="G15">
            <v>5.5319173856990386E-3</v>
          </cell>
          <cell r="H15">
            <v>1.0000000000000151</v>
          </cell>
        </row>
        <row r="16">
          <cell r="A16" t="str">
            <v>DDS2</v>
          </cell>
          <cell r="B16">
            <v>0.89444384203010596</v>
          </cell>
          <cell r="C16">
            <v>6.6990964246720951E-3</v>
          </cell>
          <cell r="D16">
            <v>9.8857061545221753E-2</v>
          </cell>
          <cell r="E16">
            <v>-1.7192047072908941E-2</v>
          </cell>
          <cell r="F16">
            <v>0.14454293012717781</v>
          </cell>
          <cell r="G16">
            <v>-2.8493821509047106E-2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0.22328197830043112</v>
          </cell>
          <cell r="C18">
            <v>1.6019258296405981E-2</v>
          </cell>
          <cell r="D18">
            <v>0.76069876340316289</v>
          </cell>
          <cell r="E18">
            <v>9.611554977843588E-2</v>
          </cell>
          <cell r="F18">
            <v>0</v>
          </cell>
          <cell r="G18">
            <v>0.66458321362472705</v>
          </cell>
          <cell r="H18">
            <v>1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0.66574950014012413</v>
          </cell>
          <cell r="C20">
            <v>0.33425049985987582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0.90746873930668404</v>
          </cell>
          <cell r="C21">
            <v>2.403308927825348E-2</v>
          </cell>
          <cell r="D21">
            <v>6.8498171415062578E-2</v>
          </cell>
          <cell r="E21">
            <v>5.0813437740093295E-2</v>
          </cell>
          <cell r="F21">
            <v>1.7684733674969283E-2</v>
          </cell>
          <cell r="G21">
            <v>0</v>
          </cell>
          <cell r="H21">
            <v>1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0.53982674964608257</v>
          </cell>
          <cell r="C25">
            <v>0.46017325035391743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1.1700869514458072</v>
          </cell>
          <cell r="C26">
            <v>3.5747954668684328E-3</v>
          </cell>
          <cell r="D26">
            <v>-0.17366174691290373</v>
          </cell>
          <cell r="E26">
            <v>-0.18703634452376894</v>
          </cell>
          <cell r="F26">
            <v>1.344225489363475E-2</v>
          </cell>
          <cell r="G26">
            <v>-6.7657282769547652E-5</v>
          </cell>
          <cell r="H26">
            <v>0.99999999999977174</v>
          </cell>
        </row>
        <row r="27">
          <cell r="A27" t="str">
            <v>G</v>
          </cell>
          <cell r="B27">
            <v>0.2323600953390676</v>
          </cell>
          <cell r="C27">
            <v>0.29281154918881841</v>
          </cell>
          <cell r="D27">
            <v>0.47482835547211394</v>
          </cell>
          <cell r="E27">
            <v>0.44796038040972297</v>
          </cell>
          <cell r="F27">
            <v>2.6867975062390959E-2</v>
          </cell>
          <cell r="G27">
            <v>0</v>
          </cell>
          <cell r="H27">
            <v>1</v>
          </cell>
        </row>
        <row r="28">
          <cell r="A28" t="str">
            <v>G-DGP</v>
          </cell>
          <cell r="B28">
            <v>0.6855986064245424</v>
          </cell>
          <cell r="C28">
            <v>0.31440139357545754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0.6855986064245424</v>
          </cell>
          <cell r="C29">
            <v>0.31440139357545754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0.50504679293010346</v>
          </cell>
          <cell r="C30">
            <v>0.21499921941610298</v>
          </cell>
          <cell r="D30">
            <v>0.27995398765379342</v>
          </cell>
          <cell r="E30">
            <v>0.2734309686869702</v>
          </cell>
          <cell r="F30">
            <v>6.5230189668232076E-3</v>
          </cell>
          <cell r="G30">
            <v>0</v>
          </cell>
          <cell r="H30">
            <v>0.99999999999999989</v>
          </cell>
        </row>
        <row r="31">
          <cell r="A31" t="str">
            <v>G-SG</v>
          </cell>
          <cell r="B31">
            <v>0.4911770740450373</v>
          </cell>
          <cell r="C31">
            <v>0.50882292595496259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0.99999999999999989</v>
          </cell>
        </row>
        <row r="32">
          <cell r="A32" t="str">
            <v>G-SITUS</v>
          </cell>
          <cell r="B32">
            <v>0</v>
          </cell>
          <cell r="C32">
            <v>0.2527647986427079</v>
          </cell>
          <cell r="D32">
            <v>0.74723520135729204</v>
          </cell>
          <cell r="E32">
            <v>0.74723520135729204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0.52032571068857525</v>
          </cell>
          <cell r="C33">
            <v>0.13232004862763808</v>
          </cell>
          <cell r="D33">
            <v>0.34735424068378651</v>
          </cell>
          <cell r="E33">
            <v>0.16634551665847275</v>
          </cell>
          <cell r="F33">
            <v>0.18100872402531373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1.2749724155978952</v>
          </cell>
          <cell r="C34">
            <v>5.7792213714078534E-3</v>
          </cell>
          <cell r="D34">
            <v>-0.28075163696967192</v>
          </cell>
          <cell r="E34">
            <v>-0.30237378600255177</v>
          </cell>
          <cell r="F34">
            <v>2.1731527714300109E-2</v>
          </cell>
          <cell r="G34">
            <v>-1.0937868142024943E-4</v>
          </cell>
          <cell r="H34">
            <v>0.99999999999963118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0.91139563576235938</v>
          </cell>
          <cell r="C37">
            <v>8.8604364237640482E-2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I-SITUS</v>
          </cell>
          <cell r="B38">
            <v>9.2126512447585948E-2</v>
          </cell>
          <cell r="C38">
            <v>0.40142398375215244</v>
          </cell>
          <cell r="D38">
            <v>0.50644950380026155</v>
          </cell>
          <cell r="E38">
            <v>0.50644950380026155</v>
          </cell>
          <cell r="F38">
            <v>0</v>
          </cell>
          <cell r="G38">
            <v>0</v>
          </cell>
          <cell r="H38">
            <v>0.99999999999999989</v>
          </cell>
        </row>
        <row r="39">
          <cell r="A39" t="str">
            <v>LABOR</v>
          </cell>
          <cell r="B39">
            <v>0.42911800628192154</v>
          </cell>
          <cell r="C39">
            <v>6.1091947728051668E-2</v>
          </cell>
          <cell r="D39">
            <v>0.50979004599002686</v>
          </cell>
          <cell r="E39">
            <v>0.3631518312497185</v>
          </cell>
          <cell r="F39">
            <v>0.1466382147403083</v>
          </cell>
          <cell r="G39">
            <v>0</v>
          </cell>
          <cell r="H39">
            <v>1</v>
          </cell>
        </row>
        <row r="40">
          <cell r="A40" t="str">
            <v>MSS</v>
          </cell>
          <cell r="B40">
            <v>0.83771466952498774</v>
          </cell>
          <cell r="C40">
            <v>8.0180119814196888E-3</v>
          </cell>
          <cell r="D40">
            <v>0.1542673184935926</v>
          </cell>
          <cell r="E40">
            <v>0.1542673184935926</v>
          </cell>
          <cell r="F40">
            <v>0</v>
          </cell>
          <cell r="G40">
            <v>0</v>
          </cell>
          <cell r="H40">
            <v>1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0.68340686553123631</v>
          </cell>
          <cell r="C43">
            <v>0.31659313446876369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0.68340686553123631</v>
          </cell>
          <cell r="C44">
            <v>0.31659313446876369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0.68340686553123631</v>
          </cell>
          <cell r="C46">
            <v>0.31659313446876369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0.68340686553123631</v>
          </cell>
          <cell r="C47">
            <v>0.31659313446876369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0.69456671189270403</v>
          </cell>
          <cell r="C51">
            <v>0.30543328810729597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PTD</v>
          </cell>
          <cell r="B52">
            <v>0.50579249900415113</v>
          </cell>
          <cell r="C52">
            <v>0.22242048665112085</v>
          </cell>
          <cell r="D52">
            <v>0.27178701434472802</v>
          </cell>
          <cell r="E52">
            <v>0.27178701434472802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0.68463075991965539</v>
          </cell>
          <cell r="C53">
            <v>0.12835032898844131</v>
          </cell>
          <cell r="D53">
            <v>0.18701891109192986</v>
          </cell>
          <cell r="E53">
            <v>0.15933465063824018</v>
          </cell>
          <cell r="F53">
            <v>2.3871265700870642E-2</v>
          </cell>
          <cell r="G53">
            <v>3.8129947528190481E-3</v>
          </cell>
          <cell r="H53">
            <v>1.0000000000000269</v>
          </cell>
        </row>
        <row r="54">
          <cell r="A54" t="str">
            <v>SCHMA</v>
          </cell>
          <cell r="B54">
            <v>0.50857871375018493</v>
          </cell>
          <cell r="C54">
            <v>0.16619636578252911</v>
          </cell>
          <cell r="D54">
            <v>0.32522492046728546</v>
          </cell>
          <cell r="E54">
            <v>0.31173645557641066</v>
          </cell>
          <cell r="F54">
            <v>1.1915414392442548E-2</v>
          </cell>
          <cell r="G54">
            <v>1.5730504984322585E-3</v>
          </cell>
          <cell r="H54">
            <v>0.99999999999999933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0.43898528203951998</v>
          </cell>
          <cell r="C56">
            <v>7.5001281348963889E-2</v>
          </cell>
          <cell r="D56">
            <v>0.48601343661151614</v>
          </cell>
          <cell r="E56">
            <v>0.35337945735409804</v>
          </cell>
          <cell r="F56">
            <v>0.1326339792574181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0.43604112976585901</v>
          </cell>
          <cell r="C57">
            <v>7.5756810224820489E-2</v>
          </cell>
          <cell r="D57">
            <v>0.48820206000932043</v>
          </cell>
          <cell r="E57">
            <v>0.35514942055276266</v>
          </cell>
          <cell r="F57">
            <v>0.13305263945655776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0.50960696576565756</v>
          </cell>
          <cell r="C58">
            <v>0.16754378502979178</v>
          </cell>
          <cell r="D58">
            <v>0.32284924920455016</v>
          </cell>
          <cell r="E58">
            <v>0.3111211748026983</v>
          </cell>
          <cell r="F58">
            <v>1.013178187747418E-2</v>
          </cell>
          <cell r="G58">
            <v>1.5962925243777227E-3</v>
          </cell>
          <cell r="H58">
            <v>0.99999999999999944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0.99857856914329268</v>
          </cell>
          <cell r="C60">
            <v>1.5211196105773643E-4</v>
          </cell>
          <cell r="D60">
            <v>1.2693188956496488E-3</v>
          </cell>
          <cell r="E60">
            <v>9.0420651603711013E-4</v>
          </cell>
          <cell r="F60">
            <v>3.6511237961253857E-4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0.81467201499388697</v>
          </cell>
          <cell r="C61">
            <v>1.549821589872505E-2</v>
          </cell>
          <cell r="D61">
            <v>0.1698297691073882</v>
          </cell>
          <cell r="E61">
            <v>0.11680157298516253</v>
          </cell>
          <cell r="F61">
            <v>2.3562641275558377E-2</v>
          </cell>
          <cell r="G61">
            <v>2.9465554846667304E-2</v>
          </cell>
          <cell r="H61">
            <v>1.0000000000000002</v>
          </cell>
        </row>
        <row r="62">
          <cell r="A62" t="str">
            <v>SCHMAT-SNP</v>
          </cell>
          <cell r="B62">
            <v>0.50387714340694745</v>
          </cell>
          <cell r="C62">
            <v>0.2192586299303253</v>
          </cell>
          <cell r="D62">
            <v>0.27686422666272725</v>
          </cell>
          <cell r="E62">
            <v>0.2766840379229753</v>
          </cell>
          <cell r="F62">
            <v>1.8018873975193917E-4</v>
          </cell>
          <cell r="G62">
            <v>0</v>
          </cell>
          <cell r="H62">
            <v>1</v>
          </cell>
        </row>
        <row r="63">
          <cell r="A63" t="str">
            <v>SCHMAT-SO</v>
          </cell>
          <cell r="B63">
            <v>0.42657506292493658</v>
          </cell>
          <cell r="C63">
            <v>6.1858231036687493E-2</v>
          </cell>
          <cell r="D63">
            <v>0.51156670603837584</v>
          </cell>
          <cell r="E63">
            <v>0.36781649030604324</v>
          </cell>
          <cell r="F63">
            <v>0.1437502157323326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0.61431004843945891</v>
          </cell>
          <cell r="C64">
            <v>0.15347066352476915</v>
          </cell>
          <cell r="D64">
            <v>0.23221928803577191</v>
          </cell>
          <cell r="E64">
            <v>0.21668183455320297</v>
          </cell>
          <cell r="F64">
            <v>6.2145099709114268E-3</v>
          </cell>
          <cell r="G64">
            <v>9.3229435116575238E-3</v>
          </cell>
          <cell r="H64">
            <v>1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0.45005320926638814</v>
          </cell>
          <cell r="C66">
            <v>6.1516549742485764E-2</v>
          </cell>
          <cell r="D66">
            <v>0.48843024099112625</v>
          </cell>
          <cell r="E66">
            <v>0.34921196895538881</v>
          </cell>
          <cell r="F66">
            <v>0.13921827203573744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0.42911800628192154</v>
          </cell>
          <cell r="C67">
            <v>6.1091947728051668E-2</v>
          </cell>
          <cell r="D67">
            <v>0.50979004599002686</v>
          </cell>
          <cell r="E67">
            <v>0.3631518312497185</v>
          </cell>
          <cell r="F67">
            <v>0.1466382147403083</v>
          </cell>
          <cell r="G67">
            <v>0</v>
          </cell>
          <cell r="H67">
            <v>1</v>
          </cell>
        </row>
        <row r="68">
          <cell r="A68" t="str">
            <v>SCHMDT</v>
          </cell>
          <cell r="B68">
            <v>0.61640317184370019</v>
          </cell>
          <cell r="C68">
            <v>0.15464243395845667</v>
          </cell>
          <cell r="D68">
            <v>0.22895439419784305</v>
          </cell>
          <cell r="E68">
            <v>0.21499300425864104</v>
          </cell>
          <cell r="F68">
            <v>4.5196442433620022E-3</v>
          </cell>
          <cell r="G68">
            <v>9.4417456958399999E-3</v>
          </cell>
          <cell r="H68">
            <v>0.99999999999999989</v>
          </cell>
        </row>
        <row r="69">
          <cell r="A69" t="str">
            <v>SCHMDT-GPS</v>
          </cell>
          <cell r="B69">
            <v>0.50390599523411239</v>
          </cell>
          <cell r="C69">
            <v>0.21915356275118467</v>
          </cell>
          <cell r="D69">
            <v>0.2769404420147028</v>
          </cell>
          <cell r="E69">
            <v>0.27660379423502013</v>
          </cell>
          <cell r="F69">
            <v>3.3664777968268558E-4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0.98979364666529157</v>
          </cell>
          <cell r="C70">
            <v>9.1616572373758049E-3</v>
          </cell>
          <cell r="D70">
            <v>1.0446960973326423E-3</v>
          </cell>
          <cell r="E70">
            <v>1.0203543384794185E-3</v>
          </cell>
          <cell r="F70">
            <v>2.4341758853223721E-5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0.85297625672056399</v>
          </cell>
          <cell r="C71">
            <v>1.2345606339431232E-2</v>
          </cell>
          <cell r="D71">
            <v>0.1346781369400048</v>
          </cell>
          <cell r="E71">
            <v>0.10859621428345666</v>
          </cell>
          <cell r="F71">
            <v>2.1494621633170063E-2</v>
          </cell>
          <cell r="G71">
            <v>4.5873010233780567E-3</v>
          </cell>
          <cell r="H71">
            <v>1</v>
          </cell>
        </row>
        <row r="72">
          <cell r="A72" t="str">
            <v>SCHMDT-SNP</v>
          </cell>
          <cell r="B72">
            <v>0.50384391570480436</v>
          </cell>
          <cell r="C72">
            <v>0.2193796323511954</v>
          </cell>
          <cell r="D72">
            <v>0.27677645194400013</v>
          </cell>
          <cell r="E72">
            <v>0.27677645194400013</v>
          </cell>
          <cell r="F72">
            <v>0</v>
          </cell>
          <cell r="G72">
            <v>0</v>
          </cell>
          <cell r="H72">
            <v>0.99999999999999978</v>
          </cell>
        </row>
        <row r="73">
          <cell r="A73" t="str">
            <v>SCHMDT-SO</v>
          </cell>
          <cell r="B73">
            <v>0.34567702938622691</v>
          </cell>
          <cell r="C73">
            <v>9.1920768701336378E-2</v>
          </cell>
          <cell r="D73">
            <v>0.56240220191243662</v>
          </cell>
          <cell r="E73">
            <v>0.13826338947674435</v>
          </cell>
          <cell r="F73">
            <v>1.2823156057375853E-2</v>
          </cell>
          <cell r="G73">
            <v>0.41131565637831641</v>
          </cell>
          <cell r="H73">
            <v>1</v>
          </cell>
        </row>
        <row r="74">
          <cell r="A74" t="str">
            <v>SIT</v>
          </cell>
          <cell r="B74">
            <v>1.2613421931550963</v>
          </cell>
          <cell r="C74">
            <v>5.492748734990208E-3</v>
          </cell>
          <cell r="D74">
            <v>-0.2668349418904386</v>
          </cell>
          <cell r="E74">
            <v>-0.28738529359278026</v>
          </cell>
          <cell r="F74">
            <v>2.06543085462477E-2</v>
          </cell>
          <cell r="G74">
            <v>-1.0395684390605305E-4</v>
          </cell>
          <cell r="H74">
            <v>0.99999999999964806</v>
          </cell>
        </row>
        <row r="75">
          <cell r="A75" t="str">
            <v>T</v>
          </cell>
          <cell r="B75">
            <v>0</v>
          </cell>
          <cell r="C75">
            <v>1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1</v>
          </cell>
        </row>
        <row r="76">
          <cell r="A76" t="str">
            <v>TAXDEPR</v>
          </cell>
          <cell r="B76">
            <v>0.57257399437245315</v>
          </cell>
          <cell r="C76">
            <v>0.17545459019840789</v>
          </cell>
          <cell r="D76">
            <v>0.25197141542913898</v>
          </cell>
          <cell r="E76">
            <v>0.24741913806752291</v>
          </cell>
          <cell r="F76">
            <v>4.5522773616160596E-3</v>
          </cell>
          <cell r="G76">
            <v>0</v>
          </cell>
          <cell r="H76">
            <v>1</v>
          </cell>
        </row>
        <row r="77">
          <cell r="A77" t="str">
            <v>TD</v>
          </cell>
          <cell r="B77">
            <v>0</v>
          </cell>
          <cell r="C77">
            <v>0.44215850474318114</v>
          </cell>
          <cell r="D77">
            <v>0.55784149525681881</v>
          </cell>
          <cell r="E77">
            <v>0.55784149525681881</v>
          </cell>
          <cell r="F77">
            <v>0</v>
          </cell>
          <cell r="G77">
            <v>0</v>
          </cell>
          <cell r="H77">
            <v>1</v>
          </cell>
        </row>
        <row r="78">
          <cell r="A78" t="str">
            <v>WSF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</sheetData>
      <sheetData sheetId="22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0.17743663767138473</v>
          </cell>
          <cell r="C19">
            <v>0.51056356090620303</v>
          </cell>
          <cell r="D19">
            <v>0.18029442254184178</v>
          </cell>
          <cell r="E19">
            <v>3.663568764167812E-2</v>
          </cell>
          <cell r="F19">
            <v>9.5069691238892265E-2</v>
          </cell>
          <cell r="G19">
            <v>1</v>
          </cell>
        </row>
        <row r="20">
          <cell r="A20" t="str">
            <v>PLNT2</v>
          </cell>
          <cell r="B20">
            <v>0.25790201520032657</v>
          </cell>
          <cell r="C20">
            <v>0.74209798479967337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9.9050729100716148E-2</v>
          </cell>
          <cell r="C21">
            <v>0.82361814135809763</v>
          </cell>
          <cell r="D21">
            <v>7.3221224417730577E-3</v>
          </cell>
          <cell r="E21">
            <v>7.0009007099413184E-2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0.17743663767138471</v>
          </cell>
          <cell r="C22">
            <v>0.51056356090620292</v>
          </cell>
          <cell r="D22">
            <v>0.18029442254184175</v>
          </cell>
          <cell r="E22">
            <v>3.663568764167812E-2</v>
          </cell>
          <cell r="F22">
            <v>9.5069691238892279E-2</v>
          </cell>
          <cell r="G22">
            <v>0.99999999999999978</v>
          </cell>
        </row>
        <row r="23">
          <cell r="A23" t="str">
            <v>GENL</v>
          </cell>
          <cell r="B23">
            <v>0.17743663767138471</v>
          </cell>
          <cell r="C23">
            <v>0.51056356090620303</v>
          </cell>
          <cell r="D23">
            <v>0.18029442254184178</v>
          </cell>
          <cell r="E23">
            <v>3.663568764167812E-2</v>
          </cell>
          <cell r="F23">
            <v>9.5069691238892265E-2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0.20746859569083956</v>
          </cell>
          <cell r="C25">
            <v>0.46919738508124692</v>
          </cell>
          <cell r="D25">
            <v>0.19387409178224363</v>
          </cell>
          <cell r="E25">
            <v>3.2133523409771818E-2</v>
          </cell>
          <cell r="F25">
            <v>9.7326404035897901E-2</v>
          </cell>
          <cell r="G25">
            <v>0.99999999999999989</v>
          </cell>
        </row>
      </sheetData>
      <sheetData sheetId="23"/>
      <sheetData sheetId="24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0.75</v>
          </cell>
          <cell r="D15" t="str">
            <v>/</v>
          </cell>
          <cell r="E15">
            <v>0.25</v>
          </cell>
          <cell r="F15">
            <v>0.3461484003476229</v>
          </cell>
          <cell r="G15">
            <v>0.27714190730544991</v>
          </cell>
          <cell r="H15">
            <v>8.8893933934608704E-2</v>
          </cell>
          <cell r="I15">
            <v>1.8411158366343089E-3</v>
          </cell>
          <cell r="J15">
            <v>0.16676583628548822</v>
          </cell>
          <cell r="K15">
            <v>7.0860901420777278E-3</v>
          </cell>
          <cell r="L15">
            <v>1.9995583660614691E-4</v>
          </cell>
          <cell r="M15">
            <v>3.6884508456680096E-4</v>
          </cell>
          <cell r="N15">
            <v>6.5486496063917571E-2</v>
          </cell>
          <cell r="O15">
            <v>6.1474885781010022E-4</v>
          </cell>
          <cell r="P15">
            <v>8.3923541517602687E-3</v>
          </cell>
          <cell r="Q15">
            <v>2.0243320875040226E-2</v>
          </cell>
          <cell r="R15">
            <v>1.6816995278417228E-2</v>
          </cell>
          <cell r="S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0.33014415729742819</v>
          </cell>
          <cell r="G16">
            <v>0.27509551193609805</v>
          </cell>
          <cell r="H16">
            <v>9.1217445251843041E-2</v>
          </cell>
          <cell r="I16">
            <v>2.4751773382575433E-3</v>
          </cell>
          <cell r="J16">
            <v>0.17406554349443759</v>
          </cell>
          <cell r="K16">
            <v>7.447028376383032E-3</v>
          </cell>
          <cell r="L16">
            <v>2.1383734116064355E-4</v>
          </cell>
          <cell r="M16">
            <v>4.9215859862509581E-4</v>
          </cell>
          <cell r="N16">
            <v>6.4163857169393046E-2</v>
          </cell>
          <cell r="O16">
            <v>5.8791063841491823E-4</v>
          </cell>
          <cell r="P16">
            <v>9.0089371401904841E-3</v>
          </cell>
          <cell r="Q16">
            <v>2.6044643362540199E-2</v>
          </cell>
          <cell r="R16">
            <v>1.9043792055228253E-2</v>
          </cell>
          <cell r="S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0.36215264339781766</v>
          </cell>
          <cell r="G17">
            <v>0.27918830267480171</v>
          </cell>
          <cell r="H17">
            <v>8.6570422617374354E-2</v>
          </cell>
          <cell r="I17">
            <v>1.2070543350110744E-3</v>
          </cell>
          <cell r="J17">
            <v>0.15946612907653884</v>
          </cell>
          <cell r="K17">
            <v>6.7251519077724245E-3</v>
          </cell>
          <cell r="L17">
            <v>1.8607433205165025E-4</v>
          </cell>
          <cell r="M17">
            <v>2.4553157050850616E-4</v>
          </cell>
          <cell r="N17">
            <v>6.6809134958442096E-2</v>
          </cell>
          <cell r="O17">
            <v>6.415870772052822E-4</v>
          </cell>
          <cell r="P17">
            <v>7.7757711633300534E-3</v>
          </cell>
          <cell r="Q17">
            <v>1.4441998387540251E-2</v>
          </cell>
          <cell r="R17">
            <v>1.4590198501606205E-2</v>
          </cell>
          <cell r="S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D18">
            <v>0</v>
          </cell>
          <cell r="E18">
            <v>0</v>
          </cell>
          <cell r="F18">
            <v>0.35685248193826696</v>
          </cell>
          <cell r="G18">
            <v>0.28098891726056074</v>
          </cell>
          <cell r="H18">
            <v>8.7206283909940618E-2</v>
          </cell>
          <cell r="I18">
            <v>1.2132473460716795E-3</v>
          </cell>
          <cell r="J18">
            <v>0.16104033096385387</v>
          </cell>
          <cell r="K18">
            <v>6.5489686159910278E-3</v>
          </cell>
          <cell r="L18">
            <v>1.8859896668711358E-4</v>
          </cell>
          <cell r="M18">
            <v>2.4676561242571049E-4</v>
          </cell>
          <cell r="N18">
            <v>6.7052440030463054E-2</v>
          </cell>
          <cell r="O18">
            <v>6.337711094853973E-4</v>
          </cell>
          <cell r="P18">
            <v>7.8722180382793695E-3</v>
          </cell>
          <cell r="Q18">
            <v>1.5428205017251857E-2</v>
          </cell>
          <cell r="R18">
            <v>1.4727771190722523E-2</v>
          </cell>
          <cell r="S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>SSGCT</v>
          </cell>
          <cell r="D19">
            <v>0</v>
          </cell>
          <cell r="E19">
            <v>0</v>
          </cell>
          <cell r="F19">
            <v>0.34026820996116136</v>
          </cell>
          <cell r="G19">
            <v>0.27925253883748807</v>
          </cell>
          <cell r="H19">
            <v>8.9634475420693749E-2</v>
          </cell>
          <cell r="I19">
            <v>1.8552394296533451E-3</v>
          </cell>
          <cell r="J19">
            <v>0.1684281746267208</v>
          </cell>
          <cell r="K19">
            <v>6.9877923284921966E-3</v>
          </cell>
          <cell r="L19">
            <v>2.0254968993540476E-4</v>
          </cell>
          <cell r="M19">
            <v>3.7179940410827085E-4</v>
          </cell>
          <cell r="N19">
            <v>6.5838559456222676E-2</v>
          </cell>
          <cell r="O19">
            <v>6.1040227386528669E-4</v>
          </cell>
          <cell r="P19">
            <v>8.4949634528499358E-3</v>
          </cell>
          <cell r="Q19">
            <v>2.1072058720750513E-2</v>
          </cell>
          <cell r="R19">
            <v>1.6983236398058273E-2</v>
          </cell>
          <cell r="S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D20">
            <v>0</v>
          </cell>
          <cell r="E20">
            <v>0</v>
          </cell>
          <cell r="F20">
            <v>0.35007684755743257</v>
          </cell>
          <cell r="G20">
            <v>0.27667587754118128</v>
          </cell>
          <cell r="H20">
            <v>8.9837869142854507E-2</v>
          </cell>
          <cell r="I20">
            <v>2.1169705009157365E-3</v>
          </cell>
          <cell r="J20">
            <v>0.16830351151621933</v>
          </cell>
          <cell r="K20">
            <v>3.8468420821479265E-3</v>
          </cell>
          <cell r="L20">
            <v>1.9940517129058802E-4</v>
          </cell>
          <cell r="M20">
            <v>4.3055638122537984E-4</v>
          </cell>
          <cell r="N20">
            <v>6.5669762940050072E-2</v>
          </cell>
          <cell r="O20">
            <v>6.3849438634543793E-4</v>
          </cell>
          <cell r="P20">
            <v>8.2461106097112061E-3</v>
          </cell>
          <cell r="Q20">
            <v>1.7460906650906046E-2</v>
          </cell>
          <cell r="R20">
            <v>1.6496845519719888E-2</v>
          </cell>
          <cell r="S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D21">
            <v>0</v>
          </cell>
          <cell r="E21">
            <v>0</v>
          </cell>
          <cell r="F21">
            <v>0.33506076766448412</v>
          </cell>
          <cell r="G21">
            <v>0.27578824548960756</v>
          </cell>
          <cell r="H21">
            <v>9.1788282097134605E-2</v>
          </cell>
          <cell r="I21">
            <v>2.5590540142830533E-3</v>
          </cell>
          <cell r="J21">
            <v>0.17446336466919565</v>
          </cell>
          <cell r="K21">
            <v>4.0455924207152168E-3</v>
          </cell>
          <cell r="L21">
            <v>2.1202759055625591E-4</v>
          </cell>
          <cell r="M21">
            <v>5.1152597418173764E-4</v>
          </cell>
          <cell r="N21">
            <v>6.4852692406826479E-2</v>
          </cell>
          <cell r="O21">
            <v>6.1668327314505055E-4</v>
          </cell>
          <cell r="P21">
            <v>8.8040520550055311E-3</v>
          </cell>
          <cell r="Q21">
            <v>2.2826866487845373E-2</v>
          </cell>
          <cell r="R21">
            <v>1.8470845857019358E-2</v>
          </cell>
          <cell r="S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SSCC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</row>
        <row r="24">
          <cell r="A24" t="str">
            <v>F20</v>
          </cell>
          <cell r="B24" t="str">
            <v>12 Weighted Distribution Peaks</v>
          </cell>
          <cell r="C24">
            <v>0</v>
          </cell>
          <cell r="D24">
            <v>0</v>
          </cell>
          <cell r="E24">
            <v>0</v>
          </cell>
          <cell r="F24">
            <v>0.4707810800032789</v>
          </cell>
          <cell r="G24">
            <v>0.33195406095819258</v>
          </cell>
          <cell r="H24">
            <v>9.6141941246542115E-2</v>
          </cell>
          <cell r="I24">
            <v>7.492994782912029E-4</v>
          </cell>
          <cell r="J24">
            <v>0</v>
          </cell>
          <cell r="K24">
            <v>1.3031919730716126E-2</v>
          </cell>
          <cell r="L24">
            <v>1.7660135383184555E-4</v>
          </cell>
          <cell r="M24">
            <v>1.6273362534603863E-4</v>
          </cell>
          <cell r="N24">
            <v>8.619861671738005E-2</v>
          </cell>
          <cell r="O24">
            <v>8.0374688642115581E-4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</row>
        <row r="25">
          <cell r="A25" t="str">
            <v>F21</v>
          </cell>
          <cell r="B25" t="str">
            <v>Transformers      - NCP</v>
          </cell>
          <cell r="C25">
            <v>0</v>
          </cell>
          <cell r="D25">
            <v>0</v>
          </cell>
          <cell r="E25">
            <v>0</v>
          </cell>
          <cell r="F25">
            <v>0.59055368391181151</v>
          </cell>
          <cell r="G25">
            <v>0.23978681675195562</v>
          </cell>
          <cell r="H25">
            <v>6.3362723263065746E-2</v>
          </cell>
          <cell r="I25">
            <v>3.6483710767670928E-3</v>
          </cell>
          <cell r="J25">
            <v>0</v>
          </cell>
          <cell r="K25">
            <v>2.5710409495489625E-2</v>
          </cell>
          <cell r="L25">
            <v>1.1517789034312014E-4</v>
          </cell>
          <cell r="M25">
            <v>8.5950976985743111E-4</v>
          </cell>
          <cell r="N25">
            <v>7.4564681784161146E-2</v>
          </cell>
          <cell r="O25">
            <v>1.3986260565486363E-3</v>
          </cell>
          <cell r="P25">
            <v>0</v>
          </cell>
          <cell r="Q25">
            <v>0</v>
          </cell>
          <cell r="R25">
            <v>0</v>
          </cell>
          <cell r="S25">
            <v>1</v>
          </cell>
        </row>
        <row r="26">
          <cell r="A26" t="str">
            <v>F22</v>
          </cell>
          <cell r="B26" t="str">
            <v>Secondary Lines - NCP</v>
          </cell>
          <cell r="C26">
            <v>0</v>
          </cell>
          <cell r="D26">
            <v>0</v>
          </cell>
          <cell r="E26">
            <v>0</v>
          </cell>
          <cell r="F26">
            <v>0.88789261336042413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0.11210738663957574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1</v>
          </cell>
        </row>
        <row r="27">
          <cell r="A27" t="str">
            <v>F30</v>
          </cell>
          <cell r="B27" t="str">
            <v>MWH @ Input</v>
          </cell>
          <cell r="C27">
            <v>0</v>
          </cell>
          <cell r="D27">
            <v>0</v>
          </cell>
          <cell r="E27">
            <v>0</v>
          </cell>
          <cell r="F27">
            <v>0.2981356711970386</v>
          </cell>
          <cell r="G27">
            <v>0.27100272119739433</v>
          </cell>
          <cell r="H27">
            <v>9.5864467886311699E-2</v>
          </cell>
          <cell r="I27">
            <v>3.743300341504011E-3</v>
          </cell>
          <cell r="J27">
            <v>0.18866495791233626</v>
          </cell>
          <cell r="K27">
            <v>8.168904844993637E-3</v>
          </cell>
          <cell r="L27">
            <v>2.4160035026963683E-4</v>
          </cell>
          <cell r="M27">
            <v>7.3878562674168518E-4</v>
          </cell>
          <cell r="N27">
            <v>6.1518579380343982E-2</v>
          </cell>
          <cell r="O27">
            <v>5.3423419962455416E-4</v>
          </cell>
          <cell r="P27">
            <v>1.0242103117050911E-2</v>
          </cell>
          <cell r="Q27">
            <v>3.7647288337540143E-2</v>
          </cell>
          <cell r="R27">
            <v>2.3497385608850296E-2</v>
          </cell>
          <cell r="S27">
            <v>1</v>
          </cell>
        </row>
        <row r="28">
          <cell r="A28" t="str">
            <v>F32</v>
          </cell>
          <cell r="B28" t="str">
            <v>Seasonal System Energy Combustion Turbine</v>
          </cell>
          <cell r="C28" t="str">
            <v>SSECT</v>
          </cell>
          <cell r="D28">
            <v>0</v>
          </cell>
          <cell r="E28">
            <v>0</v>
          </cell>
          <cell r="F28">
            <v>0.29051539402984472</v>
          </cell>
          <cell r="G28">
            <v>0.27404340356827012</v>
          </cell>
          <cell r="H28">
            <v>9.6919049952953126E-2</v>
          </cell>
          <cell r="I28">
            <v>3.7812156803983419E-3</v>
          </cell>
          <cell r="J28">
            <v>0.19059170561532157</v>
          </cell>
          <cell r="K28">
            <v>8.3042634659957031E-3</v>
          </cell>
          <cell r="L28">
            <v>2.4440185968027835E-4</v>
          </cell>
          <cell r="M28">
            <v>7.469007791559521E-4</v>
          </cell>
          <cell r="N28">
            <v>6.2196917733501562E-2</v>
          </cell>
          <cell r="O28">
            <v>5.4029576700495498E-4</v>
          </cell>
          <cell r="P28">
            <v>1.0363199696561638E-2</v>
          </cell>
          <cell r="Q28">
            <v>3.800361983124647E-2</v>
          </cell>
          <cell r="R28">
            <v>2.3749632020065511E-2</v>
          </cell>
          <cell r="S28">
            <v>1</v>
          </cell>
        </row>
        <row r="29">
          <cell r="A29" t="str">
            <v>F33</v>
          </cell>
          <cell r="B29" t="str">
            <v>Seasonal System Energy Cholla</v>
          </cell>
          <cell r="C29" t="str">
            <v>SSECH</v>
          </cell>
          <cell r="D29">
            <v>0</v>
          </cell>
          <cell r="E29">
            <v>0</v>
          </cell>
          <cell r="F29">
            <v>0.29001252798563881</v>
          </cell>
          <cell r="G29">
            <v>0.2731253493348863</v>
          </cell>
          <cell r="H29">
            <v>9.7639520959974885E-2</v>
          </cell>
          <cell r="I29">
            <v>3.8853045543850036E-3</v>
          </cell>
          <cell r="J29">
            <v>0.19294292412812464</v>
          </cell>
          <cell r="K29">
            <v>4.6418434364170888E-3</v>
          </cell>
          <cell r="L29">
            <v>2.4989484835325951E-4</v>
          </cell>
          <cell r="M29">
            <v>7.5443475305081106E-4</v>
          </cell>
          <cell r="N29">
            <v>6.2401480807155671E-2</v>
          </cell>
          <cell r="O29">
            <v>5.5124993354388843E-4</v>
          </cell>
          <cell r="P29">
            <v>1.0477876390888503E-2</v>
          </cell>
          <cell r="Q29">
            <v>3.8924745998663357E-2</v>
          </cell>
          <cell r="R29">
            <v>2.4392846868917774E-2</v>
          </cell>
          <cell r="S29">
            <v>1</v>
          </cell>
        </row>
        <row r="30">
          <cell r="A30" t="str">
            <v>F34</v>
          </cell>
          <cell r="B30" t="str">
            <v>Seasonal System Energy Contracts</v>
          </cell>
          <cell r="C30" t="str">
            <v>SSEC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</row>
        <row r="31">
          <cell r="A31" t="str">
            <v>F40</v>
          </cell>
          <cell r="B31" t="str">
            <v>Average Customers</v>
          </cell>
          <cell r="C31">
            <v>0</v>
          </cell>
          <cell r="D31">
            <v>0</v>
          </cell>
          <cell r="E31">
            <v>0</v>
          </cell>
          <cell r="F31">
            <v>0.86644901411377973</v>
          </cell>
          <cell r="G31">
            <v>1.8399491404001402E-2</v>
          </cell>
          <cell r="H31">
            <v>3.550863511828087E-4</v>
          </cell>
          <cell r="I31">
            <v>1.1688961207919509E-2</v>
          </cell>
          <cell r="J31">
            <v>1.9258920742118438E-4</v>
          </cell>
          <cell r="K31">
            <v>3.4485504953855831E-3</v>
          </cell>
          <cell r="L31">
            <v>2.7010636340821111E-3</v>
          </cell>
          <cell r="M31">
            <v>5.6813816189249392E-4</v>
          </cell>
          <cell r="N31">
            <v>9.6180253868685867E-2</v>
          </cell>
          <cell r="O31">
            <v>1.3240508010206427E-5</v>
          </cell>
          <cell r="P31">
            <v>1.2036825463824024E-6</v>
          </cell>
          <cell r="Q31">
            <v>1.2036825463824024E-6</v>
          </cell>
          <cell r="R31">
            <v>1.2036825463824024E-6</v>
          </cell>
          <cell r="S31">
            <v>1</v>
          </cell>
        </row>
        <row r="32">
          <cell r="A32" t="str">
            <v>F41</v>
          </cell>
          <cell r="B32" t="str">
            <v>Weighted Customers Acct 902</v>
          </cell>
          <cell r="C32">
            <v>0</v>
          </cell>
          <cell r="D32">
            <v>0</v>
          </cell>
          <cell r="E32">
            <v>0</v>
          </cell>
          <cell r="F32">
            <v>0.79450159308294821</v>
          </cell>
          <cell r="G32">
            <v>3.4924317228300562E-2</v>
          </cell>
          <cell r="H32">
            <v>1.0673201016540325E-2</v>
          </cell>
          <cell r="I32">
            <v>0</v>
          </cell>
          <cell r="J32">
            <v>7.4365062583677611E-3</v>
          </cell>
          <cell r="K32">
            <v>1.476744052914159E-2</v>
          </cell>
          <cell r="L32">
            <v>2.7492203824199652E-3</v>
          </cell>
          <cell r="M32">
            <v>5.7826738881560768E-4</v>
          </cell>
          <cell r="N32">
            <v>0.13405445997295945</v>
          </cell>
          <cell r="O32">
            <v>8.9843803347057673E-6</v>
          </cell>
          <cell r="P32">
            <v>3.4866901077807761E-5</v>
          </cell>
          <cell r="Q32">
            <v>1.3557142954691761E-4</v>
          </cell>
          <cell r="R32">
            <v>1.3557142954691761E-4</v>
          </cell>
          <cell r="S32">
            <v>1</v>
          </cell>
        </row>
        <row r="33">
          <cell r="A33" t="str">
            <v>F42</v>
          </cell>
          <cell r="B33" t="str">
            <v>Weighted Customers Acct 903</v>
          </cell>
          <cell r="C33">
            <v>0</v>
          </cell>
          <cell r="D33">
            <v>0</v>
          </cell>
          <cell r="E33">
            <v>0</v>
          </cell>
          <cell r="F33">
            <v>0.87121091198399014</v>
          </cell>
          <cell r="G33">
            <v>1.8685618887272257E-2</v>
          </cell>
          <cell r="H33">
            <v>3.6060824098817972E-4</v>
          </cell>
          <cell r="I33">
            <v>1.0806265281044006E-2</v>
          </cell>
          <cell r="J33">
            <v>1.4291196877289566E-3</v>
          </cell>
          <cell r="K33">
            <v>3.5368533735182337E-3</v>
          </cell>
          <cell r="L33">
            <v>2.4986356816757084E-3</v>
          </cell>
          <cell r="M33">
            <v>5.2555973340059469E-4</v>
          </cell>
          <cell r="N33">
            <v>9.0906317860013006E-2</v>
          </cell>
          <cell r="O33">
            <v>1.3313276223762299E-5</v>
          </cell>
          <cell r="P33">
            <v>8.9319980483059787E-6</v>
          </cell>
          <cell r="Q33">
            <v>8.9319980483059787E-6</v>
          </cell>
          <cell r="R33">
            <v>8.9319980483059787E-6</v>
          </cell>
          <cell r="S33">
            <v>1</v>
          </cell>
        </row>
        <row r="34">
          <cell r="A34" t="str">
            <v>F43</v>
          </cell>
          <cell r="B34" t="str">
            <v>Residential Split</v>
          </cell>
          <cell r="C34">
            <v>0</v>
          </cell>
          <cell r="D34">
            <v>0</v>
          </cell>
          <cell r="E34">
            <v>0</v>
          </cell>
          <cell r="F34">
            <v>0.99998471888655327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1.5281113446754698E-5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</row>
        <row r="35">
          <cell r="A35" t="str">
            <v>F44</v>
          </cell>
          <cell r="B35" t="str">
            <v>Commercial Split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0.15333495510637357</v>
          </cell>
          <cell r="H35">
            <v>1.9129550179132204E-3</v>
          </cell>
          <cell r="I35">
            <v>0</v>
          </cell>
          <cell r="J35">
            <v>2.9855367331593611E-4</v>
          </cell>
          <cell r="K35">
            <v>0</v>
          </cell>
          <cell r="L35">
            <v>0</v>
          </cell>
          <cell r="M35">
            <v>0</v>
          </cell>
          <cell r="N35">
            <v>0.84445353620239727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</row>
        <row r="36">
          <cell r="A36" t="str">
            <v>F45</v>
          </cell>
          <cell r="B36" t="str">
            <v>Industrial / Irrigation Split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0.17540597495971241</v>
          </cell>
          <cell r="H36">
            <v>1.5123342010660717E-2</v>
          </cell>
          <cell r="I36">
            <v>0</v>
          </cell>
          <cell r="J36">
            <v>1.5991074748977315E-2</v>
          </cell>
          <cell r="K36">
            <v>0.3551506136110078</v>
          </cell>
          <cell r="L36">
            <v>0</v>
          </cell>
          <cell r="M36">
            <v>0</v>
          </cell>
          <cell r="N36">
            <v>0.43795710921036318</v>
          </cell>
          <cell r="O36">
            <v>0</v>
          </cell>
          <cell r="P36">
            <v>1.2396181975951408E-4</v>
          </cell>
          <cell r="Q36">
            <v>1.2396181975951408E-4</v>
          </cell>
          <cell r="R36">
            <v>1.2396181975951408E-4</v>
          </cell>
          <cell r="S36">
            <v>1</v>
          </cell>
        </row>
        <row r="37">
          <cell r="A37" t="str">
            <v>F46</v>
          </cell>
          <cell r="B37" t="str">
            <v>Lighting / OSPA  Split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0.78144363080389478</v>
          </cell>
          <cell r="J37">
            <v>0</v>
          </cell>
          <cell r="K37">
            <v>0</v>
          </cell>
          <cell r="L37">
            <v>0.18057455540355677</v>
          </cell>
          <cell r="M37">
            <v>3.7981813792548481E-2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</row>
        <row r="38">
          <cell r="A38" t="str">
            <v>F47</v>
          </cell>
          <cell r="B38" t="str">
            <v>Wtd Customers Acct 902 - irrigation</v>
          </cell>
          <cell r="C38">
            <v>0</v>
          </cell>
          <cell r="D38">
            <v>0</v>
          </cell>
          <cell r="E38">
            <v>0</v>
          </cell>
          <cell r="F38">
            <v>0.80012907615042528</v>
          </cell>
          <cell r="G38">
            <v>3.5171687410508537E-2</v>
          </cell>
          <cell r="H38">
            <v>1.0748799679298562E-2</v>
          </cell>
          <cell r="I38">
            <v>0</v>
          </cell>
          <cell r="J38">
            <v>7.4891792969299159E-3</v>
          </cell>
          <cell r="K38">
            <v>7.7890032368576924E-3</v>
          </cell>
          <cell r="L38">
            <v>2.7686932082588629E-3</v>
          </cell>
          <cell r="M38">
            <v>5.82363277316481E-4</v>
          </cell>
          <cell r="N38">
            <v>0.13500397248518778</v>
          </cell>
          <cell r="O38">
            <v>9.0480170204537995E-6</v>
          </cell>
          <cell r="P38">
            <v>3.5113864579377825E-5</v>
          </cell>
          <cell r="Q38">
            <v>1.365316868086413E-4</v>
          </cell>
          <cell r="R38">
            <v>1.365316868086413E-4</v>
          </cell>
          <cell r="S38">
            <v>1</v>
          </cell>
        </row>
        <row r="39">
          <cell r="A39" t="str">
            <v>F48</v>
          </cell>
          <cell r="B39" t="str">
            <v>Wtd Customers Acct 903 - irrigation</v>
          </cell>
          <cell r="C39">
            <v>0</v>
          </cell>
          <cell r="D39">
            <v>0</v>
          </cell>
          <cell r="E39">
            <v>0</v>
          </cell>
          <cell r="F39">
            <v>0.87268092592419133</v>
          </cell>
          <cell r="G39">
            <v>1.8717147556011064E-2</v>
          </cell>
          <cell r="H39">
            <v>3.6121670345566289E-4</v>
          </cell>
          <cell r="I39">
            <v>1.0824498937654747E-2</v>
          </cell>
          <cell r="J39">
            <v>1.4315310738058291E-3</v>
          </cell>
          <cell r="K39">
            <v>1.85549849574065E-3</v>
          </cell>
          <cell r="L39">
            <v>2.5028516863572644E-3</v>
          </cell>
          <cell r="M39">
            <v>5.2644652226409489E-4</v>
          </cell>
          <cell r="N39">
            <v>9.1059706152868819E-2</v>
          </cell>
          <cell r="O39">
            <v>1.3335740016822594E-5</v>
          </cell>
          <cell r="P39">
            <v>8.9470692112864306E-6</v>
          </cell>
          <cell r="Q39">
            <v>8.9470692112864306E-6</v>
          </cell>
          <cell r="R39">
            <v>8.9470692112864306E-6</v>
          </cell>
          <cell r="S39">
            <v>1</v>
          </cell>
        </row>
        <row r="40">
          <cell r="A40" t="str">
            <v>F50</v>
          </cell>
          <cell r="B40" t="str">
            <v>Contribution in Aid of Construction</v>
          </cell>
          <cell r="C40">
            <v>0</v>
          </cell>
          <cell r="D40">
            <v>0</v>
          </cell>
          <cell r="E40">
            <v>0</v>
          </cell>
          <cell r="F40">
            <v>0.15736072656272435</v>
          </cell>
          <cell r="G40">
            <v>2.7706430725220388E-2</v>
          </cell>
          <cell r="H40">
            <v>1.4655706087708829E-2</v>
          </cell>
          <cell r="I40">
            <v>7.2275376376838868E-2</v>
          </cell>
          <cell r="J40">
            <v>0.55846599187674095</v>
          </cell>
          <cell r="K40">
            <v>2.2113049525370673E-3</v>
          </cell>
          <cell r="L40">
            <v>2.7262602191836858E-3</v>
          </cell>
          <cell r="M40">
            <v>6.3707547574648289E-3</v>
          </cell>
          <cell r="N40">
            <v>0.15822744844158118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</row>
        <row r="41">
          <cell r="A41" t="str">
            <v>F51</v>
          </cell>
          <cell r="B41" t="str">
            <v>Security Deposits</v>
          </cell>
          <cell r="C41">
            <v>0</v>
          </cell>
          <cell r="D41">
            <v>0</v>
          </cell>
          <cell r="E41">
            <v>0</v>
          </cell>
          <cell r="F41">
            <v>0.26075906169504837</v>
          </cell>
          <cell r="G41">
            <v>2.9968509951039449E-2</v>
          </cell>
          <cell r="H41">
            <v>8.2251306973778818E-2</v>
          </cell>
          <cell r="I41">
            <v>1.0695391797479142E-3</v>
          </cell>
          <cell r="J41">
            <v>0.28583611654786145</v>
          </cell>
          <cell r="K41">
            <v>7.1929387323423216E-3</v>
          </cell>
          <cell r="L41">
            <v>0</v>
          </cell>
          <cell r="M41">
            <v>4.0838157835987204E-5</v>
          </cell>
          <cell r="N41">
            <v>0.26577596298169065</v>
          </cell>
          <cell r="O41">
            <v>0</v>
          </cell>
          <cell r="P41">
            <v>0</v>
          </cell>
          <cell r="Q41">
            <v>6.7105725780654907E-2</v>
          </cell>
          <cell r="R41">
            <v>0</v>
          </cell>
          <cell r="S41">
            <v>1</v>
          </cell>
        </row>
        <row r="42">
          <cell r="A42" t="str">
            <v>F60</v>
          </cell>
          <cell r="B42" t="str">
            <v>Meters</v>
          </cell>
          <cell r="C42">
            <v>0</v>
          </cell>
          <cell r="D42">
            <v>0</v>
          </cell>
          <cell r="E42">
            <v>0</v>
          </cell>
          <cell r="F42">
            <v>0.68497890837007003</v>
          </cell>
          <cell r="G42">
            <v>0.10902835722412574</v>
          </cell>
          <cell r="H42">
            <v>1.3486620889471447E-2</v>
          </cell>
          <cell r="I42">
            <v>0</v>
          </cell>
          <cell r="J42">
            <v>3.8957800440214296E-2</v>
          </cell>
          <cell r="K42">
            <v>1.1135492495671355E-2</v>
          </cell>
          <cell r="L42">
            <v>2.0350891354208589E-3</v>
          </cell>
          <cell r="M42">
            <v>4.2805796431312178E-4</v>
          </cell>
          <cell r="N42">
            <v>0.1306353806924791</v>
          </cell>
          <cell r="O42">
            <v>1.9981764371414636E-4</v>
          </cell>
          <cell r="P42">
            <v>3.03815838150666E-3</v>
          </cell>
          <cell r="Q42">
            <v>3.03815838150666E-3</v>
          </cell>
          <cell r="R42">
            <v>3.03815838150666E-3</v>
          </cell>
          <cell r="S42">
            <v>1</v>
          </cell>
        </row>
        <row r="43">
          <cell r="A43" t="str">
            <v>F70</v>
          </cell>
          <cell r="B43" t="str">
            <v>Services</v>
          </cell>
          <cell r="C43">
            <v>0</v>
          </cell>
          <cell r="D43">
            <v>0</v>
          </cell>
          <cell r="E43">
            <v>0</v>
          </cell>
          <cell r="F43">
            <v>0.78247152659940289</v>
          </cell>
          <cell r="G43">
            <v>7.9505021864011857E-2</v>
          </cell>
          <cell r="H43">
            <v>3.0064817283884603E-3</v>
          </cell>
          <cell r="I43">
            <v>0</v>
          </cell>
          <cell r="J43">
            <v>0</v>
          </cell>
          <cell r="K43">
            <v>0</v>
          </cell>
          <cell r="L43">
            <v>3.1363648863416945E-3</v>
          </cell>
          <cell r="M43">
            <v>6.5969885309860956E-4</v>
          </cell>
          <cell r="N43">
            <v>0.13122090606875636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</row>
        <row r="44">
          <cell r="A44" t="str">
            <v>F80</v>
          </cell>
          <cell r="B44" t="str">
            <v>Uncollectables</v>
          </cell>
          <cell r="C44">
            <v>0</v>
          </cell>
          <cell r="D44">
            <v>0</v>
          </cell>
          <cell r="E44">
            <v>0</v>
          </cell>
          <cell r="F44">
            <v>0.81065129837697247</v>
          </cell>
          <cell r="G44">
            <v>8.9623473350243746E-2</v>
          </cell>
          <cell r="H44">
            <v>2.7060566570668406E-2</v>
          </cell>
          <cell r="I44">
            <v>0</v>
          </cell>
          <cell r="J44">
            <v>4.2008370112631192E-2</v>
          </cell>
          <cell r="K44">
            <v>6.9250332500972005E-3</v>
          </cell>
          <cell r="L44">
            <v>0</v>
          </cell>
          <cell r="M44">
            <v>0</v>
          </cell>
          <cell r="N44">
            <v>2.3731258339386784E-2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</row>
        <row r="45">
          <cell r="A45" t="str">
            <v>F85</v>
          </cell>
          <cell r="B45" t="str">
            <v>Firm Sales - Utah Share</v>
          </cell>
          <cell r="C45">
            <v>0</v>
          </cell>
          <cell r="D45">
            <v>0</v>
          </cell>
          <cell r="E45">
            <v>0</v>
          </cell>
          <cell r="F45">
            <v>0.33643911685941369</v>
          </cell>
          <cell r="G45">
            <v>0.27844030436176387</v>
          </cell>
          <cell r="H45">
            <v>9.0747831870374704E-2</v>
          </cell>
          <cell r="I45">
            <v>2.1032880770656031E-3</v>
          </cell>
          <cell r="J45">
            <v>0.17158763334158497</v>
          </cell>
          <cell r="K45">
            <v>5.5538087700705971E-3</v>
          </cell>
          <cell r="L45">
            <v>2.0805063036667589E-4</v>
          </cell>
          <cell r="M45">
            <v>4.2118250800580954E-4</v>
          </cell>
          <cell r="N45">
            <v>6.5281456317390962E-2</v>
          </cell>
          <cell r="O45">
            <v>6.0592213968437589E-4</v>
          </cell>
          <cell r="P45">
            <v>8.6653162059154958E-3</v>
          </cell>
          <cell r="Q45">
            <v>2.2195812505219254E-2</v>
          </cell>
          <cell r="R45">
            <v>1.7750276413143921E-2</v>
          </cell>
          <cell r="S45">
            <v>1</v>
          </cell>
        </row>
        <row r="46">
          <cell r="A46" t="str">
            <v>F86</v>
          </cell>
          <cell r="B46" t="str">
            <v>Non Firm Sales - Utah Share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</row>
        <row r="47">
          <cell r="A47" t="str">
            <v>F87</v>
          </cell>
          <cell r="B47" t="str">
            <v>Firm Purchases (Non-Seasonal) - Utah Share</v>
          </cell>
          <cell r="C47">
            <v>0</v>
          </cell>
          <cell r="D47">
            <v>0</v>
          </cell>
          <cell r="E47">
            <v>0</v>
          </cell>
          <cell r="F47">
            <v>0.33498974344285004</v>
          </cell>
          <cell r="G47">
            <v>0.28084078818422581</v>
          </cell>
          <cell r="H47">
            <v>9.0054501965800449E-2</v>
          </cell>
          <cell r="I47">
            <v>1.7613441456342423E-3</v>
          </cell>
          <cell r="J47">
            <v>0.17018925634585255</v>
          </cell>
          <cell r="K47">
            <v>6.8123959913749038E-3</v>
          </cell>
          <cell r="L47">
            <v>2.0644925068073665E-4</v>
          </cell>
          <cell r="M47">
            <v>3.5087871195536835E-4</v>
          </cell>
          <cell r="N47">
            <v>6.5938301165770777E-2</v>
          </cell>
          <cell r="O47">
            <v>5.9761458220806822E-4</v>
          </cell>
          <cell r="P47">
            <v>8.5905776801710881E-3</v>
          </cell>
          <cell r="Q47">
            <v>2.2559342487497944E-2</v>
          </cell>
          <cell r="R47">
            <v>1.7108806045978326E-2</v>
          </cell>
          <cell r="S47">
            <v>1</v>
          </cell>
        </row>
        <row r="48">
          <cell r="A48" t="str">
            <v>F88</v>
          </cell>
          <cell r="B48" t="str">
            <v>Seasonal Purchases - Utah Share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</row>
        <row r="49">
          <cell r="A49" t="str">
            <v>F89</v>
          </cell>
          <cell r="B49" t="str">
            <v>Non firm Purchases - Utah Share</v>
          </cell>
          <cell r="C49">
            <v>0</v>
          </cell>
          <cell r="D49">
            <v>0</v>
          </cell>
          <cell r="E49">
            <v>0</v>
          </cell>
          <cell r="F49">
            <v>0.29979815750086991</v>
          </cell>
          <cell r="G49">
            <v>0.27153082767593717</v>
          </cell>
          <cell r="H49">
            <v>9.5725995590261306E-2</v>
          </cell>
          <cell r="I49">
            <v>3.7181488555205976E-3</v>
          </cell>
          <cell r="J49">
            <v>0.18749351497293129</v>
          </cell>
          <cell r="K49">
            <v>8.0535911679366912E-3</v>
          </cell>
          <cell r="L49">
            <v>2.3886121799682582E-4</v>
          </cell>
          <cell r="M49">
            <v>7.3423736915794228E-4</v>
          </cell>
          <cell r="N49">
            <v>6.1501767050476976E-2</v>
          </cell>
          <cell r="O49">
            <v>5.3622013078342295E-4</v>
          </cell>
          <cell r="P49">
            <v>1.0234264766295255E-2</v>
          </cell>
          <cell r="Q49">
            <v>3.7128983369368061E-2</v>
          </cell>
          <cell r="R49">
            <v>2.330543033246444E-2</v>
          </cell>
          <cell r="S49">
            <v>1</v>
          </cell>
        </row>
        <row r="50">
          <cell r="A50" t="str">
            <v>F90</v>
          </cell>
          <cell r="B50" t="str">
            <v>Coal (Non-Seasonal) - Utah Share</v>
          </cell>
          <cell r="C50">
            <v>0</v>
          </cell>
          <cell r="D50">
            <v>0</v>
          </cell>
          <cell r="E50">
            <v>0</v>
          </cell>
          <cell r="F50">
            <v>0.29747059687518912</v>
          </cell>
          <cell r="G50">
            <v>0.27117620780948143</v>
          </cell>
          <cell r="H50">
            <v>9.6063618438134102E-2</v>
          </cell>
          <cell r="I50">
            <v>3.7582113100422783E-3</v>
          </cell>
          <cell r="J50">
            <v>0.18905544445537212</v>
          </cell>
          <cell r="K50">
            <v>7.8104509563704924E-3</v>
          </cell>
          <cell r="L50">
            <v>2.4225345556404138E-4</v>
          </cell>
          <cell r="M50">
            <v>7.4034957202814291E-4</v>
          </cell>
          <cell r="N50">
            <v>6.1545309447119501E-2</v>
          </cell>
          <cell r="O50">
            <v>5.3424686961272292E-4</v>
          </cell>
          <cell r="P50">
            <v>1.0270609729365249E-2</v>
          </cell>
          <cell r="Q50">
            <v>3.778039999454734E-2</v>
          </cell>
          <cell r="R50">
            <v>2.3552301087173429E-2</v>
          </cell>
          <cell r="S50">
            <v>1</v>
          </cell>
        </row>
        <row r="51">
          <cell r="A51" t="str">
            <v>F91</v>
          </cell>
          <cell r="B51" t="str">
            <v>Seasonal Cholla Coal - Utah Share</v>
          </cell>
          <cell r="C51">
            <v>0</v>
          </cell>
          <cell r="D51">
            <v>0</v>
          </cell>
          <cell r="E51">
            <v>0</v>
          </cell>
          <cell r="F51">
            <v>0.29803711209295691</v>
          </cell>
          <cell r="G51">
            <v>0.27107811080878857</v>
          </cell>
          <cell r="H51">
            <v>9.603368022917208E-2</v>
          </cell>
          <cell r="I51">
            <v>3.7646542273027501E-3</v>
          </cell>
          <cell r="J51">
            <v>0.18891679191924748</v>
          </cell>
          <cell r="K51">
            <v>7.5128668404289226E-3</v>
          </cell>
          <cell r="L51">
            <v>2.4223451999822064E-4</v>
          </cell>
          <cell r="M51">
            <v>7.384535772482102E-4</v>
          </cell>
          <cell r="N51">
            <v>6.1573998749886297E-2</v>
          </cell>
          <cell r="O51">
            <v>5.3511731405607704E-4</v>
          </cell>
          <cell r="P51">
            <v>1.0278414652935297E-2</v>
          </cell>
          <cell r="Q51">
            <v>3.7776055628917352E-2</v>
          </cell>
          <cell r="R51">
            <v>2.3512509439061569E-2</v>
          </cell>
          <cell r="S51">
            <v>1</v>
          </cell>
        </row>
        <row r="52">
          <cell r="A52" t="str">
            <v>F92</v>
          </cell>
          <cell r="B52" t="str">
            <v>Gas (Non-Seasonal) - Utah Share</v>
          </cell>
          <cell r="C52">
            <v>0</v>
          </cell>
          <cell r="D52">
            <v>0</v>
          </cell>
          <cell r="E52">
            <v>0</v>
          </cell>
          <cell r="F52">
            <v>0.29980675988418126</v>
          </cell>
          <cell r="G52">
            <v>0.27119337098099933</v>
          </cell>
          <cell r="H52">
            <v>9.5792608050297309E-2</v>
          </cell>
          <cell r="I52">
            <v>3.7388727917208654E-3</v>
          </cell>
          <cell r="J52">
            <v>0.18799420859614349</v>
          </cell>
          <cell r="K52">
            <v>7.3373034389534785E-3</v>
          </cell>
          <cell r="L52">
            <v>2.4122954559097236E-4</v>
          </cell>
          <cell r="M52">
            <v>7.35771206711764E-4</v>
          </cell>
          <cell r="N52">
            <v>6.1607347581396285E-2</v>
          </cell>
          <cell r="O52">
            <v>5.3909962349364573E-4</v>
          </cell>
          <cell r="P52">
            <v>1.0220696319511637E-2</v>
          </cell>
          <cell r="Q52">
            <v>3.7361039545440587E-2</v>
          </cell>
          <cell r="R52">
            <v>2.3431692435559603E-2</v>
          </cell>
          <cell r="S52">
            <v>1</v>
          </cell>
        </row>
        <row r="53">
          <cell r="A53" t="str">
            <v>F93</v>
          </cell>
          <cell r="B53" t="str">
            <v>Seasonal CT Gas - Utah Share</v>
          </cell>
          <cell r="C53">
            <v>0</v>
          </cell>
          <cell r="D53">
            <v>0</v>
          </cell>
          <cell r="E53">
            <v>0</v>
          </cell>
          <cell r="F53">
            <v>0.29601091350693043</v>
          </cell>
          <cell r="G53">
            <v>0.27107096281757431</v>
          </cell>
          <cell r="H53">
            <v>9.6180378447097273E-2</v>
          </cell>
          <cell r="I53">
            <v>3.7663464777364679E-3</v>
          </cell>
          <cell r="J53">
            <v>0.18990214303332312</v>
          </cell>
          <cell r="K53">
            <v>8.0618697126322528E-3</v>
          </cell>
          <cell r="L53">
            <v>2.4265412429505927E-4</v>
          </cell>
          <cell r="M53">
            <v>7.4442531661012782E-4</v>
          </cell>
          <cell r="N53">
            <v>6.1507878969924837E-2</v>
          </cell>
          <cell r="O53">
            <v>5.3193896728645376E-4</v>
          </cell>
          <cell r="P53">
            <v>1.0282127393483897E-2</v>
          </cell>
          <cell r="Q53">
            <v>3.8048258075726683E-2</v>
          </cell>
          <cell r="R53">
            <v>2.3650103157378997E-2</v>
          </cell>
          <cell r="S53">
            <v>1</v>
          </cell>
        </row>
        <row r="54">
          <cell r="A54" t="str">
            <v>F94</v>
          </cell>
          <cell r="B54" t="str">
            <v>Other Generation - Utah Share</v>
          </cell>
          <cell r="C54">
            <v>0</v>
          </cell>
          <cell r="D54">
            <v>0</v>
          </cell>
          <cell r="E54">
            <v>0</v>
          </cell>
          <cell r="F54">
            <v>0.29768750074992412</v>
          </cell>
          <cell r="G54">
            <v>0.27111580007800595</v>
          </cell>
          <cell r="H54">
            <v>9.6115817842318443E-2</v>
          </cell>
          <cell r="I54">
            <v>3.7611351026905068E-3</v>
          </cell>
          <cell r="J54">
            <v>0.18907265802723822</v>
          </cell>
          <cell r="K54">
            <v>7.5683482108941458E-3</v>
          </cell>
          <cell r="L54">
            <v>2.4302144661041399E-4</v>
          </cell>
          <cell r="M54">
            <v>7.4285179942495212E-4</v>
          </cell>
          <cell r="N54">
            <v>6.157518635005256E-2</v>
          </cell>
          <cell r="O54">
            <v>5.3611760493784875E-4</v>
          </cell>
          <cell r="P54">
            <v>1.0258304197060053E-2</v>
          </cell>
          <cell r="Q54">
            <v>3.7800308510901597E-2</v>
          </cell>
          <cell r="R54">
            <v>2.3522950079941145E-2</v>
          </cell>
          <cell r="S54">
            <v>1</v>
          </cell>
        </row>
        <row r="55">
          <cell r="A55" t="str">
            <v>F95</v>
          </cell>
          <cell r="B55" t="str">
            <v>Firm Wheeling - Utah Share</v>
          </cell>
          <cell r="C55">
            <v>0</v>
          </cell>
          <cell r="D55">
            <v>0</v>
          </cell>
          <cell r="E55">
            <v>0</v>
          </cell>
          <cell r="F55">
            <v>0.33412632373644391</v>
          </cell>
          <cell r="G55">
            <v>0.28017553674375428</v>
          </cell>
          <cell r="H55">
            <v>9.0532563236644256E-2</v>
          </cell>
          <cell r="I55">
            <v>1.9383373737231755E-3</v>
          </cell>
          <cell r="J55">
            <v>0.17132273027688091</v>
          </cell>
          <cell r="K55">
            <v>6.2431564574266674E-3</v>
          </cell>
          <cell r="L55">
            <v>2.067668069395467E-4</v>
          </cell>
          <cell r="M55">
            <v>3.8752704099499964E-4</v>
          </cell>
          <cell r="N55">
            <v>6.5792372584794034E-2</v>
          </cell>
          <cell r="O55">
            <v>5.9927538502456347E-4</v>
          </cell>
          <cell r="P55">
            <v>8.6302901635804796E-3</v>
          </cell>
          <cell r="Q55">
            <v>2.2658388464404884E-2</v>
          </cell>
          <cell r="R55">
            <v>1.738673172938817E-2</v>
          </cell>
          <cell r="S55">
            <v>1</v>
          </cell>
        </row>
        <row r="56">
          <cell r="A56" t="str">
            <v>F96</v>
          </cell>
          <cell r="B56" t="str">
            <v>Non-Firm Wheeling - Utah Share</v>
          </cell>
          <cell r="C56">
            <v>0</v>
          </cell>
          <cell r="D56">
            <v>0</v>
          </cell>
          <cell r="E56">
            <v>0</v>
          </cell>
          <cell r="F56">
            <v>0.29947784433237412</v>
          </cell>
          <cell r="G56">
            <v>0.27014360972380774</v>
          </cell>
          <cell r="H56">
            <v>9.5979968488540707E-2</v>
          </cell>
          <cell r="I56">
            <v>3.7835095344273531E-3</v>
          </cell>
          <cell r="J56">
            <v>0.18903682572612729</v>
          </cell>
          <cell r="K56">
            <v>6.7989466928714982E-3</v>
          </cell>
          <cell r="L56">
            <v>2.4338737717096326E-4</v>
          </cell>
          <cell r="M56">
            <v>7.4497679800308804E-4</v>
          </cell>
          <cell r="N56">
            <v>6.1790987552453401E-2</v>
          </cell>
          <cell r="O56">
            <v>5.4189131358046527E-4</v>
          </cell>
          <cell r="P56">
            <v>1.0145184907983088E-2</v>
          </cell>
          <cell r="Q56">
            <v>3.8003876801940617E-2</v>
          </cell>
          <cell r="R56">
            <v>2.3308990750719759E-2</v>
          </cell>
          <cell r="S56">
            <v>1</v>
          </cell>
        </row>
        <row r="57">
          <cell r="A57" t="str">
            <v>F101</v>
          </cell>
          <cell r="B57" t="str">
            <v>Rate Base</v>
          </cell>
          <cell r="C57">
            <v>0</v>
          </cell>
          <cell r="D57">
            <v>0</v>
          </cell>
          <cell r="E57">
            <v>0</v>
          </cell>
          <cell r="F57">
            <v>0.40387943064020398</v>
          </cell>
          <cell r="G57">
            <v>0.26689296553279024</v>
          </cell>
          <cell r="H57">
            <v>8.2933087793711766E-2</v>
          </cell>
          <cell r="I57">
            <v>4.662233909154833E-3</v>
          </cell>
          <cell r="J57">
            <v>0.12550926366144619</v>
          </cell>
          <cell r="K57">
            <v>8.4693605035784398E-3</v>
          </cell>
          <cell r="L57">
            <v>2.7747218159948281E-4</v>
          </cell>
          <cell r="M57">
            <v>3.6725389816889001E-4</v>
          </cell>
          <cell r="N57">
            <v>7.1480389457339838E-2</v>
          </cell>
          <cell r="O57">
            <v>6.3627218527380488E-4</v>
          </cell>
          <cell r="P57">
            <v>6.3463974311634393E-3</v>
          </cell>
          <cell r="Q57">
            <v>1.5622140590785091E-2</v>
          </cell>
          <cell r="R57">
            <v>1.2923732214783917E-2</v>
          </cell>
          <cell r="S57">
            <v>1</v>
          </cell>
        </row>
        <row r="58">
          <cell r="A58" t="str">
            <v>F101G</v>
          </cell>
          <cell r="B58" t="str">
            <v>Generation Rate Base</v>
          </cell>
          <cell r="C58">
            <v>0</v>
          </cell>
          <cell r="D58">
            <v>0</v>
          </cell>
          <cell r="E58">
            <v>0</v>
          </cell>
          <cell r="F58">
            <v>0.34242047733702197</v>
          </cell>
          <cell r="G58">
            <v>0.27667674618918187</v>
          </cell>
          <cell r="H58">
            <v>8.9435722498969791E-2</v>
          </cell>
          <cell r="I58">
            <v>1.9879904619515497E-3</v>
          </cell>
          <cell r="J58">
            <v>0.16846465218813683</v>
          </cell>
          <cell r="K58">
            <v>7.1629602227303042E-3</v>
          </cell>
          <cell r="L58">
            <v>2.031902253860918E-4</v>
          </cell>
          <cell r="M58">
            <v>3.9737259136167182E-4</v>
          </cell>
          <cell r="N58">
            <v>6.518253487310563E-2</v>
          </cell>
          <cell r="O58">
            <v>6.0854337229930902E-4</v>
          </cell>
          <cell r="P58">
            <v>8.5356078158865256E-3</v>
          </cell>
          <cell r="Q58">
            <v>2.1590414087835953E-2</v>
          </cell>
          <cell r="R58">
            <v>1.7333788136132965E-2</v>
          </cell>
          <cell r="S58">
            <v>1</v>
          </cell>
        </row>
        <row r="59">
          <cell r="A59" t="str">
            <v>F101T</v>
          </cell>
          <cell r="B59" t="str">
            <v>Transmission Rate Base</v>
          </cell>
          <cell r="C59">
            <v>0</v>
          </cell>
          <cell r="D59">
            <v>0</v>
          </cell>
          <cell r="E59">
            <v>0</v>
          </cell>
          <cell r="F59">
            <v>0.3438402316389314</v>
          </cell>
          <cell r="G59">
            <v>0.27555602443468841</v>
          </cell>
          <cell r="H59">
            <v>8.8373153347162947E-2</v>
          </cell>
          <cell r="I59">
            <v>1.6550020456530543E-3</v>
          </cell>
          <cell r="J59">
            <v>0.1718140092334865</v>
          </cell>
          <cell r="K59">
            <v>7.0401623640345551E-3</v>
          </cell>
          <cell r="L59">
            <v>1.9221650824100835E-4</v>
          </cell>
          <cell r="M59">
            <v>3.5130227880528312E-4</v>
          </cell>
          <cell r="N59">
            <v>6.4740677040601255E-2</v>
          </cell>
          <cell r="O59">
            <v>6.1133376098984377E-4</v>
          </cell>
          <cell r="P59">
            <v>8.384840063816559E-3</v>
          </cell>
          <cell r="Q59">
            <v>2.0138427935932263E-2</v>
          </cell>
          <cell r="R59">
            <v>1.7302619347657436E-2</v>
          </cell>
          <cell r="S59">
            <v>1</v>
          </cell>
        </row>
        <row r="60">
          <cell r="A60" t="str">
            <v>F101D</v>
          </cell>
          <cell r="B60" t="str">
            <v>Distribution Rate Base</v>
          </cell>
          <cell r="C60">
            <v>0</v>
          </cell>
          <cell r="D60">
            <v>0</v>
          </cell>
          <cell r="E60">
            <v>0</v>
          </cell>
          <cell r="F60">
            <v>0.57660712262796932</v>
          </cell>
          <cell r="G60">
            <v>0.23918842268196797</v>
          </cell>
          <cell r="H60">
            <v>6.556311904906631E-2</v>
          </cell>
          <cell r="I60">
            <v>1.2654865517756001E-2</v>
          </cell>
          <cell r="J60">
            <v>-2.4843182886082159E-5</v>
          </cell>
          <cell r="K60">
            <v>1.2403832878981582E-2</v>
          </cell>
          <cell r="L60">
            <v>4.8424208582078534E-4</v>
          </cell>
          <cell r="M60">
            <v>3.1572602268109263E-4</v>
          </cell>
          <cell r="N60">
            <v>9.179079119731684E-2</v>
          </cell>
          <cell r="O60">
            <v>7.1370337197621729E-4</v>
          </cell>
          <cell r="P60">
            <v>1.0065917048470323E-4</v>
          </cell>
          <cell r="Q60">
            <v>1.0145498212244967E-4</v>
          </cell>
          <cell r="R60">
            <v>1.0090359674253332E-4</v>
          </cell>
          <cell r="S60">
            <v>1</v>
          </cell>
        </row>
        <row r="61">
          <cell r="A61" t="str">
            <v>F101R</v>
          </cell>
          <cell r="B61" t="str">
            <v>Retail Rate Base</v>
          </cell>
          <cell r="C61">
            <v>0</v>
          </cell>
          <cell r="D61">
            <v>0</v>
          </cell>
          <cell r="E61">
            <v>0</v>
          </cell>
          <cell r="F61">
            <v>-3.6755537519483097</v>
          </cell>
          <cell r="G61">
            <v>7.3999564773730556E-2</v>
          </cell>
          <cell r="H61">
            <v>0.60387424979833171</v>
          </cell>
          <cell r="I61">
            <v>-5.6033058722564602E-2</v>
          </cell>
          <cell r="J61">
            <v>2.1250485311204321</v>
          </cell>
          <cell r="K61">
            <v>3.0985234679691318E-2</v>
          </cell>
          <cell r="L61">
            <v>-1.5584865733203284E-2</v>
          </cell>
          <cell r="M61">
            <v>-2.9753097980085149E-3</v>
          </cell>
          <cell r="N61">
            <v>1.412285515178362</v>
          </cell>
          <cell r="O61">
            <v>-9.2892521883968228E-5</v>
          </cell>
          <cell r="P61">
            <v>-8.4991158924146344E-5</v>
          </cell>
          <cell r="Q61">
            <v>0.50427520003501081</v>
          </cell>
          <cell r="R61">
            <v>-1.4342570266041808E-4</v>
          </cell>
          <cell r="S61">
            <v>1</v>
          </cell>
        </row>
        <row r="62">
          <cell r="A62" t="str">
            <v>F101M</v>
          </cell>
          <cell r="B62" t="str">
            <v>Misc Rate Base</v>
          </cell>
          <cell r="C62">
            <v>0</v>
          </cell>
          <cell r="D62">
            <v>0</v>
          </cell>
          <cell r="E62">
            <v>0</v>
          </cell>
          <cell r="F62">
            <v>0.37194479648276563</v>
          </cell>
          <cell r="G62">
            <v>0.27017472865114867</v>
          </cell>
          <cell r="H62">
            <v>8.6399066627692964E-2</v>
          </cell>
          <cell r="I62">
            <v>4.3838958740342413E-3</v>
          </cell>
          <cell r="J62">
            <v>0.14637292352103043</v>
          </cell>
          <cell r="K62">
            <v>7.9917244246912617E-3</v>
          </cell>
          <cell r="L62">
            <v>2.4733407066771136E-4</v>
          </cell>
          <cell r="M62">
            <v>4.1697866713456182E-4</v>
          </cell>
          <cell r="N62">
            <v>6.8699232623730316E-2</v>
          </cell>
          <cell r="O62">
            <v>6.1439919273320988E-4</v>
          </cell>
          <cell r="P62">
            <v>7.4454421015251364E-3</v>
          </cell>
          <cell r="Q62">
            <v>1.9893301994217572E-2</v>
          </cell>
          <cell r="R62">
            <v>1.5416175768628354E-2</v>
          </cell>
          <cell r="S62">
            <v>1</v>
          </cell>
        </row>
        <row r="63">
          <cell r="A63" t="str">
            <v>F102</v>
          </cell>
          <cell r="B63" t="str">
            <v>SGP - System Gross Plant</v>
          </cell>
          <cell r="C63">
            <v>0</v>
          </cell>
          <cell r="D63">
            <v>0</v>
          </cell>
          <cell r="E63">
            <v>0</v>
          </cell>
          <cell r="F63">
            <v>0.40699770433233362</v>
          </cell>
          <cell r="G63">
            <v>0.26604829024262955</v>
          </cell>
          <cell r="H63">
            <v>8.2358502052883642E-2</v>
          </cell>
          <cell r="I63">
            <v>5.9844966363501381E-3</v>
          </cell>
          <cell r="J63">
            <v>0.12315062656674258</v>
          </cell>
          <cell r="K63">
            <v>8.4484920904371388E-3</v>
          </cell>
          <cell r="L63">
            <v>2.7542354000494149E-4</v>
          </cell>
          <cell r="M63">
            <v>3.539347696718907E-4</v>
          </cell>
          <cell r="N63">
            <v>7.2502478242994509E-2</v>
          </cell>
          <cell r="O63">
            <v>6.3661179214994442E-4</v>
          </cell>
          <cell r="P63">
            <v>6.1343366117120202E-3</v>
          </cell>
          <cell r="Q63">
            <v>1.4734950200145411E-2</v>
          </cell>
          <cell r="R63">
            <v>1.2374152921944659E-2</v>
          </cell>
          <cell r="S63">
            <v>1</v>
          </cell>
        </row>
        <row r="64">
          <cell r="A64" t="str">
            <v>F102G</v>
          </cell>
          <cell r="B64" t="str">
            <v>SGGP - System Gross Generation Plant</v>
          </cell>
          <cell r="C64">
            <v>0</v>
          </cell>
          <cell r="D64">
            <v>0</v>
          </cell>
          <cell r="E64">
            <v>0</v>
          </cell>
          <cell r="F64">
            <v>0.34614840034762284</v>
          </cell>
          <cell r="G64">
            <v>0.27714190730544985</v>
          </cell>
          <cell r="H64">
            <v>8.8893933934608704E-2</v>
          </cell>
          <cell r="I64">
            <v>1.8411158366343089E-3</v>
          </cell>
          <cell r="J64">
            <v>0.16676583628548819</v>
          </cell>
          <cell r="K64">
            <v>7.0860901420777261E-3</v>
          </cell>
          <cell r="L64">
            <v>1.9995583660614694E-4</v>
          </cell>
          <cell r="M64">
            <v>3.6884508456680091E-4</v>
          </cell>
          <cell r="N64">
            <v>6.5486496063917571E-2</v>
          </cell>
          <cell r="O64">
            <v>6.1474885781010011E-4</v>
          </cell>
          <cell r="P64">
            <v>8.3923541517602687E-3</v>
          </cell>
          <cell r="Q64">
            <v>2.0243320875040226E-2</v>
          </cell>
          <cell r="R64">
            <v>1.6816995278417228E-2</v>
          </cell>
          <cell r="S64">
            <v>1</v>
          </cell>
        </row>
        <row r="65">
          <cell r="A65" t="str">
            <v>F102T</v>
          </cell>
          <cell r="B65" t="str">
            <v>SGTP - System Gross Transmission Plant</v>
          </cell>
          <cell r="C65">
            <v>0</v>
          </cell>
          <cell r="D65">
            <v>0</v>
          </cell>
          <cell r="E65">
            <v>0</v>
          </cell>
          <cell r="F65">
            <v>0.34340037373305027</v>
          </cell>
          <cell r="G65">
            <v>0.27494171416134194</v>
          </cell>
          <cell r="H65">
            <v>8.8188216687089913E-2</v>
          </cell>
          <cell r="I65">
            <v>1.826499460205872E-3</v>
          </cell>
          <cell r="J65">
            <v>0.17276601076781811</v>
          </cell>
          <cell r="K65">
            <v>7.0298346046142176E-3</v>
          </cell>
          <cell r="L65">
            <v>1.9836841352350088E-4</v>
          </cell>
          <cell r="M65">
            <v>3.6591687196195889E-4</v>
          </cell>
          <cell r="N65">
            <v>6.4966607386408096E-2</v>
          </cell>
          <cell r="O65">
            <v>6.0986844749809615E-4</v>
          </cell>
          <cell r="P65">
            <v>8.3638913257047861E-3</v>
          </cell>
          <cell r="Q65">
            <v>2.0082611813620106E-2</v>
          </cell>
          <cell r="R65">
            <v>1.7260086327163283E-2</v>
          </cell>
          <cell r="S65">
            <v>1</v>
          </cell>
        </row>
        <row r="66">
          <cell r="A66" t="str">
            <v>F102D</v>
          </cell>
          <cell r="B66" t="str">
            <v>SGDP - System Gross Distribution Plant</v>
          </cell>
          <cell r="C66">
            <v>0</v>
          </cell>
          <cell r="D66">
            <v>0</v>
          </cell>
          <cell r="E66">
            <v>0</v>
          </cell>
          <cell r="F66">
            <v>0.57228327124950928</v>
          </cell>
          <cell r="G66">
            <v>0.23812514611636967</v>
          </cell>
          <cell r="H66">
            <v>6.542531486363444E-2</v>
          </cell>
          <cell r="I66">
            <v>1.7098032327922709E-2</v>
          </cell>
          <cell r="J66">
            <v>1.3798204912094045E-3</v>
          </cell>
          <cell r="K66">
            <v>1.2144883461154256E-2</v>
          </cell>
          <cell r="L66">
            <v>4.7892714432723146E-4</v>
          </cell>
          <cell r="M66">
            <v>3.163811342316408E-4</v>
          </cell>
          <cell r="N66">
            <v>9.1726219433068079E-2</v>
          </cell>
          <cell r="O66">
            <v>6.9918422949930893E-4</v>
          </cell>
          <cell r="P66">
            <v>1.0760651635802231E-4</v>
          </cell>
          <cell r="Q66">
            <v>1.0760651635802231E-4</v>
          </cell>
          <cell r="R66">
            <v>1.0760651635802231E-4</v>
          </cell>
          <cell r="S66">
            <v>1</v>
          </cell>
        </row>
        <row r="67">
          <cell r="A67" t="str">
            <v>F102R</v>
          </cell>
          <cell r="B67" t="str">
            <v>SGTP - System Gross Retail Plant</v>
          </cell>
          <cell r="C67">
            <v>0</v>
          </cell>
          <cell r="D67">
            <v>0</v>
          </cell>
          <cell r="E67">
            <v>0</v>
          </cell>
          <cell r="F67">
            <v>0.40699770433233362</v>
          </cell>
          <cell r="G67">
            <v>0.26604829024262955</v>
          </cell>
          <cell r="H67">
            <v>8.2358502052883642E-2</v>
          </cell>
          <cell r="I67">
            <v>5.9844966363501381E-3</v>
          </cell>
          <cell r="J67">
            <v>0.12315062656674258</v>
          </cell>
          <cell r="K67">
            <v>8.4484920904371388E-3</v>
          </cell>
          <cell r="L67">
            <v>2.7542354000494149E-4</v>
          </cell>
          <cell r="M67">
            <v>3.539347696718907E-4</v>
          </cell>
          <cell r="N67">
            <v>7.2502478242994509E-2</v>
          </cell>
          <cell r="O67">
            <v>6.3661179214994442E-4</v>
          </cell>
          <cell r="P67">
            <v>6.1343366117120202E-3</v>
          </cell>
          <cell r="Q67">
            <v>1.4734950200145411E-2</v>
          </cell>
          <cell r="R67">
            <v>1.2374152921944659E-2</v>
          </cell>
          <cell r="S67">
            <v>1</v>
          </cell>
        </row>
        <row r="68">
          <cell r="A68" t="str">
            <v>F102M</v>
          </cell>
          <cell r="B68" t="str">
            <v>SGDP - System Gross Misc Plant</v>
          </cell>
          <cell r="C68">
            <v>0</v>
          </cell>
          <cell r="D68">
            <v>0</v>
          </cell>
          <cell r="E68">
            <v>0</v>
          </cell>
          <cell r="F68">
            <v>0.40699770433233362</v>
          </cell>
          <cell r="G68">
            <v>0.26604829024262955</v>
          </cell>
          <cell r="H68">
            <v>8.2358502052883642E-2</v>
          </cell>
          <cell r="I68">
            <v>5.9844966363501381E-3</v>
          </cell>
          <cell r="J68">
            <v>0.12315062656674258</v>
          </cell>
          <cell r="K68">
            <v>8.4484920904371388E-3</v>
          </cell>
          <cell r="L68">
            <v>2.7542354000494149E-4</v>
          </cell>
          <cell r="M68">
            <v>3.539347696718907E-4</v>
          </cell>
          <cell r="N68">
            <v>7.2502478242994509E-2</v>
          </cell>
          <cell r="O68">
            <v>6.3661179214994442E-4</v>
          </cell>
          <cell r="P68">
            <v>6.1343366117120202E-3</v>
          </cell>
          <cell r="Q68">
            <v>1.4734950200145411E-2</v>
          </cell>
          <cell r="R68">
            <v>1.2374152921944659E-2</v>
          </cell>
          <cell r="S68">
            <v>1</v>
          </cell>
        </row>
        <row r="69">
          <cell r="A69" t="str">
            <v>F103</v>
          </cell>
          <cell r="B69" t="str">
            <v>SGP - System Gross Plant (Regulatory fees)</v>
          </cell>
          <cell r="C69">
            <v>0</v>
          </cell>
          <cell r="D69">
            <v>0</v>
          </cell>
          <cell r="E69">
            <v>0</v>
          </cell>
          <cell r="F69">
            <v>0.25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0.25</v>
          </cell>
          <cell r="L69">
            <v>0</v>
          </cell>
          <cell r="M69">
            <v>0</v>
          </cell>
          <cell r="N69">
            <v>0.25</v>
          </cell>
          <cell r="O69">
            <v>0.25</v>
          </cell>
          <cell r="P69">
            <v>0</v>
          </cell>
          <cell r="Q69">
            <v>0</v>
          </cell>
          <cell r="R69">
            <v>0</v>
          </cell>
          <cell r="S69">
            <v>1</v>
          </cell>
        </row>
        <row r="70">
          <cell r="A70" t="str">
            <v>F104</v>
          </cell>
          <cell r="B70" t="str">
            <v>SNP - System Net Plant</v>
          </cell>
          <cell r="C70">
            <v>0</v>
          </cell>
          <cell r="D70">
            <v>0</v>
          </cell>
          <cell r="E70">
            <v>0</v>
          </cell>
          <cell r="F70">
            <v>0.40685137361051088</v>
          </cell>
          <cell r="G70">
            <v>0.26565191032875735</v>
          </cell>
          <cell r="H70">
            <v>8.2420700219701909E-2</v>
          </cell>
          <cell r="I70">
            <v>4.7494781898919499E-3</v>
          </cell>
          <cell r="J70">
            <v>0.12422881700322501</v>
          </cell>
          <cell r="K70">
            <v>8.5005894274748379E-3</v>
          </cell>
          <cell r="L70">
            <v>2.8258285306598328E-4</v>
          </cell>
          <cell r="M70">
            <v>3.6611178844853088E-4</v>
          </cell>
          <cell r="N70">
            <v>7.2376855493827622E-2</v>
          </cell>
          <cell r="O70">
            <v>6.3680534764103645E-4</v>
          </cell>
          <cell r="P70">
            <v>6.2004998076277094E-3</v>
          </cell>
          <cell r="Q70">
            <v>1.5161025682856153E-2</v>
          </cell>
          <cell r="R70">
            <v>1.2573250246971352E-2</v>
          </cell>
          <cell r="S70">
            <v>1</v>
          </cell>
        </row>
        <row r="71">
          <cell r="A71" t="str">
            <v>F104G</v>
          </cell>
          <cell r="B71" t="str">
            <v>SNP - System Net Generation Plant</v>
          </cell>
          <cell r="C71">
            <v>0</v>
          </cell>
          <cell r="D71">
            <v>0</v>
          </cell>
          <cell r="E71">
            <v>0</v>
          </cell>
          <cell r="F71">
            <v>0.34420642446377425</v>
          </cell>
          <cell r="G71">
            <v>0.27689359500204153</v>
          </cell>
          <cell r="H71">
            <v>8.9175871851307834E-2</v>
          </cell>
          <cell r="I71">
            <v>1.9180536924996142E-3</v>
          </cell>
          <cell r="J71">
            <v>0.16765159235120625</v>
          </cell>
          <cell r="K71">
            <v>7.1298868617589656E-3</v>
          </cell>
          <cell r="L71">
            <v>2.0164023661130938E-4</v>
          </cell>
          <cell r="M71">
            <v>3.8380810841633751E-4</v>
          </cell>
          <cell r="N71">
            <v>6.5326005322296668E-2</v>
          </cell>
          <cell r="O71">
            <v>6.1149227299897113E-4</v>
          </cell>
          <cell r="P71">
            <v>8.4671711418651697E-3</v>
          </cell>
          <cell r="Q71">
            <v>2.0947260969540159E-2</v>
          </cell>
          <cell r="R71">
            <v>1.7087197725683005E-2</v>
          </cell>
          <cell r="S71">
            <v>1</v>
          </cell>
        </row>
        <row r="72">
          <cell r="A72" t="str">
            <v>F104T</v>
          </cell>
          <cell r="B72" t="str">
            <v>SNP - System Net Transmission Plant</v>
          </cell>
          <cell r="C72">
            <v>0</v>
          </cell>
          <cell r="D72">
            <v>0</v>
          </cell>
          <cell r="E72">
            <v>0</v>
          </cell>
          <cell r="F72">
            <v>0.34340052398237036</v>
          </cell>
          <cell r="G72">
            <v>0.27494183445767456</v>
          </cell>
          <cell r="H72">
            <v>8.8188255272428212E-2</v>
          </cell>
          <cell r="I72">
            <v>1.8265002593613857E-3</v>
          </cell>
          <cell r="J72">
            <v>0.17276568270617143</v>
          </cell>
          <cell r="K72">
            <v>7.0298376804054808E-3</v>
          </cell>
          <cell r="L72">
            <v>1.9836850031641534E-4</v>
          </cell>
          <cell r="M72">
            <v>3.6591703206301121E-4</v>
          </cell>
          <cell r="N72">
            <v>6.4966635811504095E-2</v>
          </cell>
          <cell r="O72">
            <v>6.0986871433624365E-4</v>
          </cell>
          <cell r="P72">
            <v>8.3638928819197954E-3</v>
          </cell>
          <cell r="Q72">
            <v>2.0082620600444471E-2</v>
          </cell>
          <cell r="R72">
            <v>1.7260062101004607E-2</v>
          </cell>
          <cell r="S72">
            <v>1</v>
          </cell>
        </row>
        <row r="73">
          <cell r="A73" t="str">
            <v>F104D</v>
          </cell>
          <cell r="B73" t="str">
            <v>SNP - System Net Distribution Plant</v>
          </cell>
          <cell r="C73">
            <v>0</v>
          </cell>
          <cell r="D73">
            <v>0</v>
          </cell>
          <cell r="E73">
            <v>0</v>
          </cell>
          <cell r="F73">
            <v>0.57613045334718493</v>
          </cell>
          <cell r="G73">
            <v>0.23846417633296926</v>
          </cell>
          <cell r="H73">
            <v>6.5362943553253811E-2</v>
          </cell>
          <cell r="I73">
            <v>1.2575185943177299E-2</v>
          </cell>
          <cell r="J73">
            <v>1.2791519146759583E-3</v>
          </cell>
          <cell r="K73">
            <v>1.2403440118704276E-2</v>
          </cell>
          <cell r="L73">
            <v>4.897227255862617E-4</v>
          </cell>
          <cell r="M73">
            <v>3.3148038799609412E-4</v>
          </cell>
          <cell r="N73">
            <v>9.1950992239916401E-2</v>
          </cell>
          <cell r="O73">
            <v>7.1318607029246595E-4</v>
          </cell>
          <cell r="P73">
            <v>9.9755788747802202E-5</v>
          </cell>
          <cell r="Q73">
            <v>9.9755788747802202E-5</v>
          </cell>
          <cell r="R73">
            <v>9.9755788747802202E-5</v>
          </cell>
          <cell r="S73">
            <v>1</v>
          </cell>
        </row>
        <row r="74">
          <cell r="A74" t="str">
            <v>F104R</v>
          </cell>
          <cell r="B74" t="str">
            <v>SNP - System Net Retail Plant</v>
          </cell>
          <cell r="C74">
            <v>0</v>
          </cell>
          <cell r="D74">
            <v>0</v>
          </cell>
          <cell r="E74">
            <v>0</v>
          </cell>
          <cell r="F74">
            <v>0.87164885972756267</v>
          </cell>
          <cell r="G74">
            <v>1.8711933791347925E-2</v>
          </cell>
          <cell r="H74">
            <v>3.6111608455106865E-4</v>
          </cell>
          <cell r="I74">
            <v>1.0725084478773038E-2</v>
          </cell>
          <cell r="J74">
            <v>1.5428423563938244E-3</v>
          </cell>
          <cell r="K74">
            <v>3.5449745149797318E-3</v>
          </cell>
          <cell r="L74">
            <v>2.4800185530835465E-3</v>
          </cell>
          <cell r="M74">
            <v>5.2164383112987165E-4</v>
          </cell>
          <cell r="N74">
            <v>9.0421278399340152E-2</v>
          </cell>
          <cell r="O74">
            <v>1.3319968655183395E-5</v>
          </cell>
          <cell r="P74">
            <v>9.6427647274614109E-6</v>
          </cell>
          <cell r="Q74">
            <v>9.6427647274614109E-6</v>
          </cell>
          <cell r="R74">
            <v>9.6427647274614109E-6</v>
          </cell>
          <cell r="S74">
            <v>1</v>
          </cell>
        </row>
        <row r="75">
          <cell r="A75" t="str">
            <v>F104M</v>
          </cell>
          <cell r="B75" t="str">
            <v>SNP - System Net Misc Plant</v>
          </cell>
          <cell r="C75">
            <v>0</v>
          </cell>
          <cell r="D75">
            <v>0</v>
          </cell>
          <cell r="E75">
            <v>0</v>
          </cell>
          <cell r="F75">
            <v>0.40685137361051088</v>
          </cell>
          <cell r="G75">
            <v>0.26565191032875735</v>
          </cell>
          <cell r="H75">
            <v>8.2420700219701909E-2</v>
          </cell>
          <cell r="I75">
            <v>4.7494781898919499E-3</v>
          </cell>
          <cell r="J75">
            <v>0.12422881700322501</v>
          </cell>
          <cell r="K75">
            <v>8.5005894274748379E-3</v>
          </cell>
          <cell r="L75">
            <v>2.8258285306598328E-4</v>
          </cell>
          <cell r="M75">
            <v>3.6611178844853088E-4</v>
          </cell>
          <cell r="N75">
            <v>7.2376855493827622E-2</v>
          </cell>
          <cell r="O75">
            <v>6.3680534764103645E-4</v>
          </cell>
          <cell r="P75">
            <v>6.2004998076277094E-3</v>
          </cell>
          <cell r="Q75">
            <v>1.5161025682856153E-2</v>
          </cell>
          <cell r="R75">
            <v>1.2573250246971352E-2</v>
          </cell>
          <cell r="S75">
            <v>1</v>
          </cell>
        </row>
        <row r="76">
          <cell r="A76" t="str">
            <v>F105</v>
          </cell>
          <cell r="B76" t="str">
            <v>STP - System Prod &amp; Trans Plant</v>
          </cell>
          <cell r="C76">
            <v>0</v>
          </cell>
          <cell r="D76">
            <v>0</v>
          </cell>
          <cell r="E76">
            <v>0</v>
          </cell>
          <cell r="F76">
            <v>0.34530906154292762</v>
          </cell>
          <cell r="G76">
            <v>0.27646989507897385</v>
          </cell>
          <cell r="H76">
            <v>8.8678384395225004E-2</v>
          </cell>
          <cell r="I76">
            <v>1.8366515087215572E-3</v>
          </cell>
          <cell r="J76">
            <v>0.16859848930684371</v>
          </cell>
          <cell r="K76">
            <v>7.0689078282960031E-3</v>
          </cell>
          <cell r="L76">
            <v>1.9947098475439691E-4</v>
          </cell>
          <cell r="M76">
            <v>3.6795071096262674E-4</v>
          </cell>
          <cell r="N76">
            <v>6.5327704755696089E-2</v>
          </cell>
          <cell r="O76">
            <v>6.1325821804119197E-4</v>
          </cell>
          <cell r="P76">
            <v>8.3836606572093176E-3</v>
          </cell>
          <cell r="Q76">
            <v>2.0194234977982041E-2</v>
          </cell>
          <cell r="R76">
            <v>1.6952330034366647E-2</v>
          </cell>
          <cell r="S76">
            <v>1</v>
          </cell>
        </row>
        <row r="77">
          <cell r="A77" t="str">
            <v>F105G</v>
          </cell>
          <cell r="B77" t="str">
            <v>SGGP - System Gross Generation Plant</v>
          </cell>
          <cell r="C77">
            <v>0</v>
          </cell>
          <cell r="D77">
            <v>0</v>
          </cell>
          <cell r="E77">
            <v>0</v>
          </cell>
          <cell r="F77">
            <v>0.34614840034762284</v>
          </cell>
          <cell r="G77">
            <v>0.27714190730544985</v>
          </cell>
          <cell r="H77">
            <v>8.8893933934608704E-2</v>
          </cell>
          <cell r="I77">
            <v>1.8411158366343089E-3</v>
          </cell>
          <cell r="J77">
            <v>0.16676583628548819</v>
          </cell>
          <cell r="K77">
            <v>7.0860901420777261E-3</v>
          </cell>
          <cell r="L77">
            <v>1.9995583660614694E-4</v>
          </cell>
          <cell r="M77">
            <v>3.6884508456680091E-4</v>
          </cell>
          <cell r="N77">
            <v>6.5486496063917571E-2</v>
          </cell>
          <cell r="O77">
            <v>6.1474885781010011E-4</v>
          </cell>
          <cell r="P77">
            <v>8.3923541517602687E-3</v>
          </cell>
          <cell r="Q77">
            <v>2.0243320875040226E-2</v>
          </cell>
          <cell r="R77">
            <v>1.6816995278417228E-2</v>
          </cell>
          <cell r="S77">
            <v>1</v>
          </cell>
        </row>
        <row r="78">
          <cell r="A78" t="str">
            <v>F105T</v>
          </cell>
          <cell r="B78" t="str">
            <v>SGTP - System Gross Transmission Plant</v>
          </cell>
          <cell r="C78">
            <v>0</v>
          </cell>
          <cell r="D78">
            <v>0</v>
          </cell>
          <cell r="E78">
            <v>0</v>
          </cell>
          <cell r="F78">
            <v>0.34340037373305027</v>
          </cell>
          <cell r="G78">
            <v>0.27494171416134194</v>
          </cell>
          <cell r="H78">
            <v>8.8188216687089913E-2</v>
          </cell>
          <cell r="I78">
            <v>1.826499460205872E-3</v>
          </cell>
          <cell r="J78">
            <v>0.17276601076781811</v>
          </cell>
          <cell r="K78">
            <v>7.0298346046142176E-3</v>
          </cell>
          <cell r="L78">
            <v>1.9836841352350088E-4</v>
          </cell>
          <cell r="M78">
            <v>3.6591687196195889E-4</v>
          </cell>
          <cell r="N78">
            <v>6.4966607386408096E-2</v>
          </cell>
          <cell r="O78">
            <v>6.0986844749809615E-4</v>
          </cell>
          <cell r="P78">
            <v>8.3638913257047861E-3</v>
          </cell>
          <cell r="Q78">
            <v>2.0082611813620106E-2</v>
          </cell>
          <cell r="R78">
            <v>1.7260086327163283E-2</v>
          </cell>
          <cell r="S78">
            <v>1</v>
          </cell>
        </row>
        <row r="79">
          <cell r="A79" t="str">
            <v>F105D</v>
          </cell>
          <cell r="B79" t="str">
            <v>SGDP - System Gross Distribution Plant</v>
          </cell>
          <cell r="C79">
            <v>0</v>
          </cell>
          <cell r="D79">
            <v>0</v>
          </cell>
          <cell r="E79">
            <v>0</v>
          </cell>
          <cell r="F79">
            <v>7.6923076923076927E-2</v>
          </cell>
          <cell r="G79">
            <v>7.6923076923076927E-2</v>
          </cell>
          <cell r="H79">
            <v>7.6923076923076927E-2</v>
          </cell>
          <cell r="I79">
            <v>7.6923076923076927E-2</v>
          </cell>
          <cell r="J79">
            <v>7.6923076923076927E-2</v>
          </cell>
          <cell r="K79">
            <v>7.6923076923076927E-2</v>
          </cell>
          <cell r="L79">
            <v>7.6923076923076927E-2</v>
          </cell>
          <cell r="M79">
            <v>7.6923076923076927E-2</v>
          </cell>
          <cell r="N79">
            <v>7.6923076923076927E-2</v>
          </cell>
          <cell r="O79">
            <v>7.6923076923076927E-2</v>
          </cell>
          <cell r="P79">
            <v>7.6923076923076927E-2</v>
          </cell>
          <cell r="Q79">
            <v>7.6923076923076927E-2</v>
          </cell>
          <cell r="R79">
            <v>7.6923076923076927E-2</v>
          </cell>
          <cell r="S79">
            <v>1</v>
          </cell>
        </row>
        <row r="80">
          <cell r="A80" t="str">
            <v>F105R</v>
          </cell>
          <cell r="B80" t="str">
            <v>SGTP - System Gross Retail Plant</v>
          </cell>
          <cell r="C80">
            <v>0</v>
          </cell>
          <cell r="D80">
            <v>0</v>
          </cell>
          <cell r="E80">
            <v>0</v>
          </cell>
          <cell r="F80">
            <v>7.6923076923076927E-2</v>
          </cell>
          <cell r="G80">
            <v>7.6923076923076927E-2</v>
          </cell>
          <cell r="H80">
            <v>7.6923076923076927E-2</v>
          </cell>
          <cell r="I80">
            <v>7.6923076923076927E-2</v>
          </cell>
          <cell r="J80">
            <v>7.6923076923076927E-2</v>
          </cell>
          <cell r="K80">
            <v>7.6923076923076927E-2</v>
          </cell>
          <cell r="L80">
            <v>7.6923076923076927E-2</v>
          </cell>
          <cell r="M80">
            <v>7.6923076923076927E-2</v>
          </cell>
          <cell r="N80">
            <v>7.6923076923076927E-2</v>
          </cell>
          <cell r="O80">
            <v>7.6923076923076927E-2</v>
          </cell>
          <cell r="P80">
            <v>7.6923076923076927E-2</v>
          </cell>
          <cell r="Q80">
            <v>7.6923076923076927E-2</v>
          </cell>
          <cell r="R80">
            <v>7.6923076923076927E-2</v>
          </cell>
          <cell r="S80">
            <v>1</v>
          </cell>
        </row>
        <row r="81">
          <cell r="A81" t="str">
            <v>F105M</v>
          </cell>
          <cell r="B81" t="str">
            <v>SGDP - System Gross Misc Plant</v>
          </cell>
          <cell r="C81">
            <v>0</v>
          </cell>
          <cell r="D81">
            <v>0</v>
          </cell>
          <cell r="E81">
            <v>0</v>
          </cell>
          <cell r="F81">
            <v>7.6923076923076927E-2</v>
          </cell>
          <cell r="G81">
            <v>7.6923076923076927E-2</v>
          </cell>
          <cell r="H81">
            <v>7.6923076923076927E-2</v>
          </cell>
          <cell r="I81">
            <v>7.6923076923076927E-2</v>
          </cell>
          <cell r="J81">
            <v>7.6923076923076927E-2</v>
          </cell>
          <cell r="K81">
            <v>7.6923076923076927E-2</v>
          </cell>
          <cell r="L81">
            <v>7.6923076923076927E-2</v>
          </cell>
          <cell r="M81">
            <v>7.6923076923076927E-2</v>
          </cell>
          <cell r="N81">
            <v>7.6923076923076927E-2</v>
          </cell>
          <cell r="O81">
            <v>7.6923076923076927E-2</v>
          </cell>
          <cell r="P81">
            <v>7.6923076923076927E-2</v>
          </cell>
          <cell r="Q81">
            <v>7.6923076923076927E-2</v>
          </cell>
          <cell r="R81">
            <v>7.6923076923076927E-2</v>
          </cell>
          <cell r="S81">
            <v>1</v>
          </cell>
        </row>
        <row r="82">
          <cell r="A82" t="str">
            <v>F106</v>
          </cell>
          <cell r="B82" t="str">
            <v>STP - System Transmission Plant</v>
          </cell>
          <cell r="C82">
            <v>0</v>
          </cell>
          <cell r="D82">
            <v>0</v>
          </cell>
          <cell r="E82">
            <v>0</v>
          </cell>
          <cell r="F82">
            <v>0.34340037373305027</v>
          </cell>
          <cell r="G82">
            <v>0.27494171416134194</v>
          </cell>
          <cell r="H82">
            <v>8.8188216687089913E-2</v>
          </cell>
          <cell r="I82">
            <v>1.826499460205872E-3</v>
          </cell>
          <cell r="J82">
            <v>0.17276601076781811</v>
          </cell>
          <cell r="K82">
            <v>7.0298346046142176E-3</v>
          </cell>
          <cell r="L82">
            <v>1.9836841352350088E-4</v>
          </cell>
          <cell r="M82">
            <v>3.6591687196195889E-4</v>
          </cell>
          <cell r="N82">
            <v>6.4966607386408096E-2</v>
          </cell>
          <cell r="O82">
            <v>6.0986844749809615E-4</v>
          </cell>
          <cell r="P82">
            <v>8.3638913257047861E-3</v>
          </cell>
          <cell r="Q82">
            <v>2.0082611813620106E-2</v>
          </cell>
          <cell r="R82">
            <v>1.7260086327163283E-2</v>
          </cell>
          <cell r="S82">
            <v>1</v>
          </cell>
        </row>
        <row r="83">
          <cell r="A83" t="str">
            <v>F107</v>
          </cell>
          <cell r="B83" t="str">
            <v>STP - System Trans &amp; Dist Plant</v>
          </cell>
          <cell r="C83">
            <v>0</v>
          </cell>
          <cell r="D83">
            <v>0</v>
          </cell>
          <cell r="E83">
            <v>0</v>
          </cell>
          <cell r="F83">
            <v>0.4692734113239776</v>
          </cell>
          <cell r="G83">
            <v>0.2546946214175056</v>
          </cell>
          <cell r="H83">
            <v>7.5669869409979079E-2</v>
          </cell>
          <cell r="I83">
            <v>1.0225004772692023E-2</v>
          </cell>
          <cell r="J83">
            <v>7.8513008008177287E-2</v>
          </cell>
          <cell r="K83">
            <v>9.8428308746933094E-3</v>
          </cell>
          <cell r="L83">
            <v>3.5266032459292163E-4</v>
          </cell>
          <cell r="M83">
            <v>3.3867493363856676E-4</v>
          </cell>
          <cell r="N83">
            <v>7.9682926035011564E-2</v>
          </cell>
          <cell r="O83">
            <v>6.5898722791939558E-4</v>
          </cell>
          <cell r="P83">
            <v>3.8233876032998581E-3</v>
          </cell>
          <cell r="Q83">
            <v>9.0974546876691001E-3</v>
          </cell>
          <cell r="R83">
            <v>7.8271633808437279E-3</v>
          </cell>
          <cell r="S83">
            <v>1</v>
          </cell>
        </row>
        <row r="84">
          <cell r="A84" t="str">
            <v>F107G</v>
          </cell>
          <cell r="B84" t="str">
            <v>SGGP - System Gross Generation Plant</v>
          </cell>
          <cell r="C84">
            <v>0</v>
          </cell>
          <cell r="D84">
            <v>0</v>
          </cell>
          <cell r="E84">
            <v>0</v>
          </cell>
          <cell r="F84">
            <v>0.34614840034762284</v>
          </cell>
          <cell r="G84">
            <v>0.27714190730544985</v>
          </cell>
          <cell r="H84">
            <v>8.8893933934608704E-2</v>
          </cell>
          <cell r="I84">
            <v>1.8411158366343089E-3</v>
          </cell>
          <cell r="J84">
            <v>0.16676583628548819</v>
          </cell>
          <cell r="K84">
            <v>7.0860901420777261E-3</v>
          </cell>
          <cell r="L84">
            <v>1.9995583660614694E-4</v>
          </cell>
          <cell r="M84">
            <v>3.6884508456680091E-4</v>
          </cell>
          <cell r="N84">
            <v>6.5486496063917571E-2</v>
          </cell>
          <cell r="O84">
            <v>6.1474885781010011E-4</v>
          </cell>
          <cell r="P84">
            <v>8.3923541517602687E-3</v>
          </cell>
          <cell r="Q84">
            <v>2.0243320875040226E-2</v>
          </cell>
          <cell r="R84">
            <v>1.6816995278417228E-2</v>
          </cell>
          <cell r="S84">
            <v>1</v>
          </cell>
        </row>
        <row r="85">
          <cell r="A85" t="str">
            <v>F107T</v>
          </cell>
          <cell r="B85" t="str">
            <v>SGTP - System Gross Transmission Plant</v>
          </cell>
          <cell r="C85">
            <v>0</v>
          </cell>
          <cell r="D85">
            <v>0</v>
          </cell>
          <cell r="E85">
            <v>0</v>
          </cell>
          <cell r="F85">
            <v>0.34340037373305027</v>
          </cell>
          <cell r="G85">
            <v>0.27494171416134194</v>
          </cell>
          <cell r="H85">
            <v>8.8188216687089913E-2</v>
          </cell>
          <cell r="I85">
            <v>1.826499460205872E-3</v>
          </cell>
          <cell r="J85">
            <v>0.17276601076781811</v>
          </cell>
          <cell r="K85">
            <v>7.0298346046142176E-3</v>
          </cell>
          <cell r="L85">
            <v>1.9836841352350088E-4</v>
          </cell>
          <cell r="M85">
            <v>3.6591687196195889E-4</v>
          </cell>
          <cell r="N85">
            <v>6.4966607386408096E-2</v>
          </cell>
          <cell r="O85">
            <v>6.0986844749809615E-4</v>
          </cell>
          <cell r="P85">
            <v>8.3638913257047861E-3</v>
          </cell>
          <cell r="Q85">
            <v>2.0082611813620106E-2</v>
          </cell>
          <cell r="R85">
            <v>1.7260086327163283E-2</v>
          </cell>
          <cell r="S85">
            <v>1</v>
          </cell>
        </row>
        <row r="86">
          <cell r="A86" t="str">
            <v>F107D</v>
          </cell>
          <cell r="B86" t="str">
            <v>SGDP - System Gross Distribution Plant</v>
          </cell>
          <cell r="C86">
            <v>0</v>
          </cell>
          <cell r="D86">
            <v>0</v>
          </cell>
          <cell r="E86">
            <v>0</v>
          </cell>
          <cell r="F86">
            <v>0.57228327124950928</v>
          </cell>
          <cell r="G86">
            <v>0.23812514611636967</v>
          </cell>
          <cell r="H86">
            <v>6.542531486363444E-2</v>
          </cell>
          <cell r="I86">
            <v>1.7098032327922709E-2</v>
          </cell>
          <cell r="J86">
            <v>1.3798204912094045E-3</v>
          </cell>
          <cell r="K86">
            <v>1.2144883461154256E-2</v>
          </cell>
          <cell r="L86">
            <v>4.7892714432723146E-4</v>
          </cell>
          <cell r="M86">
            <v>3.163811342316408E-4</v>
          </cell>
          <cell r="N86">
            <v>9.1726219433068079E-2</v>
          </cell>
          <cell r="O86">
            <v>6.9918422949930893E-4</v>
          </cell>
          <cell r="P86">
            <v>1.0760651635802231E-4</v>
          </cell>
          <cell r="Q86">
            <v>1.0760651635802231E-4</v>
          </cell>
          <cell r="R86">
            <v>1.0760651635802231E-4</v>
          </cell>
          <cell r="S86">
            <v>1</v>
          </cell>
        </row>
        <row r="87">
          <cell r="A87" t="str">
            <v>F107R</v>
          </cell>
          <cell r="B87" t="str">
            <v>SGTP - System Gross Retail Plant</v>
          </cell>
          <cell r="C87">
            <v>0</v>
          </cell>
          <cell r="D87">
            <v>0</v>
          </cell>
          <cell r="E87">
            <v>0</v>
          </cell>
          <cell r="F87">
            <v>0.57228327124950928</v>
          </cell>
          <cell r="G87">
            <v>0.23812514611636967</v>
          </cell>
          <cell r="H87">
            <v>6.542531486363444E-2</v>
          </cell>
          <cell r="I87">
            <v>1.7098032327922709E-2</v>
          </cell>
          <cell r="J87">
            <v>1.3798204912094045E-3</v>
          </cell>
          <cell r="K87">
            <v>1.2144883461154256E-2</v>
          </cell>
          <cell r="L87">
            <v>4.7892714432723146E-4</v>
          </cell>
          <cell r="M87">
            <v>3.163811342316408E-4</v>
          </cell>
          <cell r="N87">
            <v>9.1726219433068079E-2</v>
          </cell>
          <cell r="O87">
            <v>6.9918422949930893E-4</v>
          </cell>
          <cell r="P87">
            <v>1.0760651635802231E-4</v>
          </cell>
          <cell r="Q87">
            <v>1.0760651635802231E-4</v>
          </cell>
          <cell r="R87">
            <v>1.0760651635802231E-4</v>
          </cell>
          <cell r="S87">
            <v>1</v>
          </cell>
        </row>
        <row r="88">
          <cell r="A88" t="str">
            <v>F107M</v>
          </cell>
          <cell r="B88" t="str">
            <v>SGDP - System Gross Misc Plant</v>
          </cell>
          <cell r="C88">
            <v>0</v>
          </cell>
          <cell r="D88">
            <v>0</v>
          </cell>
          <cell r="E88">
            <v>0</v>
          </cell>
          <cell r="F88">
            <v>0.57228327124950928</v>
          </cell>
          <cell r="G88">
            <v>0.23812514611636967</v>
          </cell>
          <cell r="H88">
            <v>6.542531486363444E-2</v>
          </cell>
          <cell r="I88">
            <v>1.7098032327922709E-2</v>
          </cell>
          <cell r="J88">
            <v>1.3798204912094045E-3</v>
          </cell>
          <cell r="K88">
            <v>1.2144883461154256E-2</v>
          </cell>
          <cell r="L88">
            <v>4.7892714432723146E-4</v>
          </cell>
          <cell r="M88">
            <v>3.163811342316408E-4</v>
          </cell>
          <cell r="N88">
            <v>9.1726219433068079E-2</v>
          </cell>
          <cell r="O88">
            <v>6.9918422949930893E-4</v>
          </cell>
          <cell r="P88">
            <v>1.0760651635802231E-4</v>
          </cell>
          <cell r="Q88">
            <v>1.0760651635802231E-4</v>
          </cell>
          <cell r="R88">
            <v>1.0760651635802231E-4</v>
          </cell>
          <cell r="S88">
            <v>1</v>
          </cell>
        </row>
        <row r="89">
          <cell r="A89" t="str">
            <v>F108</v>
          </cell>
          <cell r="B89" t="str">
            <v>SGP - System General Plant</v>
          </cell>
          <cell r="C89">
            <v>0</v>
          </cell>
          <cell r="D89">
            <v>0</v>
          </cell>
          <cell r="E89">
            <v>0</v>
          </cell>
          <cell r="F89">
            <v>0.39962058657514998</v>
          </cell>
          <cell r="G89">
            <v>0.25900517637058285</v>
          </cell>
          <cell r="H89">
            <v>8.3226556285771428E-2</v>
          </cell>
          <cell r="I89">
            <v>6.830129603004333E-3</v>
          </cell>
          <cell r="J89">
            <v>0.12781242537183371</v>
          </cell>
          <cell r="K89">
            <v>8.7692265619291488E-3</v>
          </cell>
          <cell r="L89">
            <v>3.3421007919502292E-4</v>
          </cell>
          <cell r="M89">
            <v>4.9056652826668149E-4</v>
          </cell>
          <cell r="N89">
            <v>7.1553649843376213E-2</v>
          </cell>
          <cell r="O89">
            <v>5.9617115742151337E-4</v>
          </cell>
          <cell r="P89">
            <v>6.6494423035403797E-3</v>
          </cell>
          <cell r="Q89">
            <v>2.0650636111612497E-2</v>
          </cell>
          <cell r="R89">
            <v>1.4461223208316328E-2</v>
          </cell>
          <cell r="S89">
            <v>1</v>
          </cell>
        </row>
        <row r="90">
          <cell r="A90" t="str">
            <v>F108G</v>
          </cell>
          <cell r="B90" t="str">
            <v>SGGP - System Gen Generation Plant</v>
          </cell>
          <cell r="C90">
            <v>0</v>
          </cell>
          <cell r="D90">
            <v>0</v>
          </cell>
          <cell r="E90">
            <v>0</v>
          </cell>
          <cell r="F90">
            <v>0.31305531109819079</v>
          </cell>
          <cell r="G90">
            <v>0.27291043291549044</v>
          </cell>
          <cell r="H90">
            <v>9.3698420291891682E-2</v>
          </cell>
          <cell r="I90">
            <v>3.1522090134272797E-3</v>
          </cell>
          <cell r="J90">
            <v>0.181859949852924</v>
          </cell>
          <cell r="K90">
            <v>7.8324272955398212E-3</v>
          </cell>
          <cell r="L90">
            <v>2.2865959146025518E-4</v>
          </cell>
          <cell r="M90">
            <v>6.2382903560987107E-4</v>
          </cell>
          <cell r="N90">
            <v>6.2751583400819919E-2</v>
          </cell>
          <cell r="O90">
            <v>5.5925360027401876E-4</v>
          </cell>
          <cell r="P90">
            <v>9.6673057881361234E-3</v>
          </cell>
          <cell r="Q90">
            <v>3.2239119879182328E-2</v>
          </cell>
          <cell r="R90">
            <v>2.1421498237053457E-2</v>
          </cell>
          <cell r="S90">
            <v>1</v>
          </cell>
        </row>
        <row r="91">
          <cell r="A91" t="str">
            <v>F108T</v>
          </cell>
          <cell r="B91" t="str">
            <v>SGTP - System Gen Transmission Plant</v>
          </cell>
          <cell r="C91">
            <v>0</v>
          </cell>
          <cell r="D91">
            <v>0</v>
          </cell>
          <cell r="E91">
            <v>0</v>
          </cell>
          <cell r="F91">
            <v>0.34340257188918805</v>
          </cell>
          <cell r="G91">
            <v>0.27494347410356312</v>
          </cell>
          <cell r="H91">
            <v>8.818878119279408E-2</v>
          </cell>
          <cell r="I91">
            <v>1.8265111518966973E-3</v>
          </cell>
          <cell r="J91">
            <v>0.17276121120718207</v>
          </cell>
          <cell r="K91">
            <v>7.0298796036161564E-3</v>
          </cell>
          <cell r="L91">
            <v>1.9836968330879838E-4</v>
          </cell>
          <cell r="M91">
            <v>3.6591921424950294E-4</v>
          </cell>
          <cell r="N91">
            <v>6.4967023247186645E-2</v>
          </cell>
          <cell r="O91">
            <v>6.0987235135544075E-4</v>
          </cell>
          <cell r="P91">
            <v>8.3639140932192848E-3</v>
          </cell>
          <cell r="Q91">
            <v>2.0082740365362613E-2</v>
          </cell>
          <cell r="R91">
            <v>1.7259731897077621E-2</v>
          </cell>
          <cell r="S91">
            <v>1</v>
          </cell>
        </row>
        <row r="92">
          <cell r="A92" t="str">
            <v>F108D</v>
          </cell>
          <cell r="B92" t="str">
            <v>SGDP - System Gen Distribution Plant</v>
          </cell>
          <cell r="C92">
            <v>0</v>
          </cell>
          <cell r="D92">
            <v>0</v>
          </cell>
          <cell r="E92">
            <v>0</v>
          </cell>
          <cell r="F92">
            <v>0.5722832712495094</v>
          </cell>
          <cell r="G92">
            <v>0.23812514611636967</v>
          </cell>
          <cell r="H92">
            <v>6.542531486363444E-2</v>
          </cell>
          <cell r="I92">
            <v>1.7098032327922705E-2</v>
          </cell>
          <cell r="J92">
            <v>1.3798204912094047E-3</v>
          </cell>
          <cell r="K92">
            <v>1.2144883461154258E-2</v>
          </cell>
          <cell r="L92">
            <v>4.7892714432723162E-4</v>
          </cell>
          <cell r="M92">
            <v>3.1638113423164085E-4</v>
          </cell>
          <cell r="N92">
            <v>9.1726219433068107E-2</v>
          </cell>
          <cell r="O92">
            <v>6.9918422949930882E-4</v>
          </cell>
          <cell r="P92">
            <v>1.0760651635802233E-4</v>
          </cell>
          <cell r="Q92">
            <v>1.0760651635802233E-4</v>
          </cell>
          <cell r="R92">
            <v>1.0760651635802233E-4</v>
          </cell>
          <cell r="S92">
            <v>1</v>
          </cell>
        </row>
        <row r="93">
          <cell r="A93" t="str">
            <v>F108R</v>
          </cell>
          <cell r="B93" t="str">
            <v>SGTP - System Gen Retail Plant</v>
          </cell>
          <cell r="C93">
            <v>0</v>
          </cell>
          <cell r="D93">
            <v>0</v>
          </cell>
          <cell r="E93">
            <v>0</v>
          </cell>
          <cell r="F93">
            <v>0.87121091198399014</v>
          </cell>
          <cell r="G93">
            <v>1.8685618887272257E-2</v>
          </cell>
          <cell r="H93">
            <v>3.6060824098817972E-4</v>
          </cell>
          <cell r="I93">
            <v>1.0806265281044006E-2</v>
          </cell>
          <cell r="J93">
            <v>1.4291196877289566E-3</v>
          </cell>
          <cell r="K93">
            <v>3.5368533735182328E-3</v>
          </cell>
          <cell r="L93">
            <v>2.4986356816757084E-3</v>
          </cell>
          <cell r="M93">
            <v>5.2555973340059469E-4</v>
          </cell>
          <cell r="N93">
            <v>9.0906317860013006E-2</v>
          </cell>
          <cell r="O93">
            <v>1.3313276223762299E-5</v>
          </cell>
          <cell r="P93">
            <v>8.9319980483059787E-6</v>
          </cell>
          <cell r="Q93">
            <v>8.9319980483059787E-6</v>
          </cell>
          <cell r="R93">
            <v>8.9319980483059787E-6</v>
          </cell>
          <cell r="S93">
            <v>1</v>
          </cell>
        </row>
        <row r="94">
          <cell r="A94" t="str">
            <v>F108M</v>
          </cell>
          <cell r="B94" t="str">
            <v>SGDP - System Gen Misc Plant</v>
          </cell>
          <cell r="C94">
            <v>0</v>
          </cell>
          <cell r="D94">
            <v>0</v>
          </cell>
          <cell r="E94">
            <v>0</v>
          </cell>
          <cell r="F94">
            <v>7.6923076923076927E-2</v>
          </cell>
          <cell r="G94">
            <v>7.6923076923076927E-2</v>
          </cell>
          <cell r="H94">
            <v>7.6923076923076927E-2</v>
          </cell>
          <cell r="I94">
            <v>7.6923076923076927E-2</v>
          </cell>
          <cell r="J94">
            <v>7.6923076923076927E-2</v>
          </cell>
          <cell r="K94">
            <v>7.6923076923076927E-2</v>
          </cell>
          <cell r="L94">
            <v>7.6923076923076927E-2</v>
          </cell>
          <cell r="M94">
            <v>7.6923076923076927E-2</v>
          </cell>
          <cell r="N94">
            <v>7.6923076923076927E-2</v>
          </cell>
          <cell r="O94">
            <v>7.6923076923076927E-2</v>
          </cell>
          <cell r="P94">
            <v>7.6923076923076927E-2</v>
          </cell>
          <cell r="Q94">
            <v>7.6923076923076927E-2</v>
          </cell>
          <cell r="R94">
            <v>7.6923076923076927E-2</v>
          </cell>
          <cell r="S94">
            <v>1</v>
          </cell>
        </row>
        <row r="95">
          <cell r="A95" t="str">
            <v>F110</v>
          </cell>
          <cell r="B95" t="str">
            <v>SIP - System Intangible Plant</v>
          </cell>
          <cell r="C95">
            <v>0</v>
          </cell>
          <cell r="D95">
            <v>0</v>
          </cell>
          <cell r="E95">
            <v>0</v>
          </cell>
          <cell r="F95">
            <v>0.45665947910921073</v>
          </cell>
          <cell r="G95">
            <v>0.23158901732916684</v>
          </cell>
          <cell r="H95">
            <v>7.2009738952105204E-2</v>
          </cell>
          <cell r="I95">
            <v>5.2325962910293655E-3</v>
          </cell>
          <cell r="J95">
            <v>0.1203954023106211</v>
          </cell>
          <cell r="K95">
            <v>7.1927072962992061E-3</v>
          </cell>
          <cell r="L95">
            <v>5.9320580506181005E-4</v>
          </cell>
          <cell r="M95">
            <v>3.872933416527607E-4</v>
          </cell>
          <cell r="N95">
            <v>7.2775809131081989E-2</v>
          </cell>
          <cell r="O95">
            <v>5.3143987190643267E-4</v>
          </cell>
          <cell r="P95">
            <v>6.0107693613809981E-3</v>
          </cell>
          <cell r="Q95">
            <v>1.4512544058634372E-2</v>
          </cell>
          <cell r="R95">
            <v>1.2109997141849198E-2</v>
          </cell>
          <cell r="S95">
            <v>1</v>
          </cell>
        </row>
        <row r="96">
          <cell r="A96" t="str">
            <v>F118</v>
          </cell>
          <cell r="B96" t="str">
            <v>Account 360</v>
          </cell>
          <cell r="C96">
            <v>0</v>
          </cell>
          <cell r="D96">
            <v>0</v>
          </cell>
          <cell r="E96">
            <v>0</v>
          </cell>
          <cell r="F96">
            <v>0.4707810800032789</v>
          </cell>
          <cell r="G96">
            <v>0.33195406095819258</v>
          </cell>
          <cell r="H96">
            <v>9.6141941246542115E-2</v>
          </cell>
          <cell r="I96">
            <v>7.492994782912029E-4</v>
          </cell>
          <cell r="J96">
            <v>0</v>
          </cell>
          <cell r="K96">
            <v>1.3031919730716126E-2</v>
          </cell>
          <cell r="L96">
            <v>1.7660135383184555E-4</v>
          </cell>
          <cell r="M96">
            <v>1.6273362534603863E-4</v>
          </cell>
          <cell r="N96">
            <v>8.619861671738005E-2</v>
          </cell>
          <cell r="O96">
            <v>8.0374688642115581E-4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</row>
        <row r="97">
          <cell r="A97" t="str">
            <v>F119</v>
          </cell>
          <cell r="B97" t="str">
            <v>Account 361</v>
          </cell>
          <cell r="C97">
            <v>0</v>
          </cell>
          <cell r="D97">
            <v>0</v>
          </cell>
          <cell r="E97">
            <v>0</v>
          </cell>
          <cell r="F97">
            <v>0.4707810800032789</v>
          </cell>
          <cell r="G97">
            <v>0.33195406095819258</v>
          </cell>
          <cell r="H97">
            <v>9.6141941246542115E-2</v>
          </cell>
          <cell r="I97">
            <v>7.492994782912029E-4</v>
          </cell>
          <cell r="J97">
            <v>0</v>
          </cell>
          <cell r="K97">
            <v>1.3031919730716126E-2</v>
          </cell>
          <cell r="L97">
            <v>1.7660135383184555E-4</v>
          </cell>
          <cell r="M97">
            <v>1.6273362534603863E-4</v>
          </cell>
          <cell r="N97">
            <v>8.619861671738005E-2</v>
          </cell>
          <cell r="O97">
            <v>8.0374688642115581E-4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</row>
        <row r="98">
          <cell r="A98" t="str">
            <v>F120</v>
          </cell>
          <cell r="B98" t="str">
            <v>Account 362</v>
          </cell>
          <cell r="C98">
            <v>0</v>
          </cell>
          <cell r="D98">
            <v>0</v>
          </cell>
          <cell r="E98">
            <v>0</v>
          </cell>
          <cell r="F98">
            <v>0.47078108000327895</v>
          </cell>
          <cell r="G98">
            <v>0.33195406095819258</v>
          </cell>
          <cell r="H98">
            <v>9.6141941246542115E-2</v>
          </cell>
          <cell r="I98">
            <v>7.492994782912029E-4</v>
          </cell>
          <cell r="J98">
            <v>0</v>
          </cell>
          <cell r="K98">
            <v>1.3031919730716126E-2</v>
          </cell>
          <cell r="L98">
            <v>1.7660135383184555E-4</v>
          </cell>
          <cell r="M98">
            <v>1.6273362534603863E-4</v>
          </cell>
          <cell r="N98">
            <v>8.619861671738005E-2</v>
          </cell>
          <cell r="O98">
            <v>8.0374688642115581E-4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</row>
        <row r="99">
          <cell r="A99" t="str">
            <v>F121</v>
          </cell>
          <cell r="B99" t="str">
            <v>Account 364</v>
          </cell>
          <cell r="C99">
            <v>0</v>
          </cell>
          <cell r="D99">
            <v>0</v>
          </cell>
          <cell r="E99">
            <v>0</v>
          </cell>
          <cell r="F99">
            <v>0.46650143808336253</v>
          </cell>
          <cell r="G99">
            <v>0.32643931427058126</v>
          </cell>
          <cell r="H99">
            <v>9.4544736951166233E-2</v>
          </cell>
          <cell r="I99">
            <v>1.3361247569268569E-2</v>
          </cell>
          <cell r="J99">
            <v>0</v>
          </cell>
          <cell r="K99">
            <v>1.2815420688768167E-2</v>
          </cell>
          <cell r="L99">
            <v>1.7366747880028055E-4</v>
          </cell>
          <cell r="M99">
            <v>1.6003013463184286E-4</v>
          </cell>
          <cell r="N99">
            <v>8.521375056918884E-2</v>
          </cell>
          <cell r="O99">
            <v>7.9039425423230842E-4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</row>
        <row r="100">
          <cell r="A100" t="str">
            <v>F122</v>
          </cell>
          <cell r="B100" t="str">
            <v>Account 365</v>
          </cell>
          <cell r="C100">
            <v>0</v>
          </cell>
          <cell r="D100">
            <v>0</v>
          </cell>
          <cell r="E100">
            <v>0</v>
          </cell>
          <cell r="F100">
            <v>0.62630032180128248</v>
          </cell>
          <cell r="G100">
            <v>0.20263236706771157</v>
          </cell>
          <cell r="H100">
            <v>5.8687244473039427E-2</v>
          </cell>
          <cell r="I100">
            <v>8.316280907041753E-3</v>
          </cell>
          <cell r="J100">
            <v>0</v>
          </cell>
          <cell r="K100">
            <v>7.9549824901946307E-3</v>
          </cell>
          <cell r="L100">
            <v>1.0780151401376061E-4</v>
          </cell>
          <cell r="M100">
            <v>9.9336334703044779E-5</v>
          </cell>
          <cell r="N100">
            <v>9.5411039890973603E-2</v>
          </cell>
          <cell r="O100">
            <v>4.9062552103959261E-4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</row>
        <row r="101">
          <cell r="A101" t="str">
            <v>F123</v>
          </cell>
          <cell r="B101" t="str">
            <v>Account 366</v>
          </cell>
          <cell r="C101">
            <v>0</v>
          </cell>
          <cell r="D101">
            <v>0</v>
          </cell>
          <cell r="E101">
            <v>0</v>
          </cell>
          <cell r="F101">
            <v>0.62854085366896428</v>
          </cell>
          <cell r="G101">
            <v>0.20629135114531277</v>
          </cell>
          <cell r="H101">
            <v>5.9746974940548529E-2</v>
          </cell>
          <cell r="I101">
            <v>6.2296750022582548E-4</v>
          </cell>
          <cell r="J101">
            <v>0</v>
          </cell>
          <cell r="K101">
            <v>8.0986276278911772E-3</v>
          </cell>
          <cell r="L101">
            <v>1.0974811331092939E-4</v>
          </cell>
          <cell r="M101">
            <v>1.0113007610904755E-4</v>
          </cell>
          <cell r="N101">
            <v>9.5988862057050053E-2</v>
          </cell>
          <cell r="O101">
            <v>4.9948487058738117E-4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</row>
        <row r="102">
          <cell r="A102" t="str">
            <v>F124</v>
          </cell>
          <cell r="B102" t="str">
            <v>Account 367</v>
          </cell>
          <cell r="C102">
            <v>0</v>
          </cell>
          <cell r="D102">
            <v>0</v>
          </cell>
          <cell r="E102">
            <v>0</v>
          </cell>
          <cell r="F102">
            <v>0.5984560038114245</v>
          </cell>
          <cell r="G102">
            <v>0.22838765526518298</v>
          </cell>
          <cell r="H102">
            <v>6.6146600136656117E-2</v>
          </cell>
          <cell r="I102">
            <v>3.2858791544882475E-3</v>
          </cell>
          <cell r="J102">
            <v>0</v>
          </cell>
          <cell r="K102">
            <v>8.9660888085269716E-3</v>
          </cell>
          <cell r="L102">
            <v>1.2150346647933277E-4</v>
          </cell>
          <cell r="M102">
            <v>1.1196233303579126E-4</v>
          </cell>
          <cell r="N102">
            <v>9.3971321269832264E-2</v>
          </cell>
          <cell r="O102">
            <v>5.529857543738199E-4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</row>
        <row r="103">
          <cell r="A103" t="str">
            <v>F125</v>
          </cell>
          <cell r="B103" t="str">
            <v>Account 368</v>
          </cell>
          <cell r="C103">
            <v>0</v>
          </cell>
          <cell r="D103">
            <v>0</v>
          </cell>
          <cell r="E103">
            <v>0</v>
          </cell>
          <cell r="F103">
            <v>0.59055368391181151</v>
          </cell>
          <cell r="G103">
            <v>0.23978681675195562</v>
          </cell>
          <cell r="H103">
            <v>6.3362723263065746E-2</v>
          </cell>
          <cell r="I103">
            <v>3.6483710767670928E-3</v>
          </cell>
          <cell r="J103">
            <v>0</v>
          </cell>
          <cell r="K103">
            <v>2.5710409495489625E-2</v>
          </cell>
          <cell r="L103">
            <v>1.1517789034312014E-4</v>
          </cell>
          <cell r="M103">
            <v>8.5950976985743111E-4</v>
          </cell>
          <cell r="N103">
            <v>7.4564681784161146E-2</v>
          </cell>
          <cell r="O103">
            <v>1.3986260565486365E-3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</row>
        <row r="104">
          <cell r="A104" t="str">
            <v>F126</v>
          </cell>
          <cell r="B104" t="str">
            <v>Account 369</v>
          </cell>
          <cell r="C104">
            <v>0</v>
          </cell>
          <cell r="D104">
            <v>0</v>
          </cell>
          <cell r="E104">
            <v>0</v>
          </cell>
          <cell r="F104">
            <v>0.78247152659940289</v>
          </cell>
          <cell r="G104">
            <v>7.9505021864011857E-2</v>
          </cell>
          <cell r="H104">
            <v>3.0064817283884599E-3</v>
          </cell>
          <cell r="I104">
            <v>0</v>
          </cell>
          <cell r="J104">
            <v>0</v>
          </cell>
          <cell r="K104">
            <v>0</v>
          </cell>
          <cell r="L104">
            <v>3.1363648863416945E-3</v>
          </cell>
          <cell r="M104">
            <v>6.5969885309860956E-4</v>
          </cell>
          <cell r="N104">
            <v>0.13122090606875636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</row>
        <row r="105">
          <cell r="A105" t="str">
            <v>F127</v>
          </cell>
          <cell r="B105" t="str">
            <v>Account 370</v>
          </cell>
          <cell r="C105">
            <v>0</v>
          </cell>
          <cell r="D105">
            <v>0</v>
          </cell>
          <cell r="E105">
            <v>0</v>
          </cell>
          <cell r="F105">
            <v>0.68497890837007003</v>
          </cell>
          <cell r="G105">
            <v>0.10902835722412574</v>
          </cell>
          <cell r="H105">
            <v>1.3486620889471449E-2</v>
          </cell>
          <cell r="I105">
            <v>0</v>
          </cell>
          <cell r="J105">
            <v>3.8957800440214296E-2</v>
          </cell>
          <cell r="K105">
            <v>1.1135492495671355E-2</v>
          </cell>
          <cell r="L105">
            <v>2.0350891354208589E-3</v>
          </cell>
          <cell r="M105">
            <v>4.2805796431312178E-4</v>
          </cell>
          <cell r="N105">
            <v>0.1306353806924791</v>
          </cell>
          <cell r="O105">
            <v>1.9981764371414633E-4</v>
          </cell>
          <cell r="P105">
            <v>3.03815838150666E-3</v>
          </cell>
          <cell r="Q105">
            <v>3.03815838150666E-3</v>
          </cell>
          <cell r="R105">
            <v>3.03815838150666E-3</v>
          </cell>
          <cell r="S105">
            <v>1</v>
          </cell>
        </row>
        <row r="106">
          <cell r="A106" t="str">
            <v>F128</v>
          </cell>
          <cell r="B106" t="str">
            <v>Account 371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1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</row>
        <row r="107">
          <cell r="A107" t="str">
            <v>F129</v>
          </cell>
          <cell r="B107" t="str">
            <v>Account 372</v>
          </cell>
          <cell r="C107">
            <v>0</v>
          </cell>
          <cell r="D107">
            <v>0</v>
          </cell>
          <cell r="E107">
            <v>0</v>
          </cell>
          <cell r="F107">
            <v>7.6923076923076927E-2</v>
          </cell>
          <cell r="G107">
            <v>7.6923076923076927E-2</v>
          </cell>
          <cell r="H107">
            <v>7.6923076923076927E-2</v>
          </cell>
          <cell r="I107">
            <v>7.6923076923076927E-2</v>
          </cell>
          <cell r="J107">
            <v>7.6923076923076927E-2</v>
          </cell>
          <cell r="K107">
            <v>7.6923076923076927E-2</v>
          </cell>
          <cell r="L107">
            <v>7.6923076923076927E-2</v>
          </cell>
          <cell r="M107">
            <v>7.6923076923076927E-2</v>
          </cell>
          <cell r="N107">
            <v>7.6923076923076927E-2</v>
          </cell>
          <cell r="O107">
            <v>7.6923076923076927E-2</v>
          </cell>
          <cell r="P107">
            <v>7.6923076923076927E-2</v>
          </cell>
          <cell r="Q107">
            <v>7.6923076923076927E-2</v>
          </cell>
          <cell r="R107">
            <v>7.6923076923076927E-2</v>
          </cell>
          <cell r="S107">
            <v>1</v>
          </cell>
        </row>
        <row r="108">
          <cell r="A108" t="str">
            <v>F130</v>
          </cell>
          <cell r="B108" t="str">
            <v>Account 373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</row>
        <row r="109">
          <cell r="A109" t="str">
            <v>F131</v>
          </cell>
          <cell r="B109" t="str">
            <v>Account 581 thru 587 &amp; 591 thru 597</v>
          </cell>
          <cell r="C109">
            <v>0</v>
          </cell>
          <cell r="D109">
            <v>0</v>
          </cell>
          <cell r="E109">
            <v>0</v>
          </cell>
          <cell r="F109">
            <v>0.5431178716251488</v>
          </cell>
          <cell r="G109">
            <v>0.24651479307064361</v>
          </cell>
          <cell r="H109">
            <v>6.8434723782509047E-2</v>
          </cell>
          <cell r="I109">
            <v>3.5081888691545951E-2</v>
          </cell>
          <cell r="J109">
            <v>2.2844854412390034E-3</v>
          </cell>
          <cell r="K109">
            <v>9.8890964518531053E-3</v>
          </cell>
          <cell r="L109">
            <v>5.3505083595494331E-4</v>
          </cell>
          <cell r="M109">
            <v>2.0515278338273965E-4</v>
          </cell>
          <cell r="N109">
            <v>9.2822255042778745E-2</v>
          </cell>
          <cell r="O109">
            <v>5.8020944698907698E-4</v>
          </cell>
          <cell r="P109">
            <v>1.7815760931835713E-4</v>
          </cell>
          <cell r="Q109">
            <v>1.7815760931835713E-4</v>
          </cell>
          <cell r="R109">
            <v>1.7815760931835713E-4</v>
          </cell>
          <cell r="S109">
            <v>1</v>
          </cell>
        </row>
        <row r="110">
          <cell r="A110" t="str">
            <v>F132</v>
          </cell>
          <cell r="B110" t="str">
            <v>Account 364 + 365</v>
          </cell>
          <cell r="C110">
            <v>0</v>
          </cell>
          <cell r="D110">
            <v>0</v>
          </cell>
          <cell r="E110">
            <v>0</v>
          </cell>
          <cell r="F110">
            <v>0.53119782782208946</v>
          </cell>
          <cell r="G110">
            <v>0.27631466807631871</v>
          </cell>
          <cell r="H110">
            <v>8.0027424599263916E-2</v>
          </cell>
          <cell r="I110">
            <v>1.1318735620471341E-2</v>
          </cell>
          <cell r="J110">
            <v>0</v>
          </cell>
          <cell r="K110">
            <v>1.0847617180509703E-2</v>
          </cell>
          <cell r="L110">
            <v>1.4700089622347065E-4</v>
          </cell>
          <cell r="M110">
            <v>1.3545756163534266E-4</v>
          </cell>
          <cell r="N110">
            <v>8.9342238759414938E-2</v>
          </cell>
          <cell r="O110">
            <v>6.6902948407311907E-4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</row>
        <row r="111">
          <cell r="A111" t="str">
            <v>F133</v>
          </cell>
          <cell r="B111" t="str">
            <v>Account 366 + 367</v>
          </cell>
          <cell r="C111">
            <v>0</v>
          </cell>
          <cell r="D111">
            <v>0</v>
          </cell>
          <cell r="E111">
            <v>0</v>
          </cell>
          <cell r="F111">
            <v>0.60634676110342911</v>
          </cell>
          <cell r="G111">
            <v>0.22259216106508412</v>
          </cell>
          <cell r="H111">
            <v>6.4468084557505675E-2</v>
          </cell>
          <cell r="I111">
            <v>2.5874415803160363E-3</v>
          </cell>
          <cell r="J111">
            <v>0</v>
          </cell>
          <cell r="K111">
            <v>8.7385681238951549E-3</v>
          </cell>
          <cell r="L111">
            <v>1.1842023225436881E-4</v>
          </cell>
          <cell r="M111">
            <v>1.0912121164950157E-4</v>
          </cell>
          <cell r="N111">
            <v>9.4500488766231308E-2</v>
          </cell>
          <cell r="O111">
            <v>5.3895335963475384E-4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</row>
        <row r="112">
          <cell r="A112" t="str">
            <v>F134</v>
          </cell>
          <cell r="B112" t="str">
            <v>Account 364 + 365 + 369  (OH)</v>
          </cell>
          <cell r="C112">
            <v>0</v>
          </cell>
          <cell r="D112">
            <v>0</v>
          </cell>
          <cell r="E112">
            <v>0</v>
          </cell>
          <cell r="F112">
            <v>0.5646956754982182</v>
          </cell>
          <cell r="G112">
            <v>0.25007754265454785</v>
          </cell>
          <cell r="H112">
            <v>6.9759593844534146E-2</v>
          </cell>
          <cell r="I112">
            <v>9.8098101597252907E-3</v>
          </cell>
          <cell r="J112">
            <v>0</v>
          </cell>
          <cell r="K112">
            <v>9.401497551874383E-3</v>
          </cell>
          <cell r="L112">
            <v>5.4551956362379223E-4</v>
          </cell>
          <cell r="M112">
            <v>2.053453175462253E-4</v>
          </cell>
          <cell r="N112">
            <v>9.4925175713158103E-2</v>
          </cell>
          <cell r="O112">
            <v>5.7983969677197482E-4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</row>
        <row r="113">
          <cell r="A113" t="str">
            <v>F135</v>
          </cell>
          <cell r="B113" t="str">
            <v>Account 366 + 367 + 369  (UG)</v>
          </cell>
          <cell r="C113">
            <v>0</v>
          </cell>
          <cell r="D113">
            <v>0</v>
          </cell>
          <cell r="E113">
            <v>0</v>
          </cell>
          <cell r="F113">
            <v>0.63847973148955328</v>
          </cell>
          <cell r="G113">
            <v>0.1964867193139728</v>
          </cell>
          <cell r="H113">
            <v>5.3254761672275774E-2</v>
          </cell>
          <cell r="I113">
            <v>2.1153774532638855E-3</v>
          </cell>
          <cell r="J113">
            <v>0</v>
          </cell>
          <cell r="K113">
            <v>7.1442656420634843E-3</v>
          </cell>
          <cell r="L113">
            <v>6.6902721772664649E-4</v>
          </cell>
          <cell r="M113">
            <v>2.0957099790259236E-4</v>
          </cell>
          <cell r="N113">
            <v>0.10119992185518628</v>
          </cell>
          <cell r="O113">
            <v>4.4062435805523664E-4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</row>
        <row r="114">
          <cell r="A114" t="str">
            <v>F136</v>
          </cell>
          <cell r="B114" t="str">
            <v>Account 902 + 903 + 904</v>
          </cell>
          <cell r="C114">
            <v>0</v>
          </cell>
          <cell r="D114">
            <v>0</v>
          </cell>
          <cell r="E114">
            <v>0</v>
          </cell>
          <cell r="F114">
            <v>0.85278051655847564</v>
          </cell>
          <cell r="G114">
            <v>3.1575841689494413E-2</v>
          </cell>
          <cell r="H114">
            <v>5.8266424581653008E-3</v>
          </cell>
          <cell r="I114">
            <v>7.6249230415128605E-3</v>
          </cell>
          <cell r="J114">
            <v>8.2904151394039612E-3</v>
          </cell>
          <cell r="K114">
            <v>3.4825089585814868E-3</v>
          </cell>
          <cell r="L114">
            <v>2.1749138845496823E-3</v>
          </cell>
          <cell r="M114">
            <v>4.5746851760581562E-4</v>
          </cell>
          <cell r="N114">
            <v>8.771127807081136E-2</v>
          </cell>
          <cell r="O114">
            <v>1.0739860096555443E-5</v>
          </cell>
          <cell r="P114">
            <v>1.1525982314316034E-5</v>
          </cell>
          <cell r="Q114">
            <v>2.6612919494371003E-5</v>
          </cell>
          <cell r="R114">
            <v>2.6612919494371003E-5</v>
          </cell>
          <cell r="S114">
            <v>1</v>
          </cell>
        </row>
        <row r="115">
          <cell r="A115" t="str">
            <v>F137</v>
          </cell>
          <cell r="B115" t="str">
            <v>Total O &amp; M Expense</v>
          </cell>
          <cell r="C115">
            <v>0</v>
          </cell>
          <cell r="D115">
            <v>0</v>
          </cell>
          <cell r="E115">
            <v>0</v>
          </cell>
          <cell r="F115">
            <v>0.35856042356017565</v>
          </cell>
          <cell r="G115">
            <v>0.26408203129872732</v>
          </cell>
          <cell r="H115">
            <v>8.7416190333786933E-2</v>
          </cell>
          <cell r="I115">
            <v>5.6071649845686614E-3</v>
          </cell>
          <cell r="J115">
            <v>0.1568768956047466</v>
          </cell>
          <cell r="K115">
            <v>7.3824965335934295E-3</v>
          </cell>
          <cell r="L115">
            <v>3.1879840396214099E-4</v>
          </cell>
          <cell r="M115">
            <v>5.1255252231742553E-4</v>
          </cell>
          <cell r="N115">
            <v>6.7150571991724542E-2</v>
          </cell>
          <cell r="O115">
            <v>5.5482104554298002E-4</v>
          </cell>
          <cell r="P115">
            <v>8.2044122989504802E-3</v>
          </cell>
          <cell r="Q115">
            <v>2.5660312901860344E-2</v>
          </cell>
          <cell r="R115">
            <v>1.7673328520043777E-2</v>
          </cell>
          <cell r="S115">
            <v>1</v>
          </cell>
        </row>
        <row r="116">
          <cell r="A116" t="str">
            <v>F137G</v>
          </cell>
          <cell r="B116" t="str">
            <v>Generation O &amp; M Exp</v>
          </cell>
          <cell r="C116">
            <v>0</v>
          </cell>
          <cell r="D116">
            <v>0</v>
          </cell>
          <cell r="E116">
            <v>0</v>
          </cell>
          <cell r="F116">
            <v>0.31840108073022311</v>
          </cell>
          <cell r="G116">
            <v>0.27489015835754088</v>
          </cell>
          <cell r="H116">
            <v>9.28799971629925E-2</v>
          </cell>
          <cell r="I116">
            <v>2.8373136903540215E-3</v>
          </cell>
          <cell r="J116">
            <v>0.17901149232130834</v>
          </cell>
          <cell r="K116">
            <v>7.3163055943166978E-3</v>
          </cell>
          <cell r="L116">
            <v>2.2388434206237063E-4</v>
          </cell>
          <cell r="M116">
            <v>5.5885548905086093E-4</v>
          </cell>
          <cell r="N116">
            <v>6.3557195281612508E-2</v>
          </cell>
          <cell r="O116">
            <v>5.6909834147879921E-4</v>
          </cell>
          <cell r="P116">
            <v>9.4140076515919647E-3</v>
          </cell>
          <cell r="Q116">
            <v>2.9945680984222671E-2</v>
          </cell>
          <cell r="R116">
            <v>2.0394930053245407E-2</v>
          </cell>
          <cell r="S116">
            <v>1</v>
          </cell>
        </row>
        <row r="117">
          <cell r="A117" t="str">
            <v>F137T</v>
          </cell>
          <cell r="B117" t="str">
            <v>Transmission O &amp; M Exp</v>
          </cell>
          <cell r="C117">
            <v>0</v>
          </cell>
          <cell r="D117">
            <v>0</v>
          </cell>
          <cell r="E117">
            <v>0</v>
          </cell>
          <cell r="F117">
            <v>0.33895056728158685</v>
          </cell>
          <cell r="G117">
            <v>0.2774814878170751</v>
          </cell>
          <cell r="H117">
            <v>8.9573892868729493E-2</v>
          </cell>
          <cell r="I117">
            <v>2.0966280983772609E-3</v>
          </cell>
          <cell r="J117">
            <v>0.17064686796817535</v>
          </cell>
          <cell r="K117">
            <v>6.6133241894246759E-3</v>
          </cell>
          <cell r="L117">
            <v>2.0857420033217538E-4</v>
          </cell>
          <cell r="M117">
            <v>3.8984768033234815E-4</v>
          </cell>
          <cell r="N117">
            <v>6.5627016161163718E-2</v>
          </cell>
          <cell r="O117">
            <v>6.0197378070384121E-4</v>
          </cell>
          <cell r="P117">
            <v>8.4978283758878718E-3</v>
          </cell>
          <cell r="Q117">
            <v>2.1964538398993386E-2</v>
          </cell>
          <cell r="R117">
            <v>1.7347453179217813E-2</v>
          </cell>
          <cell r="S117">
            <v>1</v>
          </cell>
        </row>
        <row r="118">
          <cell r="A118" t="str">
            <v>F137D</v>
          </cell>
          <cell r="B118" t="str">
            <v xml:space="preserve">Distribution O &amp; M Exp </v>
          </cell>
          <cell r="C118">
            <v>0</v>
          </cell>
          <cell r="D118">
            <v>0</v>
          </cell>
          <cell r="E118">
            <v>0</v>
          </cell>
          <cell r="F118">
            <v>0.54054031867854702</v>
          </cell>
          <cell r="G118">
            <v>0.2461890671172916</v>
          </cell>
          <cell r="H118">
            <v>6.8700137085952476E-2</v>
          </cell>
          <cell r="I118">
            <v>3.2343825477048005E-2</v>
          </cell>
          <cell r="J118">
            <v>6.8528358164167708E-3</v>
          </cell>
          <cell r="K118">
            <v>1.0059659944078982E-2</v>
          </cell>
          <cell r="L118">
            <v>5.2232906993957364E-4</v>
          </cell>
          <cell r="M118">
            <v>2.2619038922403308E-4</v>
          </cell>
          <cell r="N118">
            <v>9.1930770224364466E-2</v>
          </cell>
          <cell r="O118">
            <v>5.9198657123027431E-4</v>
          </cell>
          <cell r="P118">
            <v>4.1141948484687803E-4</v>
          </cell>
          <cell r="Q118">
            <v>9.3045285313566217E-4</v>
          </cell>
          <cell r="R118">
            <v>7.0100728792423265E-4</v>
          </cell>
          <cell r="S118">
            <v>1</v>
          </cell>
        </row>
        <row r="119">
          <cell r="A119" t="str">
            <v>F137R</v>
          </cell>
          <cell r="B119" t="str">
            <v>Retail O &amp; M Exp  (Customer)</v>
          </cell>
          <cell r="C119">
            <v>0</v>
          </cell>
          <cell r="D119">
            <v>0</v>
          </cell>
          <cell r="E119">
            <v>0</v>
          </cell>
          <cell r="F119">
            <v>0.85462793204989895</v>
          </cell>
          <cell r="G119">
            <v>2.9766302619335355E-2</v>
          </cell>
          <cell r="H119">
            <v>5.1027399152060414E-3</v>
          </cell>
          <cell r="I119">
            <v>8.1562395414022278E-3</v>
          </cell>
          <cell r="J119">
            <v>7.2382114561459843E-3</v>
          </cell>
          <cell r="K119">
            <v>3.4786308743713595E-3</v>
          </cell>
          <cell r="L119">
            <v>2.2438569753083942E-3</v>
          </cell>
          <cell r="M119">
            <v>4.7260755430000574E-4</v>
          </cell>
          <cell r="N119">
            <v>8.8805752511835381E-2</v>
          </cell>
          <cell r="O119">
            <v>1.0661010195594862E-5</v>
          </cell>
          <cell r="P119">
            <v>1.1511389664271826E-5</v>
          </cell>
          <cell r="Q119">
            <v>5.3512403418519102E-5</v>
          </cell>
          <cell r="R119">
            <v>3.2041698918036537E-5</v>
          </cell>
          <cell r="S119">
            <v>1</v>
          </cell>
        </row>
        <row r="120">
          <cell r="A120" t="str">
            <v>F137M</v>
          </cell>
          <cell r="B120" t="str">
            <v xml:space="preserve">Misc &amp; Customer O &amp; M Exp </v>
          </cell>
          <cell r="C120">
            <v>0</v>
          </cell>
          <cell r="D120">
            <v>0</v>
          </cell>
          <cell r="E120">
            <v>0</v>
          </cell>
          <cell r="F120">
            <v>0.40699770433233368</v>
          </cell>
          <cell r="G120">
            <v>0.26604829024262955</v>
          </cell>
          <cell r="H120">
            <v>8.2358502052883642E-2</v>
          </cell>
          <cell r="I120">
            <v>5.9844966363501381E-3</v>
          </cell>
          <cell r="J120">
            <v>0.12315062656674258</v>
          </cell>
          <cell r="K120">
            <v>8.4484920904371388E-3</v>
          </cell>
          <cell r="L120">
            <v>2.7542354000494149E-4</v>
          </cell>
          <cell r="M120">
            <v>3.539347696718907E-4</v>
          </cell>
          <cell r="N120">
            <v>7.2502478242994509E-2</v>
          </cell>
          <cell r="O120">
            <v>6.3661179214994442E-4</v>
          </cell>
          <cell r="P120">
            <v>6.1343366117120202E-3</v>
          </cell>
          <cell r="Q120">
            <v>1.4734950200145413E-2</v>
          </cell>
          <cell r="R120">
            <v>1.2374152921944659E-2</v>
          </cell>
          <cell r="S120">
            <v>1</v>
          </cell>
        </row>
        <row r="121">
          <cell r="A121" t="str">
            <v>F138</v>
          </cell>
          <cell r="B121" t="str">
            <v>GTD O&amp;M Exp  (less fuel, purchased p &amp; wheeling)</v>
          </cell>
          <cell r="C121">
            <v>0</v>
          </cell>
          <cell r="D121">
            <v>0</v>
          </cell>
          <cell r="E121">
            <v>0</v>
          </cell>
          <cell r="F121">
            <v>0.46517393622124814</v>
          </cell>
          <cell r="G121">
            <v>0.23729080594656712</v>
          </cell>
          <cell r="H121">
            <v>7.2588071346608274E-2</v>
          </cell>
          <cell r="I121">
            <v>1.2031280264176913E-2</v>
          </cell>
          <cell r="J121">
            <v>0.1007919216307373</v>
          </cell>
          <cell r="K121">
            <v>7.42366622621758E-3</v>
          </cell>
          <cell r="L121">
            <v>5.5102135080567125E-4</v>
          </cell>
          <cell r="M121">
            <v>3.3698989659877856E-4</v>
          </cell>
          <cell r="N121">
            <v>7.6082075124231374E-2</v>
          </cell>
          <cell r="O121">
            <v>5.2857010985461598E-4</v>
          </cell>
          <cell r="P121">
            <v>5.0265419999859689E-3</v>
          </cell>
          <cell r="Q121">
            <v>1.2105576169874109E-2</v>
          </cell>
          <cell r="R121">
            <v>1.0069543713093786E-2</v>
          </cell>
          <cell r="S121">
            <v>1</v>
          </cell>
        </row>
        <row r="122">
          <cell r="A122" t="str">
            <v>F138G</v>
          </cell>
          <cell r="B122" t="str">
            <v xml:space="preserve">Generation O &amp; M Exp (less fuel &amp; purchased power) </v>
          </cell>
          <cell r="C122">
            <v>0</v>
          </cell>
          <cell r="D122">
            <v>0</v>
          </cell>
          <cell r="E122">
            <v>0</v>
          </cell>
          <cell r="F122">
            <v>0.34573284175561814</v>
          </cell>
          <cell r="G122">
            <v>0.27709023300000502</v>
          </cell>
          <cell r="H122">
            <v>8.8955862930045884E-2</v>
          </cell>
          <cell r="I122">
            <v>1.8575802547006596E-3</v>
          </cell>
          <cell r="J122">
            <v>0.16695712064381904</v>
          </cell>
          <cell r="K122">
            <v>7.0902242885279038E-3</v>
          </cell>
          <cell r="L122">
            <v>2.003251320436722E-4</v>
          </cell>
          <cell r="M122">
            <v>3.7205224265470145E-4</v>
          </cell>
          <cell r="N122">
            <v>6.5452956264633835E-2</v>
          </cell>
          <cell r="O122">
            <v>6.1407458999095165E-4</v>
          </cell>
          <cell r="P122">
            <v>8.408354916744255E-3</v>
          </cell>
          <cell r="Q122">
            <v>2.0393874334921392E-2</v>
          </cell>
          <cell r="R122">
            <v>1.6874499646294477E-2</v>
          </cell>
          <cell r="S122">
            <v>1</v>
          </cell>
        </row>
        <row r="123">
          <cell r="A123" t="str">
            <v>F138T</v>
          </cell>
          <cell r="B123" t="str">
            <v>Transmission O &amp; M Exp - (less wheeling exp)</v>
          </cell>
          <cell r="C123">
            <v>0</v>
          </cell>
          <cell r="D123">
            <v>0</v>
          </cell>
          <cell r="E123">
            <v>0</v>
          </cell>
          <cell r="F123">
            <v>0.34347145415227098</v>
          </cell>
          <cell r="G123">
            <v>0.27499862432742989</v>
          </cell>
          <cell r="H123">
            <v>8.820647075986307E-2</v>
          </cell>
          <cell r="I123">
            <v>1.8268775272007522E-3</v>
          </cell>
          <cell r="J123">
            <v>0.17261081033586431</v>
          </cell>
          <cell r="K123">
            <v>7.0312897095848852E-3</v>
          </cell>
          <cell r="L123">
            <v>1.9840947378747239E-4</v>
          </cell>
          <cell r="M123">
            <v>3.6599261306956515E-4</v>
          </cell>
          <cell r="N123">
            <v>6.4980054819904362E-2</v>
          </cell>
          <cell r="O123">
            <v>6.0999468412517479E-4</v>
          </cell>
          <cell r="P123">
            <v>8.3646275447783174E-3</v>
          </cell>
          <cell r="Q123">
            <v>2.0086768712027765E-2</v>
          </cell>
          <cell r="R123">
            <v>1.724862534009319E-2</v>
          </cell>
          <cell r="S123">
            <v>1</v>
          </cell>
        </row>
        <row r="124">
          <cell r="A124" t="str">
            <v>F138D</v>
          </cell>
          <cell r="B124" t="str">
            <v xml:space="preserve">Distribution O &amp; M Exp </v>
          </cell>
          <cell r="C124">
            <v>0</v>
          </cell>
          <cell r="D124">
            <v>0</v>
          </cell>
          <cell r="E124">
            <v>0</v>
          </cell>
          <cell r="F124">
            <v>0.5431178716251488</v>
          </cell>
          <cell r="G124">
            <v>0.24651479307064361</v>
          </cell>
          <cell r="H124">
            <v>6.8434723782509033E-2</v>
          </cell>
          <cell r="I124">
            <v>3.5081888691545951E-2</v>
          </cell>
          <cell r="J124">
            <v>2.2844854412390034E-3</v>
          </cell>
          <cell r="K124">
            <v>9.8890964518531053E-3</v>
          </cell>
          <cell r="L124">
            <v>5.3505083595494331E-4</v>
          </cell>
          <cell r="M124">
            <v>2.0515278338273965E-4</v>
          </cell>
          <cell r="N124">
            <v>9.2822255042778745E-2</v>
          </cell>
          <cell r="O124">
            <v>5.8020944698907698E-4</v>
          </cell>
          <cell r="P124">
            <v>1.7815760931835713E-4</v>
          </cell>
          <cell r="Q124">
            <v>1.7815760931835713E-4</v>
          </cell>
          <cell r="R124">
            <v>1.7815760931835713E-4</v>
          </cell>
          <cell r="S124">
            <v>1</v>
          </cell>
        </row>
        <row r="125">
          <cell r="A125" t="str">
            <v>F138R</v>
          </cell>
          <cell r="B125" t="str">
            <v>Retail O &amp; M Exp  (Customer)</v>
          </cell>
          <cell r="C125">
            <v>0</v>
          </cell>
          <cell r="D125">
            <v>0</v>
          </cell>
          <cell r="E125">
            <v>0</v>
          </cell>
          <cell r="F125">
            <v>0.85454842705351874</v>
          </cell>
          <cell r="G125">
            <v>2.9871586495254121E-2</v>
          </cell>
          <cell r="H125">
            <v>5.1189405745740036E-3</v>
          </cell>
          <cell r="I125">
            <v>8.1505737721491688E-3</v>
          </cell>
          <cell r="J125">
            <v>7.2430263247767529E-3</v>
          </cell>
          <cell r="K125">
            <v>3.478116703819274E-3</v>
          </cell>
          <cell r="L125">
            <v>2.2429671332991571E-3</v>
          </cell>
          <cell r="M125">
            <v>4.7178274818057155E-4</v>
          </cell>
          <cell r="N125">
            <v>8.8806672142818829E-2</v>
          </cell>
          <cell r="O125">
            <v>1.1063298841235599E-5</v>
          </cell>
          <cell r="P125">
            <v>1.0190875656186684E-5</v>
          </cell>
          <cell r="Q125">
            <v>2.3326438556021258E-5</v>
          </cell>
          <cell r="R125">
            <v>2.3326438556021258E-5</v>
          </cell>
          <cell r="S125">
            <v>1</v>
          </cell>
        </row>
        <row r="126">
          <cell r="A126" t="str">
            <v>F138M</v>
          </cell>
          <cell r="B126" t="str">
            <v xml:space="preserve">Misc &amp; Customer O &amp; M Exp </v>
          </cell>
          <cell r="C126">
            <v>0</v>
          </cell>
          <cell r="D126">
            <v>0</v>
          </cell>
          <cell r="E126">
            <v>0</v>
          </cell>
          <cell r="F126">
            <v>7.6923076923076927E-2</v>
          </cell>
          <cell r="G126">
            <v>7.6923076923076927E-2</v>
          </cell>
          <cell r="H126">
            <v>7.6923076923076927E-2</v>
          </cell>
          <cell r="I126">
            <v>7.6923076923076927E-2</v>
          </cell>
          <cell r="J126">
            <v>7.6923076923076927E-2</v>
          </cell>
          <cell r="K126">
            <v>7.6923076923076927E-2</v>
          </cell>
          <cell r="L126">
            <v>7.6923076923076927E-2</v>
          </cell>
          <cell r="M126">
            <v>7.6923076923076927E-2</v>
          </cell>
          <cell r="N126">
            <v>7.6923076923076927E-2</v>
          </cell>
          <cell r="O126">
            <v>7.6923076923076927E-2</v>
          </cell>
          <cell r="P126">
            <v>7.6923076923076927E-2</v>
          </cell>
          <cell r="Q126">
            <v>7.6923076923076927E-2</v>
          </cell>
          <cell r="R126">
            <v>7.6923076923076927E-2</v>
          </cell>
          <cell r="S126">
            <v>1</v>
          </cell>
        </row>
        <row r="127">
          <cell r="A127" t="str">
            <v>F140</v>
          </cell>
          <cell r="B127" t="str">
            <v>Revenue Requirement Before Rev Credits</v>
          </cell>
          <cell r="C127">
            <v>0</v>
          </cell>
          <cell r="D127">
            <v>0</v>
          </cell>
          <cell r="E127">
            <v>0</v>
          </cell>
          <cell r="F127">
            <v>0.37505823624434115</v>
          </cell>
          <cell r="G127">
            <v>0.26948475987658699</v>
          </cell>
          <cell r="H127">
            <v>8.5323444400192405E-2</v>
          </cell>
          <cell r="I127">
            <v>6.2248956332308421E-3</v>
          </cell>
          <cell r="J127">
            <v>0.14112117538759233</v>
          </cell>
          <cell r="K127">
            <v>7.5848585070070248E-3</v>
          </cell>
          <cell r="L127">
            <v>3.0627381927896295E-4</v>
          </cell>
          <cell r="M127">
            <v>5.4240176599364414E-4</v>
          </cell>
          <cell r="N127">
            <v>7.058829374083897E-2</v>
          </cell>
          <cell r="O127">
            <v>5.5952035071762539E-4</v>
          </cell>
          <cell r="P127">
            <v>7.1657475890743588E-3</v>
          </cell>
          <cell r="Q127">
            <v>2.0780556627261665E-2</v>
          </cell>
          <cell r="R127">
            <v>1.5259835962699805E-2</v>
          </cell>
          <cell r="S127">
            <v>1</v>
          </cell>
        </row>
        <row r="128">
          <cell r="A128" t="str">
            <v>F140G</v>
          </cell>
          <cell r="B128" t="str">
            <v>Revenue Requirement Before Rev Credits</v>
          </cell>
          <cell r="C128">
            <v>0</v>
          </cell>
          <cell r="D128">
            <v>0</v>
          </cell>
          <cell r="E128">
            <v>0</v>
          </cell>
          <cell r="F128">
            <v>0.32345560665046424</v>
          </cell>
          <cell r="G128">
            <v>0.27990417112480165</v>
          </cell>
          <cell r="H128">
            <v>9.1972295333427032E-2</v>
          </cell>
          <cell r="I128">
            <v>2.8535491497781004E-3</v>
          </cell>
          <cell r="J128">
            <v>0.17356925245933538</v>
          </cell>
          <cell r="K128">
            <v>7.1343074034468353E-3</v>
          </cell>
          <cell r="L128">
            <v>2.1913600479901653E-4</v>
          </cell>
          <cell r="M128">
            <v>5.8940176295765097E-4</v>
          </cell>
          <cell r="N128">
            <v>6.4992486347540679E-2</v>
          </cell>
          <cell r="O128">
            <v>5.6176801710514513E-4</v>
          </cell>
          <cell r="P128">
            <v>8.925116767555908E-3</v>
          </cell>
          <cell r="Q128">
            <v>2.6688648812033706E-2</v>
          </cell>
          <cell r="R128">
            <v>1.9134260166837561E-2</v>
          </cell>
          <cell r="S128">
            <v>1</v>
          </cell>
        </row>
        <row r="129">
          <cell r="A129" t="str">
            <v>F140T</v>
          </cell>
          <cell r="B129" t="str">
            <v>Revenue Requirement Before Rev Credits</v>
          </cell>
          <cell r="C129">
            <v>0</v>
          </cell>
          <cell r="D129">
            <v>0</v>
          </cell>
          <cell r="E129">
            <v>0</v>
          </cell>
          <cell r="F129">
            <v>0.34040366652016457</v>
          </cell>
          <cell r="G129">
            <v>0.28594839817307288</v>
          </cell>
          <cell r="H129">
            <v>8.8673588226581029E-2</v>
          </cell>
          <cell r="I129">
            <v>2.2135475988279999E-3</v>
          </cell>
          <cell r="J129">
            <v>0.16518041477589901</v>
          </cell>
          <cell r="K129">
            <v>6.5742527057948662E-3</v>
          </cell>
          <cell r="L129">
            <v>1.9901201700667784E-4</v>
          </cell>
          <cell r="M129">
            <v>4.9595426863632505E-4</v>
          </cell>
          <cell r="N129">
            <v>6.727319024616378E-2</v>
          </cell>
          <cell r="O129">
            <v>5.7197402841294414E-4</v>
          </cell>
          <cell r="P129">
            <v>7.853655965978654E-3</v>
          </cell>
          <cell r="Q129">
            <v>1.8390929579941828E-2</v>
          </cell>
          <cell r="R129">
            <v>1.6221415892982562E-2</v>
          </cell>
          <cell r="S129">
            <v>1</v>
          </cell>
        </row>
        <row r="130">
          <cell r="A130" t="str">
            <v>F140D</v>
          </cell>
          <cell r="B130" t="str">
            <v>Revenue Requirement Before Rev Credits</v>
          </cell>
          <cell r="C130">
            <v>0</v>
          </cell>
          <cell r="D130">
            <v>0</v>
          </cell>
          <cell r="E130">
            <v>0</v>
          </cell>
          <cell r="F130">
            <v>0.5535515496212009</v>
          </cell>
          <cell r="G130">
            <v>0.24732836856459947</v>
          </cell>
          <cell r="H130">
            <v>6.5904103533668282E-2</v>
          </cell>
          <cell r="I130">
            <v>2.3523698505864148E-2</v>
          </cell>
          <cell r="J130">
            <v>2.6127361761412293E-3</v>
          </cell>
          <cell r="K130">
            <v>1.0876179184792356E-2</v>
          </cell>
          <cell r="L130">
            <v>4.9069884425070062E-4</v>
          </cell>
          <cell r="M130">
            <v>3.9392832348767733E-4</v>
          </cell>
          <cell r="N130">
            <v>9.3801614168634126E-2</v>
          </cell>
          <cell r="O130">
            <v>6.1975327041352416E-4</v>
          </cell>
          <cell r="P130">
            <v>2.051151184985279E-4</v>
          </cell>
          <cell r="Q130">
            <v>3.8416839711429446E-4</v>
          </cell>
          <cell r="R130">
            <v>3.0808629187298905E-4</v>
          </cell>
          <cell r="S130">
            <v>1</v>
          </cell>
        </row>
        <row r="131">
          <cell r="A131" t="str">
            <v>F140R</v>
          </cell>
          <cell r="B131" t="str">
            <v>Revenue Requirement Before Rev Credits</v>
          </cell>
          <cell r="C131">
            <v>0</v>
          </cell>
          <cell r="D131">
            <v>0</v>
          </cell>
          <cell r="E131">
            <v>0</v>
          </cell>
          <cell r="F131">
            <v>0.83449756794297336</v>
          </cell>
          <cell r="G131">
            <v>3.1776467014015243E-2</v>
          </cell>
          <cell r="H131">
            <v>7.9134955238763238E-3</v>
          </cell>
          <cell r="I131">
            <v>8.0083814809114601E-3</v>
          </cell>
          <cell r="J131">
            <v>1.6644601801912223E-2</v>
          </cell>
          <cell r="K131">
            <v>3.6765803802998945E-3</v>
          </cell>
          <cell r="L131">
            <v>2.1418791277244783E-3</v>
          </cell>
          <cell r="M131">
            <v>4.6284605287676416E-4</v>
          </cell>
          <cell r="N131">
            <v>9.2217271981541463E-2</v>
          </cell>
          <cell r="O131">
            <v>1.414913500044821E-5</v>
          </cell>
          <cell r="P131">
            <v>4.9453532526993607E-5</v>
          </cell>
          <cell r="Q131">
            <v>2.4897081761200883E-3</v>
          </cell>
          <cell r="R131">
            <v>1.0759785025636462E-4</v>
          </cell>
          <cell r="S131">
            <v>1</v>
          </cell>
        </row>
        <row r="132">
          <cell r="A132" t="str">
            <v>F140M</v>
          </cell>
          <cell r="B132" t="str">
            <v>Revenue Requirement Before Rev Credits</v>
          </cell>
          <cell r="C132">
            <v>0</v>
          </cell>
          <cell r="D132">
            <v>0</v>
          </cell>
          <cell r="E132">
            <v>0</v>
          </cell>
          <cell r="F132">
            <v>0.4008933906799596</v>
          </cell>
          <cell r="G132">
            <v>0.27005325479842512</v>
          </cell>
          <cell r="H132">
            <v>8.2857855476646716E-2</v>
          </cell>
          <cell r="I132">
            <v>6.1279199469340909E-3</v>
          </cell>
          <cell r="J132">
            <v>0.12456007410233134</v>
          </cell>
          <cell r="K132">
            <v>8.2459172449810669E-3</v>
          </cell>
          <cell r="L132">
            <v>2.7132674499582009E-4</v>
          </cell>
          <cell r="M132">
            <v>4.2077989136409498E-4</v>
          </cell>
          <cell r="N132">
            <v>7.2762968101757447E-2</v>
          </cell>
          <cell r="O132">
            <v>6.194589706302586E-4</v>
          </cell>
          <cell r="P132">
            <v>6.1358459068860862E-3</v>
          </cell>
          <cell r="Q132">
            <v>1.4596525376861914E-2</v>
          </cell>
          <cell r="R132">
            <v>1.2454657765642975E-2</v>
          </cell>
          <cell r="S132">
            <v>1</v>
          </cell>
        </row>
        <row r="133">
          <cell r="A133" t="str">
            <v>F141</v>
          </cell>
          <cell r="B133" t="str">
            <v>Firm Revenues</v>
          </cell>
          <cell r="C133">
            <v>0</v>
          </cell>
          <cell r="D133">
            <v>0</v>
          </cell>
          <cell r="E133">
            <v>0</v>
          </cell>
          <cell r="F133">
            <v>0.37643136257302112</v>
          </cell>
          <cell r="G133">
            <v>0.27920039270360569</v>
          </cell>
          <cell r="H133">
            <v>8.4185226772836047E-2</v>
          </cell>
          <cell r="I133">
            <v>8.3493834430601373E-3</v>
          </cell>
          <cell r="J133">
            <v>0.130425341209151</v>
          </cell>
          <cell r="K133">
            <v>7.3454479183869981E-3</v>
          </cell>
          <cell r="L133">
            <v>3.1777179730256154E-4</v>
          </cell>
          <cell r="M133">
            <v>7.3596122162594702E-4</v>
          </cell>
          <cell r="N133">
            <v>7.3955908745865995E-2</v>
          </cell>
          <cell r="O133">
            <v>5.0233728575399561E-4</v>
          </cell>
          <cell r="P133">
            <v>6.3787094230879655E-3</v>
          </cell>
          <cell r="Q133">
            <v>1.831085355368715E-2</v>
          </cell>
          <cell r="R133">
            <v>1.3861303352615281E-2</v>
          </cell>
          <cell r="S133">
            <v>1</v>
          </cell>
        </row>
        <row r="134">
          <cell r="A134" t="str">
            <v>F150</v>
          </cell>
          <cell r="B134" t="str">
            <v>Income Before State Taxes</v>
          </cell>
          <cell r="C134">
            <v>0</v>
          </cell>
          <cell r="D134">
            <v>0</v>
          </cell>
          <cell r="E134">
            <v>0</v>
          </cell>
          <cell r="F134">
            <v>0.31666138585334658</v>
          </cell>
          <cell r="G134">
            <v>8.9171824318046752E-2</v>
          </cell>
          <cell r="H134">
            <v>0.10668090369819894</v>
          </cell>
          <cell r="I134">
            <v>-1.4240228783217282E-2</v>
          </cell>
          <cell r="J134">
            <v>0.33924515920253306</v>
          </cell>
          <cell r="K134">
            <v>1.3993169810290165E-2</v>
          </cell>
          <cell r="L134">
            <v>-1.4288530914343792E-5</v>
          </cell>
          <cell r="M134">
            <v>-2.7658728452215398E-3</v>
          </cell>
          <cell r="N134">
            <v>1.8540335250869303E-2</v>
          </cell>
          <cell r="O134">
            <v>1.4466366042718783E-3</v>
          </cell>
          <cell r="P134">
            <v>2.0628587185430741E-2</v>
          </cell>
          <cell r="Q134">
            <v>7.0892999980082902E-2</v>
          </cell>
          <cell r="R134">
            <v>3.9759391446429593E-2</v>
          </cell>
          <cell r="S134">
            <v>1</v>
          </cell>
        </row>
        <row r="135">
          <cell r="A135" t="str">
            <v>F150G</v>
          </cell>
          <cell r="B135" t="str">
            <v>Income Before State Taxes</v>
          </cell>
          <cell r="C135">
            <v>0</v>
          </cell>
          <cell r="D135">
            <v>0</v>
          </cell>
          <cell r="E135">
            <v>0</v>
          </cell>
          <cell r="F135">
            <v>0.3664803480421388</v>
          </cell>
          <cell r="G135">
            <v>0.18993481795861258</v>
          </cell>
          <cell r="H135">
            <v>8.9477495835339482E-2</v>
          </cell>
          <cell r="I135">
            <v>-2.6228811862979481E-3</v>
          </cell>
          <cell r="J135">
            <v>0.21953354386115048</v>
          </cell>
          <cell r="K135">
            <v>9.7873251761557232E-3</v>
          </cell>
          <cell r="L135">
            <v>1.8996303571067411E-4</v>
          </cell>
          <cell r="M135">
            <v>-1.0063348324610677E-3</v>
          </cell>
          <cell r="N135">
            <v>4.5955033580527646E-2</v>
          </cell>
          <cell r="O135">
            <v>9.4763608294083537E-4</v>
          </cell>
          <cell r="P135">
            <v>1.3468458172939476E-2</v>
          </cell>
          <cell r="Q135">
            <v>4.1847360533803592E-2</v>
          </cell>
          <cell r="R135">
            <v>2.6007233739583992E-2</v>
          </cell>
          <cell r="S135">
            <v>1</v>
          </cell>
        </row>
        <row r="136">
          <cell r="A136" t="str">
            <v>F150T</v>
          </cell>
          <cell r="B136" t="str">
            <v>Income Before State Taxes</v>
          </cell>
          <cell r="C136">
            <v>0</v>
          </cell>
          <cell r="D136">
            <v>0</v>
          </cell>
          <cell r="E136">
            <v>0</v>
          </cell>
          <cell r="F136">
            <v>0.71636574804674691</v>
          </cell>
          <cell r="G136">
            <v>-2.1206826505314131</v>
          </cell>
          <cell r="H136">
            <v>0.11770708047220943</v>
          </cell>
          <cell r="I136">
            <v>-8.7241580725519935E-2</v>
          </cell>
          <cell r="J136">
            <v>1.7308353919995922</v>
          </cell>
          <cell r="K136">
            <v>8.1428714941926925E-2</v>
          </cell>
          <cell r="L136">
            <v>2.9714131411404446E-4</v>
          </cell>
          <cell r="M136">
            <v>-3.0935013713150605E-2</v>
          </cell>
          <cell r="N136">
            <v>-0.46475524902484888</v>
          </cell>
          <cell r="O136">
            <v>9.3350258619898062E-3</v>
          </cell>
          <cell r="P136">
            <v>0.14815682120157744</v>
          </cell>
          <cell r="Q136">
            <v>0.6147722944335634</v>
          </cell>
          <cell r="R136">
            <v>0.28471627586296622</v>
          </cell>
          <cell r="S136">
            <v>1</v>
          </cell>
        </row>
        <row r="137">
          <cell r="A137" t="str">
            <v>F150D</v>
          </cell>
          <cell r="B137" t="str">
            <v>Income Before State Taxes</v>
          </cell>
          <cell r="C137">
            <v>0</v>
          </cell>
          <cell r="D137">
            <v>0</v>
          </cell>
          <cell r="E137">
            <v>0</v>
          </cell>
          <cell r="F137">
            <v>0.46437534894583243</v>
          </cell>
          <cell r="G137">
            <v>0.33074361408834801</v>
          </cell>
          <cell r="H137">
            <v>4.9100560283442292E-2</v>
          </cell>
          <cell r="I137">
            <v>2.4765836803917498E-2</v>
          </cell>
          <cell r="J137">
            <v>-3.0461432710225458E-3</v>
          </cell>
          <cell r="K137">
            <v>2.1012263446690254E-3</v>
          </cell>
          <cell r="L137">
            <v>5.3873188602831515E-4</v>
          </cell>
          <cell r="M137">
            <v>2.2751245684578445E-3</v>
          </cell>
          <cell r="N137">
            <v>0.12972623532896871</v>
          </cell>
          <cell r="O137">
            <v>-6.0497095257040286E-5</v>
          </cell>
          <cell r="P137">
            <v>-1.3152163557565805E-4</v>
          </cell>
          <cell r="Q137">
            <v>-2.4637450950914174E-4</v>
          </cell>
          <cell r="R137">
            <v>-1.4214173729466963E-4</v>
          </cell>
          <cell r="S137">
            <v>1</v>
          </cell>
        </row>
        <row r="138">
          <cell r="A138" t="str">
            <v>F150R</v>
          </cell>
          <cell r="B138" t="str">
            <v>Income Before State Taxes</v>
          </cell>
          <cell r="C138">
            <v>0</v>
          </cell>
          <cell r="D138">
            <v>0</v>
          </cell>
          <cell r="E138">
            <v>0</v>
          </cell>
          <cell r="F138">
            <v>-0.7284519173381554</v>
          </cell>
          <cell r="G138">
            <v>-2.3140820483842885E-2</v>
          </cell>
          <cell r="H138">
            <v>0.21113123964315733</v>
          </cell>
          <cell r="I138">
            <v>-1.7748653057892805E-2</v>
          </cell>
          <cell r="J138">
            <v>0.76238558308846149</v>
          </cell>
          <cell r="K138">
            <v>1.24876025064596E-2</v>
          </cell>
          <cell r="L138">
            <v>-3.8325206137654923E-3</v>
          </cell>
          <cell r="M138">
            <v>-1.1275161713342223E-3</v>
          </cell>
          <cell r="N138">
            <v>0.62310998056064038</v>
          </cell>
          <cell r="O138">
            <v>-1.8811757764999331E-4</v>
          </cell>
          <cell r="P138">
            <v>-1.6216749477372112E-3</v>
          </cell>
          <cell r="Q138">
            <v>0.17026653858454344</v>
          </cell>
          <cell r="R138">
            <v>-3.2697242925947513E-3</v>
          </cell>
          <cell r="S138">
            <v>1</v>
          </cell>
        </row>
        <row r="139">
          <cell r="A139" t="str">
            <v>F150M</v>
          </cell>
          <cell r="B139" t="str">
            <v>Income Before State Taxes</v>
          </cell>
          <cell r="C139">
            <v>0</v>
          </cell>
          <cell r="D139">
            <v>0</v>
          </cell>
          <cell r="E139">
            <v>0</v>
          </cell>
          <cell r="F139">
            <v>-7.3082206488909334</v>
          </cell>
          <cell r="G139">
            <v>9.500589471304183</v>
          </cell>
          <cell r="H139">
            <v>0.45409862282010766</v>
          </cell>
          <cell r="I139">
            <v>0.7232728932764001</v>
          </cell>
          <cell r="J139">
            <v>-1.4406154377606339</v>
          </cell>
          <cell r="K139">
            <v>-0.40379667697870431</v>
          </cell>
          <cell r="L139">
            <v>-3.8932620093799718E-3</v>
          </cell>
          <cell r="M139">
            <v>0.1557724397605236</v>
          </cell>
          <cell r="N139">
            <v>1.5734212332865798</v>
          </cell>
          <cell r="O139">
            <v>-3.7910166992317772E-2</v>
          </cell>
          <cell r="P139">
            <v>-0.27994303639762358</v>
          </cell>
          <cell r="Q139">
            <v>-1.4765511830878328</v>
          </cell>
          <cell r="R139">
            <v>-0.45628752199981226</v>
          </cell>
          <cell r="S139">
            <v>1</v>
          </cell>
        </row>
        <row r="140">
          <cell r="A140" t="str">
            <v>F151</v>
          </cell>
          <cell r="B140" t="str">
            <v>Depreciation Expense</v>
          </cell>
          <cell r="C140">
            <v>0</v>
          </cell>
          <cell r="D140">
            <v>0</v>
          </cell>
          <cell r="E140">
            <v>0</v>
          </cell>
          <cell r="F140">
            <v>0.40655676078437381</v>
          </cell>
          <cell r="G140">
            <v>0.26569875790327996</v>
          </cell>
          <cell r="H140">
            <v>8.2247042388827102E-2</v>
          </cell>
          <cell r="I140">
            <v>9.2158223793638305E-3</v>
          </cell>
          <cell r="J140">
            <v>0.12137056696613006</v>
          </cell>
          <cell r="K140">
            <v>8.4296489272596056E-3</v>
          </cell>
          <cell r="L140">
            <v>2.717684120988252E-4</v>
          </cell>
          <cell r="M140">
            <v>3.4696836014617462E-4</v>
          </cell>
          <cell r="N140">
            <v>7.2421446268088205E-2</v>
          </cell>
          <cell r="O140">
            <v>6.3269706723910208E-4</v>
          </cell>
          <cell r="P140">
            <v>6.0607738225710479E-3</v>
          </cell>
          <cell r="Q140">
            <v>1.4549449408987119E-2</v>
          </cell>
          <cell r="R140">
            <v>1.2198297311635352E-2</v>
          </cell>
          <cell r="S140">
            <v>1</v>
          </cell>
        </row>
        <row r="141">
          <cell r="A141" t="str">
            <v>F151G</v>
          </cell>
          <cell r="B141" t="str">
            <v>Depreciation Expense</v>
          </cell>
          <cell r="C141">
            <v>0</v>
          </cell>
          <cell r="D141">
            <v>0</v>
          </cell>
          <cell r="E141">
            <v>0</v>
          </cell>
          <cell r="F141">
            <v>0.34614523771625788</v>
          </cell>
          <cell r="G141">
            <v>0.27714150291305473</v>
          </cell>
          <cell r="H141">
            <v>8.8894393088455981E-2</v>
          </cell>
          <cell r="I141">
            <v>1.841241134830924E-3</v>
          </cell>
          <cell r="J141">
            <v>0.16676727879563391</v>
          </cell>
          <cell r="K141">
            <v>7.0861614678240977E-3</v>
          </cell>
          <cell r="L141">
            <v>1.9995857975879463E-4</v>
          </cell>
          <cell r="M141">
            <v>3.6886945280377838E-4</v>
          </cell>
          <cell r="N141">
            <v>6.5486234694526996E-2</v>
          </cell>
          <cell r="O141">
            <v>6.1474355425440112E-4</v>
          </cell>
          <cell r="P141">
            <v>8.3924759959919659E-3</v>
          </cell>
          <cell r="Q141">
            <v>2.024446728630129E-2</v>
          </cell>
          <cell r="R141">
            <v>1.6817435320305354E-2</v>
          </cell>
          <cell r="S141">
            <v>1</v>
          </cell>
        </row>
        <row r="142">
          <cell r="A142" t="str">
            <v>F151T</v>
          </cell>
          <cell r="B142" t="str">
            <v>Depreciation Expense</v>
          </cell>
          <cell r="C142">
            <v>0</v>
          </cell>
          <cell r="D142">
            <v>0</v>
          </cell>
          <cell r="E142">
            <v>0</v>
          </cell>
          <cell r="F142">
            <v>0.34340037373305027</v>
          </cell>
          <cell r="G142">
            <v>0.27494171416134194</v>
          </cell>
          <cell r="H142">
            <v>8.8188216687089913E-2</v>
          </cell>
          <cell r="I142">
            <v>1.826499460205872E-3</v>
          </cell>
          <cell r="J142">
            <v>0.17276601076781811</v>
          </cell>
          <cell r="K142">
            <v>7.0298346046142185E-3</v>
          </cell>
          <cell r="L142">
            <v>1.9836841352350088E-4</v>
          </cell>
          <cell r="M142">
            <v>3.6591687196195889E-4</v>
          </cell>
          <cell r="N142">
            <v>6.4966607386408096E-2</v>
          </cell>
          <cell r="O142">
            <v>6.0986844749809615E-4</v>
          </cell>
          <cell r="P142">
            <v>8.3638913257047861E-3</v>
          </cell>
          <cell r="Q142">
            <v>2.0082611813620106E-2</v>
          </cell>
          <cell r="R142">
            <v>1.7260086327163283E-2</v>
          </cell>
          <cell r="S142">
            <v>1</v>
          </cell>
        </row>
        <row r="143">
          <cell r="A143" t="str">
            <v>F151D</v>
          </cell>
          <cell r="B143" t="str">
            <v>Depreciation Expense</v>
          </cell>
          <cell r="C143">
            <v>0</v>
          </cell>
          <cell r="D143">
            <v>0</v>
          </cell>
          <cell r="E143">
            <v>0</v>
          </cell>
          <cell r="F143">
            <v>0.55880700310046749</v>
          </cell>
          <cell r="G143">
            <v>0.24047358165360042</v>
          </cell>
          <cell r="H143">
            <v>6.650933156768081E-2</v>
          </cell>
          <cell r="I143">
            <v>2.8225694445843497E-2</v>
          </cell>
          <cell r="J143">
            <v>1.7421816323298744E-3</v>
          </cell>
          <cell r="K143">
            <v>1.1987641390655664E-2</v>
          </cell>
          <cell r="L143">
            <v>4.3237965121809441E-4</v>
          </cell>
          <cell r="M143">
            <v>2.9036822740779382E-4</v>
          </cell>
          <cell r="N143">
            <v>9.0434899826545845E-2</v>
          </cell>
          <cell r="O143">
            <v>6.8932179689858066E-4</v>
          </cell>
          <cell r="P143">
            <v>1.3586556911735254E-4</v>
          </cell>
          <cell r="Q143">
            <v>1.3586556911735254E-4</v>
          </cell>
          <cell r="R143">
            <v>1.3586556911735254E-4</v>
          </cell>
          <cell r="S143">
            <v>1</v>
          </cell>
        </row>
        <row r="144">
          <cell r="A144" t="str">
            <v>F151R</v>
          </cell>
          <cell r="B144" t="str">
            <v>Depreciation Expense</v>
          </cell>
          <cell r="C144">
            <v>0</v>
          </cell>
          <cell r="D144">
            <v>0</v>
          </cell>
          <cell r="E144">
            <v>0</v>
          </cell>
          <cell r="F144">
            <v>0.87121091198399003</v>
          </cell>
          <cell r="G144">
            <v>1.8685618887272257E-2</v>
          </cell>
          <cell r="H144">
            <v>3.6060824098817966E-4</v>
          </cell>
          <cell r="I144">
            <v>1.0806265281044006E-2</v>
          </cell>
          <cell r="J144">
            <v>1.4291196877289564E-3</v>
          </cell>
          <cell r="K144">
            <v>3.5368533735182337E-3</v>
          </cell>
          <cell r="L144">
            <v>2.4986356816757084E-3</v>
          </cell>
          <cell r="M144">
            <v>5.2555973340059469E-4</v>
          </cell>
          <cell r="N144">
            <v>9.0906317860013006E-2</v>
          </cell>
          <cell r="O144">
            <v>1.3313276223762299E-5</v>
          </cell>
          <cell r="P144">
            <v>8.9319980483059787E-6</v>
          </cell>
          <cell r="Q144">
            <v>8.9319980483059787E-6</v>
          </cell>
          <cell r="R144">
            <v>8.9319980483059787E-6</v>
          </cell>
          <cell r="S144">
            <v>1</v>
          </cell>
        </row>
        <row r="145">
          <cell r="A145" t="str">
            <v>F151M</v>
          </cell>
          <cell r="B145" t="str">
            <v>Depreciation Expense</v>
          </cell>
          <cell r="C145">
            <v>0</v>
          </cell>
          <cell r="D145">
            <v>0</v>
          </cell>
          <cell r="E145">
            <v>0</v>
          </cell>
          <cell r="F145">
            <v>7.6923076923076927E-2</v>
          </cell>
          <cell r="G145">
            <v>7.6923076923076927E-2</v>
          </cell>
          <cell r="H145">
            <v>7.6923076923076927E-2</v>
          </cell>
          <cell r="I145">
            <v>7.6923076923076927E-2</v>
          </cell>
          <cell r="J145">
            <v>7.6923076923076927E-2</v>
          </cell>
          <cell r="K145">
            <v>7.6923076923076927E-2</v>
          </cell>
          <cell r="L145">
            <v>7.6923076923076927E-2</v>
          </cell>
          <cell r="M145">
            <v>7.6923076923076927E-2</v>
          </cell>
          <cell r="N145">
            <v>7.6923076923076927E-2</v>
          </cell>
          <cell r="O145">
            <v>7.6923076923076927E-2</v>
          </cell>
          <cell r="P145">
            <v>7.6923076923076927E-2</v>
          </cell>
          <cell r="Q145">
            <v>7.6923076923076927E-2</v>
          </cell>
          <cell r="R145">
            <v>7.6923076923076927E-2</v>
          </cell>
          <cell r="S145">
            <v>1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State of Utah</v>
          </cell>
        </row>
        <row r="17">
          <cell r="H17">
            <v>0.37950999999999996</v>
          </cell>
        </row>
      </sheetData>
      <sheetData sheetId="1" refreshError="1"/>
      <sheetData sheetId="2"/>
      <sheetData sheetId="3">
        <row r="94">
          <cell r="D94">
            <v>22277537.413922604</v>
          </cell>
        </row>
      </sheetData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>
        <row r="58">
          <cell r="H58">
            <v>5752868671.222683</v>
          </cell>
        </row>
      </sheetData>
      <sheetData sheetId="12"/>
      <sheetData sheetId="13"/>
      <sheetData sheetId="14"/>
      <sheetData sheetId="15"/>
      <sheetData sheetId="16"/>
      <sheetData sheetId="17">
        <row r="120">
          <cell r="F120" t="str">
            <v>2010 Protocol</v>
          </cell>
        </row>
      </sheetData>
      <sheetData sheetId="18">
        <row r="4">
          <cell r="I4">
            <v>0.73983771349904326</v>
          </cell>
        </row>
      </sheetData>
      <sheetData sheetId="19">
        <row r="61">
          <cell r="E61">
            <v>6.6413560461439841E-2</v>
          </cell>
        </row>
        <row r="722">
          <cell r="Y722">
            <v>11440.454450226256</v>
          </cell>
        </row>
        <row r="724">
          <cell r="Y724">
            <v>38084.035315421454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778">
          <cell r="Y1778">
            <v>0</v>
          </cell>
        </row>
        <row r="1867">
          <cell r="F1867">
            <v>-2239290.6767274253</v>
          </cell>
        </row>
        <row r="1912">
          <cell r="F1912">
            <v>1.0719561604796075</v>
          </cell>
        </row>
      </sheetData>
      <sheetData sheetId="20" refreshError="1"/>
      <sheetData sheetId="21">
        <row r="10">
          <cell r="A10" t="str">
            <v>FACTOR NAME</v>
          </cell>
        </row>
      </sheetData>
      <sheetData sheetId="22">
        <row r="11">
          <cell r="A11" t="str">
            <v>FACTOR</v>
          </cell>
        </row>
      </sheetData>
      <sheetData sheetId="23" refreshError="1"/>
      <sheetData sheetId="24">
        <row r="14">
          <cell r="A14" t="str">
            <v>A</v>
          </cell>
        </row>
      </sheetData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NPC Factors"/>
      <sheetName val="Revenues"/>
      <sheetName val="TransInvest"/>
      <sheetName val="DistInvest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9">
          <cell r="L9">
            <v>8.2837271695077097E-2</v>
          </cell>
        </row>
        <row r="11">
          <cell r="Y11">
            <v>1</v>
          </cell>
        </row>
        <row r="19">
          <cell r="K19">
            <v>0.47799999999999998</v>
          </cell>
        </row>
        <row r="20">
          <cell r="K20">
            <v>3.0000000000000001E-3</v>
          </cell>
        </row>
        <row r="21">
          <cell r="K21">
            <v>0.51900000000000002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>
        <row r="61">
          <cell r="H61">
            <v>5.6674747264269187E-2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Table of Contents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Billing Costs"/>
      <sheetName val="Full MC %"/>
      <sheetName val="10 Year UC"/>
      <sheetName val="10 Year FC"/>
      <sheetName val="5 Year MC"/>
      <sheetName val="1 Year MC"/>
      <sheetName val="Capacity"/>
      <sheetName val="Energy"/>
      <sheetName val="Avoided Costs"/>
      <sheetName val="Transm1"/>
      <sheetName val="Transm2"/>
      <sheetName val="Trans_OM"/>
      <sheetName val="TransLF"/>
      <sheetName val="Dist Sub 1"/>
      <sheetName val="Dist Sub 2"/>
      <sheetName val="Circuit Model Intro"/>
      <sheetName val="PC1"/>
      <sheetName val="PC2"/>
      <sheetName val="PC3"/>
      <sheetName val="PC4"/>
      <sheetName val="PC5"/>
      <sheetName val="PC6"/>
      <sheetName val="PC7"/>
      <sheetName val="PC8"/>
      <sheetName val="PC9"/>
      <sheetName val="PC10"/>
      <sheetName val="PC11"/>
      <sheetName val="PC12"/>
      <sheetName val="PC1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Services 1"/>
      <sheetName val="Services 2"/>
      <sheetName val="Streetlights"/>
      <sheetName val="Cust Exp Sum"/>
      <sheetName val="Cust Exp Year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Escalation Factors"/>
      <sheetName val="Index"/>
      <sheetName val="SumTable"/>
      <sheetName val="Dialog"/>
    </sheetNames>
    <sheetDataSet>
      <sheetData sheetId="0">
        <row r="10">
          <cell r="C10" t="str">
            <v>Utah</v>
          </cell>
        </row>
        <row r="12">
          <cell r="C12" t="str">
            <v>Plateau</v>
          </cell>
        </row>
        <row r="13">
          <cell r="C13">
            <v>2012</v>
          </cell>
        </row>
        <row r="18">
          <cell r="C18">
            <v>2010</v>
          </cell>
          <cell r="D18">
            <v>2012</v>
          </cell>
        </row>
        <row r="19">
          <cell r="C19">
            <v>2010</v>
          </cell>
          <cell r="D19">
            <v>2012</v>
          </cell>
        </row>
        <row r="20">
          <cell r="C20">
            <v>2010</v>
          </cell>
          <cell r="D20">
            <v>2012</v>
          </cell>
        </row>
        <row r="21">
          <cell r="C21">
            <v>2010</v>
          </cell>
          <cell r="D21">
            <v>2012</v>
          </cell>
        </row>
        <row r="22">
          <cell r="C22">
            <v>2011</v>
          </cell>
          <cell r="D22">
            <v>2012</v>
          </cell>
        </row>
        <row r="23">
          <cell r="C23">
            <v>2010</v>
          </cell>
          <cell r="D23">
            <v>2012</v>
          </cell>
        </row>
        <row r="24">
          <cell r="C24">
            <v>2010</v>
          </cell>
          <cell r="D24">
            <v>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A3" t="str">
            <v>PacifiCorp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Marginal Generation Costs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Filed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>
            <v>0</v>
          </cell>
          <cell r="B6" t="str">
            <v xml:space="preserve">                  12 Months Ended December</v>
          </cell>
          <cell r="C6">
            <v>0</v>
          </cell>
          <cell r="D6">
            <v>0</v>
          </cell>
          <cell r="E6" t="str">
            <v>12 Months Ended December</v>
          </cell>
          <cell r="F6">
            <v>0</v>
          </cell>
          <cell r="G6">
            <v>0</v>
          </cell>
        </row>
        <row r="7">
          <cell r="A7">
            <v>0</v>
          </cell>
          <cell r="B7" t="str">
            <v xml:space="preserve">Avoided Simple Cycle </v>
          </cell>
          <cell r="C7" t="str">
            <v xml:space="preserve">Avoided Combined Cycle </v>
          </cell>
          <cell r="D7" t="str">
            <v>Gas</v>
          </cell>
          <cell r="E7" t="str">
            <v>Avoided Firm</v>
          </cell>
          <cell r="F7" t="str">
            <v>Combined</v>
          </cell>
          <cell r="G7" t="str">
            <v>Gas</v>
          </cell>
        </row>
        <row r="8">
          <cell r="A8" t="str">
            <v>Calendar</v>
          </cell>
          <cell r="B8" t="str">
            <v xml:space="preserve">CT Fixed </v>
          </cell>
          <cell r="C8" t="str">
            <v xml:space="preserve">CT Fixed </v>
          </cell>
          <cell r="D8" t="str">
            <v>Price</v>
          </cell>
          <cell r="E8" t="str">
            <v>Capacity</v>
          </cell>
          <cell r="F8" t="str">
            <v>Cycle CT</v>
          </cell>
          <cell r="G8" t="str">
            <v>Price</v>
          </cell>
        </row>
        <row r="9">
          <cell r="A9" t="str">
            <v>Year</v>
          </cell>
          <cell r="B9" t="str">
            <v>Costs</v>
          </cell>
          <cell r="C9" t="str">
            <v>Costs</v>
          </cell>
          <cell r="D9">
            <v>0</v>
          </cell>
          <cell r="E9" t="str">
            <v>Costs</v>
          </cell>
          <cell r="F9" t="str">
            <v>Fixed Cost</v>
          </cell>
          <cell r="G9">
            <v>0</v>
          </cell>
        </row>
        <row r="10">
          <cell r="A10">
            <v>0</v>
          </cell>
          <cell r="B10" t="str">
            <v>($/kW-yr)</v>
          </cell>
          <cell r="C10" t="str">
            <v>($/kW-yr)</v>
          </cell>
          <cell r="D10" t="str">
            <v>($/MMBtu)</v>
          </cell>
          <cell r="E10" t="str">
            <v>($/kW-yr)</v>
          </cell>
          <cell r="F10" t="str">
            <v>($/kW-yr)</v>
          </cell>
          <cell r="G10" t="str">
            <v>($/MMBtu)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>
            <v>2012</v>
          </cell>
          <cell r="B12">
            <v>99.31</v>
          </cell>
          <cell r="C12">
            <v>150.33000000000001</v>
          </cell>
          <cell r="D12">
            <v>5.53</v>
          </cell>
          <cell r="E12">
            <v>99.31</v>
          </cell>
          <cell r="F12">
            <v>150.33000000000001</v>
          </cell>
          <cell r="G12">
            <v>5.53</v>
          </cell>
        </row>
        <row r="13">
          <cell r="A13">
            <v>2013</v>
          </cell>
          <cell r="B13">
            <v>101.29</v>
          </cell>
          <cell r="C13">
            <v>153.36000000000001</v>
          </cell>
          <cell r="D13">
            <v>5.75</v>
          </cell>
          <cell r="E13">
            <v>101.29</v>
          </cell>
          <cell r="F13">
            <v>153.36000000000001</v>
          </cell>
          <cell r="G13">
            <v>5.75</v>
          </cell>
        </row>
        <row r="14">
          <cell r="A14">
            <v>2014</v>
          </cell>
          <cell r="B14">
            <v>103.22</v>
          </cell>
          <cell r="C14">
            <v>156.26</v>
          </cell>
          <cell r="D14">
            <v>6.04</v>
          </cell>
          <cell r="E14">
            <v>103.22</v>
          </cell>
          <cell r="F14">
            <v>156.26</v>
          </cell>
          <cell r="G14">
            <v>6.04</v>
          </cell>
        </row>
        <row r="15">
          <cell r="A15">
            <v>2015</v>
          </cell>
          <cell r="B15">
            <v>105.02</v>
          </cell>
          <cell r="C15">
            <v>159</v>
          </cell>
          <cell r="D15">
            <v>6.35</v>
          </cell>
          <cell r="E15">
            <v>105.02</v>
          </cell>
          <cell r="F15">
            <v>159</v>
          </cell>
          <cell r="G15">
            <v>6.35</v>
          </cell>
        </row>
        <row r="16">
          <cell r="A16">
            <v>2016</v>
          </cell>
          <cell r="B16">
            <v>106.87</v>
          </cell>
          <cell r="C16">
            <v>161.79</v>
          </cell>
          <cell r="D16">
            <v>6.82</v>
          </cell>
          <cell r="E16">
            <v>106.87</v>
          </cell>
          <cell r="F16">
            <v>161.79</v>
          </cell>
          <cell r="G16">
            <v>6.82</v>
          </cell>
        </row>
        <row r="17">
          <cell r="A17">
            <v>2017</v>
          </cell>
          <cell r="B17">
            <v>108.74</v>
          </cell>
          <cell r="C17">
            <v>164.63</v>
          </cell>
          <cell r="D17">
            <v>7.27</v>
          </cell>
          <cell r="E17">
            <v>108.74</v>
          </cell>
          <cell r="F17">
            <v>164.63</v>
          </cell>
          <cell r="G17">
            <v>7.27</v>
          </cell>
        </row>
        <row r="18">
          <cell r="A18">
            <v>2018</v>
          </cell>
          <cell r="B18">
            <v>110.65</v>
          </cell>
          <cell r="C18">
            <v>167.52</v>
          </cell>
          <cell r="D18">
            <v>7.56</v>
          </cell>
          <cell r="E18">
            <v>110.65</v>
          </cell>
          <cell r="F18">
            <v>167.52</v>
          </cell>
          <cell r="G18">
            <v>7.56</v>
          </cell>
        </row>
        <row r="19">
          <cell r="A19">
            <v>2019</v>
          </cell>
          <cell r="B19">
            <v>112.59</v>
          </cell>
          <cell r="C19">
            <v>170.46</v>
          </cell>
          <cell r="D19">
            <v>7.38</v>
          </cell>
          <cell r="E19">
            <v>112.59</v>
          </cell>
          <cell r="F19">
            <v>170.46</v>
          </cell>
          <cell r="G19">
            <v>7.38</v>
          </cell>
        </row>
        <row r="20">
          <cell r="A20">
            <v>2020</v>
          </cell>
          <cell r="B20">
            <v>114.57</v>
          </cell>
          <cell r="C20">
            <v>173.45</v>
          </cell>
          <cell r="D20">
            <v>7.44</v>
          </cell>
          <cell r="E20">
            <v>114.57</v>
          </cell>
          <cell r="F20">
            <v>173.45</v>
          </cell>
          <cell r="G20">
            <v>7.44</v>
          </cell>
        </row>
        <row r="21">
          <cell r="A21">
            <v>2021</v>
          </cell>
          <cell r="B21">
            <v>116.58</v>
          </cell>
          <cell r="C21">
            <v>176.5</v>
          </cell>
          <cell r="D21">
            <v>7.88</v>
          </cell>
          <cell r="E21">
            <v>116.58</v>
          </cell>
          <cell r="F21">
            <v>176.5</v>
          </cell>
          <cell r="G21">
            <v>7.88</v>
          </cell>
        </row>
        <row r="22">
          <cell r="A22">
            <v>2022</v>
          </cell>
          <cell r="B22">
            <v>118.62</v>
          </cell>
          <cell r="C22">
            <v>179.6</v>
          </cell>
          <cell r="D22">
            <v>8.42</v>
          </cell>
          <cell r="E22">
            <v>118.62</v>
          </cell>
          <cell r="F22">
            <v>179.6</v>
          </cell>
          <cell r="G22">
            <v>8.42</v>
          </cell>
        </row>
        <row r="23">
          <cell r="A23">
            <v>2023</v>
          </cell>
          <cell r="B23">
            <v>120.7</v>
          </cell>
          <cell r="C23">
            <v>182.74</v>
          </cell>
          <cell r="D23">
            <v>7.96</v>
          </cell>
          <cell r="E23">
            <v>120.7</v>
          </cell>
          <cell r="F23">
            <v>182.74</v>
          </cell>
          <cell r="G23">
            <v>7.96</v>
          </cell>
        </row>
        <row r="24">
          <cell r="A24">
            <v>2024</v>
          </cell>
          <cell r="B24">
            <v>122.82</v>
          </cell>
          <cell r="C24">
            <v>185.95</v>
          </cell>
          <cell r="D24">
            <v>7.75</v>
          </cell>
          <cell r="E24">
            <v>122.82</v>
          </cell>
          <cell r="F24">
            <v>185.95</v>
          </cell>
          <cell r="G24">
            <v>7.75</v>
          </cell>
        </row>
        <row r="25">
          <cell r="A25">
            <v>2025</v>
          </cell>
          <cell r="B25">
            <v>124.98</v>
          </cell>
          <cell r="C25">
            <v>189.21</v>
          </cell>
          <cell r="D25">
            <v>8.18</v>
          </cell>
          <cell r="E25">
            <v>124.98</v>
          </cell>
          <cell r="F25">
            <v>189.21</v>
          </cell>
          <cell r="G25">
            <v>8.18</v>
          </cell>
        </row>
        <row r="26">
          <cell r="A26">
            <v>2026</v>
          </cell>
          <cell r="B26">
            <v>127.17</v>
          </cell>
          <cell r="C26">
            <v>192.53</v>
          </cell>
          <cell r="D26">
            <v>8.43</v>
          </cell>
          <cell r="E26">
            <v>127.17</v>
          </cell>
          <cell r="F26">
            <v>192.53</v>
          </cell>
          <cell r="G26">
            <v>8.43</v>
          </cell>
        </row>
        <row r="27">
          <cell r="A27">
            <v>2027</v>
          </cell>
          <cell r="B27">
            <v>129.4</v>
          </cell>
          <cell r="C27">
            <v>195.91</v>
          </cell>
          <cell r="D27">
            <v>8.2799999999999994</v>
          </cell>
          <cell r="E27">
            <v>129.4</v>
          </cell>
          <cell r="F27">
            <v>195.91</v>
          </cell>
          <cell r="G27">
            <v>8.2799999999999994</v>
          </cell>
        </row>
        <row r="28">
          <cell r="A28">
            <v>2028</v>
          </cell>
          <cell r="B28">
            <v>131.66999999999999</v>
          </cell>
          <cell r="C28">
            <v>199.35</v>
          </cell>
          <cell r="D28">
            <v>8.5399999999999991</v>
          </cell>
          <cell r="E28">
            <v>131.66999999999999</v>
          </cell>
          <cell r="F28">
            <v>199.35</v>
          </cell>
          <cell r="G28">
            <v>8.5399999999999991</v>
          </cell>
        </row>
        <row r="29">
          <cell r="A29">
            <v>2029</v>
          </cell>
          <cell r="B29">
            <v>133.97999999999999</v>
          </cell>
          <cell r="C29">
            <v>202.85</v>
          </cell>
          <cell r="D29">
            <v>8.86</v>
          </cell>
          <cell r="E29">
            <v>133.97999999999999</v>
          </cell>
          <cell r="F29">
            <v>202.85</v>
          </cell>
          <cell r="G29">
            <v>8.86</v>
          </cell>
        </row>
        <row r="30">
          <cell r="A30">
            <v>2030</v>
          </cell>
          <cell r="B30">
            <v>136.33000000000001</v>
          </cell>
          <cell r="C30">
            <v>206.41</v>
          </cell>
          <cell r="D30">
            <v>9.09</v>
          </cell>
          <cell r="E30">
            <v>136.33000000000001</v>
          </cell>
          <cell r="F30">
            <v>206.41</v>
          </cell>
          <cell r="G30">
            <v>9.09</v>
          </cell>
        </row>
        <row r="31">
          <cell r="A31">
            <v>2031</v>
          </cell>
          <cell r="B31">
            <v>138.72</v>
          </cell>
          <cell r="C31">
            <v>210.03</v>
          </cell>
          <cell r="D31">
            <v>9.25</v>
          </cell>
          <cell r="E31">
            <v>138.72</v>
          </cell>
          <cell r="F31">
            <v>210.03</v>
          </cell>
          <cell r="G31">
            <v>9.25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CCCT Capacity Factor</v>
          </cell>
          <cell r="B33">
            <v>0.505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CCCT Heat Rate (Btu/kWh)</v>
          </cell>
          <cell r="B34">
            <v>7160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5">
          <cell r="E35">
            <v>1.0468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46">
          <cell r="G46">
            <v>0.10950000000000001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Report"/>
      <sheetName val="NRO"/>
      <sheetName val="ADJ"/>
      <sheetName val="URO"/>
      <sheetName val="UTCR"/>
      <sheetName val="Unadj Data for RAM"/>
      <sheetName val="CWC"/>
      <sheetName val="Inputs"/>
      <sheetName val="Variables"/>
      <sheetName val="Factors"/>
      <sheetName val="Check"/>
      <sheetName val="WelcomeDialog"/>
      <sheetName val="Macro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PPL_901_Pg 1 (Func RR)"/>
      <sheetName val="PPL_901_ Pg 2 (Func RR)"/>
      <sheetName val="PPL_902 (Func Results)"/>
      <sheetName val="PPL_903 (Ancillary)"/>
      <sheetName val="PPL_904 (Marginal Costs)"/>
      <sheetName val="PPL_905_Pg1 (RR by Class)"/>
      <sheetName val="PPL_905_Pg2 (RR Earned)"/>
      <sheetName val="PPL_905_Pg3 (RR Target)"/>
      <sheetName val="PPL_905_Pg4 (FERC Trans)"/>
      <sheetName val="Dist Split"/>
      <sheetName val="Results - Not Exhibit"/>
      <sheetName val="&lt;&lt;&lt; Exhibits File"/>
      <sheetName val="Variables"/>
      <sheetName val="Table of Conte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Avoided Costs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Circuit Model &gt;&gt;&gt;"/>
      <sheetName val="Circuit Model Intro"/>
      <sheetName val="PC 4"/>
      <sheetName val="PC 5"/>
      <sheetName val="PC 6"/>
      <sheetName val="PC 7"/>
      <sheetName val="PC 8"/>
      <sheetName val="PC 9"/>
      <sheetName val="PC 10"/>
      <sheetName val="PC 11"/>
      <sheetName val="PC 12"/>
      <sheetName val="PC 13"/>
      <sheetName val="PC 14"/>
      <sheetName val="&lt;&lt;&lt; Circuit Model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Escalation Factors"/>
      <sheetName val="Index"/>
      <sheetName val="SumTable"/>
      <sheetName val="Dialog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>
        <row r="37">
          <cell r="C37">
            <v>681451.07185323874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C10" t="str">
            <v>Oregon</v>
          </cell>
        </row>
        <row r="11">
          <cell r="C11" t="str">
            <v>December 2011</v>
          </cell>
        </row>
        <row r="18">
          <cell r="C18">
            <v>2009</v>
          </cell>
          <cell r="D18">
            <v>2011</v>
          </cell>
        </row>
        <row r="19">
          <cell r="C19">
            <v>2009</v>
          </cell>
          <cell r="D19">
            <v>2011</v>
          </cell>
        </row>
        <row r="20">
          <cell r="C20">
            <v>2009</v>
          </cell>
          <cell r="D20">
            <v>2011</v>
          </cell>
        </row>
        <row r="21">
          <cell r="C21">
            <v>2009</v>
          </cell>
          <cell r="D21">
            <v>2011</v>
          </cell>
        </row>
        <row r="22">
          <cell r="C22">
            <v>2010</v>
          </cell>
          <cell r="D22">
            <v>2011</v>
          </cell>
        </row>
        <row r="23">
          <cell r="C23">
            <v>2009</v>
          </cell>
          <cell r="D23">
            <v>2011</v>
          </cell>
        </row>
        <row r="24">
          <cell r="C24">
            <v>2009</v>
          </cell>
          <cell r="D24">
            <v>2011</v>
          </cell>
        </row>
      </sheetData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3">
          <cell r="A3" t="str">
            <v>PacifiCorp</v>
          </cell>
        </row>
        <row r="4">
          <cell r="A4" t="str">
            <v>Marginal Generation Costs</v>
          </cell>
        </row>
        <row r="5">
          <cell r="A5" t="str">
            <v>Filed</v>
          </cell>
        </row>
        <row r="6">
          <cell r="B6" t="str">
            <v xml:space="preserve">                  12 Months Ended December</v>
          </cell>
          <cell r="E6" t="str">
            <v>12 Months Ended December</v>
          </cell>
        </row>
        <row r="7">
          <cell r="B7" t="str">
            <v xml:space="preserve">Avoided Simple Cycle </v>
          </cell>
          <cell r="C7" t="str">
            <v xml:space="preserve">Avoided Combined Cycle </v>
          </cell>
          <cell r="D7" t="str">
            <v>Gas</v>
          </cell>
          <cell r="E7" t="str">
            <v>Avoided Firm</v>
          </cell>
          <cell r="F7" t="str">
            <v>Combined</v>
          </cell>
          <cell r="G7" t="str">
            <v>Gas</v>
          </cell>
        </row>
        <row r="8">
          <cell r="A8" t="str">
            <v>Calendar</v>
          </cell>
          <cell r="B8" t="str">
            <v xml:space="preserve">CT Fixed </v>
          </cell>
          <cell r="C8" t="str">
            <v xml:space="preserve">CT Fixed </v>
          </cell>
          <cell r="D8" t="str">
            <v>Price</v>
          </cell>
          <cell r="E8" t="str">
            <v>Capacity</v>
          </cell>
          <cell r="F8" t="str">
            <v>Cycle CT</v>
          </cell>
          <cell r="G8" t="str">
            <v>Price</v>
          </cell>
        </row>
        <row r="9">
          <cell r="A9" t="str">
            <v>Year</v>
          </cell>
          <cell r="B9" t="str">
            <v>Costs</v>
          </cell>
          <cell r="C9" t="str">
            <v>Costs</v>
          </cell>
          <cell r="E9" t="str">
            <v>Costs</v>
          </cell>
          <cell r="F9" t="str">
            <v>Fixed Cost</v>
          </cell>
        </row>
        <row r="10">
          <cell r="B10" t="str">
            <v>($/kW-yr)</v>
          </cell>
          <cell r="C10" t="str">
            <v>($/kW-yr)</v>
          </cell>
          <cell r="D10" t="str">
            <v>($/MMBtu)</v>
          </cell>
          <cell r="E10" t="str">
            <v>($/kW-yr)</v>
          </cell>
          <cell r="F10" t="str">
            <v>($/kW-yr)</v>
          </cell>
          <cell r="G10" t="str">
            <v>($/MMBtu)</v>
          </cell>
        </row>
        <row r="14">
          <cell r="A14">
            <v>2011</v>
          </cell>
          <cell r="B14">
            <v>79.2</v>
          </cell>
          <cell r="C14">
            <v>124.47</v>
          </cell>
          <cell r="D14">
            <v>6.74</v>
          </cell>
          <cell r="E14">
            <v>79.2</v>
          </cell>
          <cell r="F14">
            <v>124.47</v>
          </cell>
          <cell r="G14">
            <v>6.74</v>
          </cell>
        </row>
        <row r="15">
          <cell r="A15">
            <v>2012</v>
          </cell>
          <cell r="B15">
            <v>80.62</v>
          </cell>
          <cell r="C15">
            <v>126.71</v>
          </cell>
          <cell r="D15">
            <v>7.08</v>
          </cell>
          <cell r="E15">
            <v>80.62</v>
          </cell>
          <cell r="F15">
            <v>126.71</v>
          </cell>
          <cell r="G15">
            <v>7.08</v>
          </cell>
        </row>
        <row r="16">
          <cell r="A16">
            <v>2013</v>
          </cell>
          <cell r="B16">
            <v>82.17</v>
          </cell>
          <cell r="C16">
            <v>129.13</v>
          </cell>
          <cell r="D16">
            <v>7.23</v>
          </cell>
          <cell r="E16">
            <v>82.17</v>
          </cell>
          <cell r="F16">
            <v>129.13</v>
          </cell>
          <cell r="G16">
            <v>7.23</v>
          </cell>
        </row>
        <row r="17">
          <cell r="A17">
            <v>2014</v>
          </cell>
          <cell r="B17">
            <v>83.73</v>
          </cell>
          <cell r="C17">
            <v>131.59</v>
          </cell>
          <cell r="D17">
            <v>7.38</v>
          </cell>
          <cell r="E17">
            <v>83.73</v>
          </cell>
          <cell r="F17">
            <v>131.59</v>
          </cell>
          <cell r="G17">
            <v>7.38</v>
          </cell>
        </row>
        <row r="18">
          <cell r="A18">
            <v>2015</v>
          </cell>
          <cell r="B18">
            <v>85.32</v>
          </cell>
          <cell r="C18">
            <v>134.09</v>
          </cell>
          <cell r="D18">
            <v>7.38</v>
          </cell>
          <cell r="E18">
            <v>85.32</v>
          </cell>
          <cell r="F18">
            <v>134.09</v>
          </cell>
          <cell r="G18">
            <v>7.38</v>
          </cell>
        </row>
        <row r="19">
          <cell r="A19">
            <v>2016</v>
          </cell>
          <cell r="B19">
            <v>86.95</v>
          </cell>
          <cell r="C19">
            <v>136.65</v>
          </cell>
          <cell r="D19">
            <v>7.14</v>
          </cell>
          <cell r="E19">
            <v>86.95</v>
          </cell>
          <cell r="F19">
            <v>136.65</v>
          </cell>
          <cell r="G19">
            <v>7.14</v>
          </cell>
        </row>
        <row r="20">
          <cell r="A20">
            <v>2017</v>
          </cell>
          <cell r="B20">
            <v>88.61</v>
          </cell>
          <cell r="C20">
            <v>139.26</v>
          </cell>
          <cell r="D20">
            <v>7.07</v>
          </cell>
          <cell r="E20">
            <v>88.61</v>
          </cell>
          <cell r="F20">
            <v>139.26</v>
          </cell>
          <cell r="G20">
            <v>7.07</v>
          </cell>
        </row>
        <row r="21">
          <cell r="A21">
            <v>2018</v>
          </cell>
          <cell r="B21">
            <v>90.3</v>
          </cell>
          <cell r="C21">
            <v>141.91</v>
          </cell>
          <cell r="D21">
            <v>7.15</v>
          </cell>
          <cell r="E21">
            <v>90.3</v>
          </cell>
          <cell r="F21">
            <v>141.91</v>
          </cell>
          <cell r="G21">
            <v>7.15</v>
          </cell>
        </row>
        <row r="22">
          <cell r="A22">
            <v>2019</v>
          </cell>
          <cell r="B22">
            <v>92.03</v>
          </cell>
          <cell r="C22">
            <v>144.63</v>
          </cell>
          <cell r="D22">
            <v>7.5</v>
          </cell>
          <cell r="E22">
            <v>92.03</v>
          </cell>
          <cell r="F22">
            <v>144.63</v>
          </cell>
          <cell r="G22">
            <v>7.5</v>
          </cell>
        </row>
        <row r="23">
          <cell r="A23">
            <v>2020</v>
          </cell>
          <cell r="B23">
            <v>93.79</v>
          </cell>
          <cell r="C23">
            <v>147.38999999999999</v>
          </cell>
          <cell r="D23">
            <v>7.93</v>
          </cell>
          <cell r="E23">
            <v>93.79</v>
          </cell>
          <cell r="F23">
            <v>147.38999999999999</v>
          </cell>
          <cell r="G23">
            <v>7.93</v>
          </cell>
        </row>
        <row r="24">
          <cell r="A24">
            <v>2021</v>
          </cell>
          <cell r="B24">
            <v>95.57</v>
          </cell>
          <cell r="C24">
            <v>150.21</v>
          </cell>
          <cell r="D24">
            <v>8.44</v>
          </cell>
          <cell r="E24">
            <v>95.57</v>
          </cell>
          <cell r="F24">
            <v>150.21</v>
          </cell>
          <cell r="G24">
            <v>8.44</v>
          </cell>
        </row>
        <row r="25">
          <cell r="A25">
            <v>2022</v>
          </cell>
          <cell r="B25">
            <v>97.4</v>
          </cell>
          <cell r="C25">
            <v>153.07</v>
          </cell>
          <cell r="D25">
            <v>8.42</v>
          </cell>
          <cell r="E25">
            <v>97.4</v>
          </cell>
          <cell r="F25">
            <v>153.07</v>
          </cell>
          <cell r="G25">
            <v>8.42</v>
          </cell>
        </row>
        <row r="26">
          <cell r="A26">
            <v>2023</v>
          </cell>
          <cell r="B26">
            <v>99.26</v>
          </cell>
          <cell r="C26">
            <v>155.99</v>
          </cell>
          <cell r="D26">
            <v>8.5</v>
          </cell>
          <cell r="E26">
            <v>99.26</v>
          </cell>
          <cell r="F26">
            <v>155.99</v>
          </cell>
          <cell r="G26">
            <v>8.5</v>
          </cell>
        </row>
        <row r="27">
          <cell r="A27">
            <v>2024</v>
          </cell>
          <cell r="B27">
            <v>101.16</v>
          </cell>
          <cell r="C27">
            <v>158.97</v>
          </cell>
          <cell r="D27">
            <v>7.3</v>
          </cell>
          <cell r="E27">
            <v>101.16</v>
          </cell>
          <cell r="F27">
            <v>158.97</v>
          </cell>
          <cell r="G27">
            <v>7.3</v>
          </cell>
        </row>
        <row r="28">
          <cell r="A28">
            <v>2025</v>
          </cell>
          <cell r="B28">
            <v>103.08</v>
          </cell>
          <cell r="C28">
            <v>162.01</v>
          </cell>
          <cell r="D28">
            <v>7.66</v>
          </cell>
          <cell r="E28">
            <v>103.08</v>
          </cell>
          <cell r="F28">
            <v>162.01</v>
          </cell>
          <cell r="G28">
            <v>7.66</v>
          </cell>
        </row>
        <row r="29">
          <cell r="A29">
            <v>2026</v>
          </cell>
          <cell r="B29">
            <v>105.05</v>
          </cell>
          <cell r="C29">
            <v>165.1</v>
          </cell>
          <cell r="D29">
            <v>8.2200000000000006</v>
          </cell>
          <cell r="E29">
            <v>105.05</v>
          </cell>
          <cell r="F29">
            <v>165.1</v>
          </cell>
          <cell r="G29">
            <v>8.2200000000000006</v>
          </cell>
        </row>
        <row r="30">
          <cell r="A30">
            <v>2027</v>
          </cell>
          <cell r="B30">
            <v>107.06</v>
          </cell>
          <cell r="C30">
            <v>168.25</v>
          </cell>
          <cell r="D30">
            <v>8.33</v>
          </cell>
          <cell r="E30">
            <v>107.06</v>
          </cell>
          <cell r="F30">
            <v>168.25</v>
          </cell>
          <cell r="G30">
            <v>8.33</v>
          </cell>
        </row>
        <row r="31">
          <cell r="A31">
            <v>2028</v>
          </cell>
          <cell r="B31">
            <v>109.1</v>
          </cell>
          <cell r="C31">
            <v>171.46</v>
          </cell>
          <cell r="D31">
            <v>8.7200000000000006</v>
          </cell>
          <cell r="E31">
            <v>109.1</v>
          </cell>
          <cell r="F31">
            <v>171.46</v>
          </cell>
          <cell r="G31">
            <v>8.7200000000000006</v>
          </cell>
        </row>
        <row r="32">
          <cell r="A32">
            <v>2029</v>
          </cell>
          <cell r="B32">
            <v>111.18</v>
          </cell>
          <cell r="C32">
            <v>174.74</v>
          </cell>
          <cell r="D32">
            <v>9.02</v>
          </cell>
          <cell r="E32">
            <v>111.18</v>
          </cell>
          <cell r="F32">
            <v>174.74</v>
          </cell>
          <cell r="G32">
            <v>9.02</v>
          </cell>
        </row>
        <row r="33">
          <cell r="A33">
            <v>2030</v>
          </cell>
          <cell r="B33">
            <v>113.31</v>
          </cell>
          <cell r="C33">
            <v>178.07</v>
          </cell>
          <cell r="D33">
            <v>9.52</v>
          </cell>
          <cell r="E33">
            <v>113.31</v>
          </cell>
          <cell r="F33">
            <v>178.07</v>
          </cell>
          <cell r="G33">
            <v>9.52</v>
          </cell>
        </row>
        <row r="35">
          <cell r="A35" t="str">
            <v>CCCT Capacity Factor</v>
          </cell>
          <cell r="B35">
            <v>0.51500000000000001</v>
          </cell>
        </row>
        <row r="36">
          <cell r="A36" t="str">
            <v>CCCT Heat Rate (Btu/kWh)</v>
          </cell>
          <cell r="B36">
            <v>7150</v>
          </cell>
        </row>
        <row r="38">
          <cell r="A38" t="str">
            <v xml:space="preserve">Source:  </v>
          </cell>
          <cell r="E38" t="str">
            <v>(Fiscal Year):</v>
          </cell>
        </row>
      </sheetData>
      <sheetData sheetId="35" refreshError="1"/>
      <sheetData sheetId="36" refreshError="1"/>
      <sheetData sheetId="37" refreshError="1"/>
      <sheetData sheetId="38">
        <row r="23">
          <cell r="E23">
            <v>0.79351793004909776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14">
          <cell r="B14" t="str">
            <v>3 Phase - 447 AAC &amp; 4\0 AAC</v>
          </cell>
        </row>
      </sheetData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>
        <row r="46">
          <cell r="G46">
            <v>0.1081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 refreshError="1"/>
      <sheetData sheetId="82" refreshError="1"/>
      <sheetData sheetId="83">
        <row r="32">
          <cell r="G32">
            <v>137.13321646485971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workbookViewId="0">
      <selection activeCell="C35" sqref="C35"/>
    </sheetView>
  </sheetViews>
  <sheetFormatPr defaultColWidth="9" defaultRowHeight="15.75"/>
  <cols>
    <col min="1" max="1" width="4.625" style="108" customWidth="1"/>
    <col min="2" max="2" width="1.625" style="108" customWidth="1"/>
    <col min="3" max="3" width="39.375" style="108" customWidth="1"/>
    <col min="4" max="4" width="0.75" style="109" customWidth="1"/>
    <col min="5" max="5" width="7.75" style="108" customWidth="1"/>
    <col min="6" max="6" width="0.75" style="109" customWidth="1"/>
    <col min="7" max="7" width="11.625" style="109" customWidth="1"/>
    <col min="8" max="8" width="0.75" style="109" customWidth="1"/>
    <col min="9" max="9" width="12.25" style="109" bestFit="1" customWidth="1"/>
    <col min="10" max="10" width="1.25" style="109" customWidth="1"/>
    <col min="11" max="11" width="11.5" style="109" bestFit="1" customWidth="1"/>
    <col min="12" max="12" width="1.25" style="109" customWidth="1"/>
    <col min="13" max="13" width="11.5" style="109" bestFit="1" customWidth="1"/>
    <col min="14" max="14" width="1" style="109" customWidth="1"/>
    <col min="15" max="15" width="9.875" style="109" bestFit="1" customWidth="1"/>
    <col min="16" max="16" width="1" style="109" customWidth="1"/>
    <col min="17" max="17" width="8.5" style="115" bestFit="1" customWidth="1"/>
    <col min="18" max="18" width="1.125" style="109" customWidth="1"/>
    <col min="19" max="19" width="7.25" style="28" customWidth="1"/>
    <col min="20" max="16384" width="9" style="108"/>
  </cols>
  <sheetData>
    <row r="1" spans="1:20">
      <c r="A1" s="104" t="s">
        <v>394</v>
      </c>
      <c r="B1" s="104"/>
      <c r="C1" s="104"/>
      <c r="D1" s="105"/>
      <c r="E1" s="104"/>
      <c r="F1" s="105"/>
      <c r="G1" s="105"/>
      <c r="H1" s="105"/>
      <c r="I1" s="105"/>
      <c r="J1" s="105"/>
      <c r="K1" s="106"/>
      <c r="L1" s="105"/>
      <c r="M1" s="106"/>
      <c r="N1" s="105"/>
      <c r="O1" s="106"/>
      <c r="P1" s="105"/>
      <c r="Q1" s="107"/>
      <c r="R1" s="105"/>
      <c r="S1" s="5"/>
    </row>
    <row r="2" spans="1:20" s="8" customFormat="1">
      <c r="A2" s="104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10"/>
      <c r="R2" s="7"/>
      <c r="S2" s="7"/>
    </row>
    <row r="3" spans="1:20" s="8" customFormat="1">
      <c r="A3" s="104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10"/>
      <c r="R3" s="7"/>
      <c r="S3" s="7"/>
    </row>
    <row r="4" spans="1:20" s="8" customFormat="1">
      <c r="A4" s="104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10"/>
      <c r="R4" s="7"/>
      <c r="S4" s="7"/>
    </row>
    <row r="5" spans="1:20" s="8" customFormat="1">
      <c r="A5" s="104" t="s">
        <v>477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10"/>
      <c r="R5" s="7"/>
      <c r="S5" s="7"/>
    </row>
    <row r="6" spans="1:20">
      <c r="A6" s="104" t="s">
        <v>478</v>
      </c>
      <c r="B6" s="7"/>
      <c r="C6" s="7"/>
      <c r="D6" s="7"/>
      <c r="E6" s="7"/>
      <c r="F6" s="7"/>
      <c r="G6" s="7"/>
      <c r="H6" s="7"/>
      <c r="I6" s="7"/>
      <c r="J6" s="7"/>
      <c r="K6" s="7"/>
      <c r="L6" s="106"/>
      <c r="M6" s="111"/>
      <c r="N6" s="111"/>
      <c r="O6" s="111"/>
      <c r="P6" s="111"/>
      <c r="Q6" s="112"/>
      <c r="R6" s="111"/>
      <c r="S6" s="111"/>
    </row>
    <row r="7" spans="1:20" ht="10.5" customHeight="1">
      <c r="A7" s="104"/>
      <c r="B7" s="104"/>
      <c r="C7" s="104"/>
      <c r="D7" s="105"/>
      <c r="E7" s="104"/>
      <c r="F7" s="105"/>
      <c r="G7" s="105"/>
      <c r="H7" s="105"/>
      <c r="I7" s="105"/>
      <c r="J7" s="105"/>
      <c r="K7" s="106"/>
      <c r="L7" s="105"/>
      <c r="M7" s="106"/>
      <c r="N7" s="105"/>
      <c r="O7" s="106"/>
      <c r="P7" s="105"/>
      <c r="Q7" s="107"/>
      <c r="R7" s="105"/>
      <c r="S7" s="5"/>
    </row>
    <row r="8" spans="1:20">
      <c r="D8" s="113"/>
      <c r="F8" s="113"/>
      <c r="G8" s="114"/>
      <c r="H8" s="113"/>
      <c r="J8" s="113"/>
      <c r="L8" s="113"/>
    </row>
    <row r="9" spans="1:20">
      <c r="D9" s="114"/>
      <c r="E9" s="117"/>
      <c r="F9" s="114"/>
      <c r="G9" s="114" t="s">
        <v>4</v>
      </c>
      <c r="H9" s="114"/>
      <c r="I9" s="114"/>
      <c r="J9" s="114"/>
      <c r="K9" s="116" t="s">
        <v>5</v>
      </c>
      <c r="L9" s="114"/>
      <c r="M9" s="118" t="s">
        <v>6</v>
      </c>
      <c r="N9" s="118"/>
      <c r="O9" s="118"/>
      <c r="P9" s="118"/>
      <c r="Q9" s="119"/>
      <c r="R9" s="118"/>
      <c r="S9" s="120"/>
    </row>
    <row r="10" spans="1:20" s="121" customFormat="1">
      <c r="A10" s="121" t="s">
        <v>7</v>
      </c>
      <c r="D10" s="114"/>
      <c r="E10" s="117" t="s">
        <v>8</v>
      </c>
      <c r="F10" s="114"/>
      <c r="G10" s="116" t="s">
        <v>9</v>
      </c>
      <c r="H10" s="114"/>
      <c r="I10" s="114" t="s">
        <v>10</v>
      </c>
      <c r="J10" s="116"/>
      <c r="K10" s="114" t="s">
        <v>11</v>
      </c>
      <c r="L10" s="116"/>
      <c r="M10" s="116" t="s">
        <v>11</v>
      </c>
      <c r="N10" s="116"/>
      <c r="O10" s="118" t="s">
        <v>17</v>
      </c>
      <c r="P10" s="118"/>
      <c r="Q10" s="119"/>
      <c r="R10" s="114"/>
      <c r="S10" s="122" t="s">
        <v>12</v>
      </c>
    </row>
    <row r="11" spans="1:20" s="121" customFormat="1">
      <c r="A11" s="121" t="s">
        <v>13</v>
      </c>
      <c r="C11" s="117" t="s">
        <v>14</v>
      </c>
      <c r="E11" s="124" t="s">
        <v>13</v>
      </c>
      <c r="G11" s="125" t="s">
        <v>15</v>
      </c>
      <c r="I11" s="125" t="s">
        <v>15</v>
      </c>
      <c r="K11" s="126" t="s">
        <v>16</v>
      </c>
      <c r="M11" s="126" t="s">
        <v>16</v>
      </c>
      <c r="O11" s="126" t="s">
        <v>16</v>
      </c>
      <c r="Q11" s="127" t="s">
        <v>18</v>
      </c>
      <c r="S11" s="22" t="s">
        <v>19</v>
      </c>
    </row>
    <row r="12" spans="1:20" s="121" customFormat="1">
      <c r="C12" s="23">
        <v>-1</v>
      </c>
      <c r="D12" s="24"/>
      <c r="E12" s="23">
        <f>MIN($A12:D12)-1</f>
        <v>-2</v>
      </c>
      <c r="F12" s="24"/>
      <c r="G12" s="23">
        <f>MIN($A12:F12)-1</f>
        <v>-3</v>
      </c>
      <c r="H12" s="24"/>
      <c r="I12" s="23">
        <f>MIN($A12:H12)-1</f>
        <v>-4</v>
      </c>
      <c r="J12" s="24"/>
      <c r="K12" s="23">
        <f>MIN($A12:J12)-1</f>
        <v>-5</v>
      </c>
      <c r="L12" s="24"/>
      <c r="M12" s="23">
        <f>MIN($A12:L12)-1</f>
        <v>-6</v>
      </c>
      <c r="N12" s="24"/>
      <c r="O12" s="23">
        <f>MIN($A12:N12)-1</f>
        <v>-7</v>
      </c>
      <c r="P12" s="24"/>
      <c r="Q12" s="23">
        <f>MIN($A12:P12)-1</f>
        <v>-8</v>
      </c>
      <c r="R12" s="24"/>
      <c r="S12" s="23">
        <f>MIN($A12:R12)-1</f>
        <v>-9</v>
      </c>
    </row>
    <row r="13" spans="1:20" s="121" customFormat="1">
      <c r="D13" s="123"/>
      <c r="F13" s="123"/>
      <c r="G13" s="123"/>
      <c r="H13" s="123"/>
      <c r="I13" s="123"/>
      <c r="J13" s="123"/>
      <c r="K13" s="123"/>
      <c r="L13" s="123"/>
      <c r="M13" s="123"/>
      <c r="N13" s="123"/>
      <c r="O13" s="114" t="str">
        <f>"(" &amp; -M12 &amp; ")-(" &amp; -K12 &amp; ")"</f>
        <v>(6)-(5)</v>
      </c>
      <c r="P13" s="123"/>
      <c r="Q13" s="128" t="str">
        <f>"(" &amp; -O12 &amp; ")/(" &amp; -K12 &amp; ")"</f>
        <v>(7)/(5)</v>
      </c>
      <c r="R13" s="123"/>
      <c r="S13" s="114" t="str">
        <f>"(" &amp; -M12 &amp; ")/(" &amp; -I12 &amp; ")"</f>
        <v>(6)/(4)</v>
      </c>
    </row>
    <row r="14" spans="1:20">
      <c r="C14" s="121" t="s">
        <v>21</v>
      </c>
    </row>
    <row r="15" spans="1:20">
      <c r="A15" s="108">
        <v>1</v>
      </c>
      <c r="C15" s="108" t="s">
        <v>21</v>
      </c>
      <c r="E15" s="130" t="s">
        <v>22</v>
      </c>
      <c r="G15" s="30">
        <v>719579.21600691369</v>
      </c>
      <c r="I15" s="30">
        <f>('Exhibit RMP(WRG-3)'!E25+'Exhibit RMP(WRG-3)'!E42)/1000</f>
        <v>6618984.2947154995</v>
      </c>
      <c r="K15" s="31">
        <f>('Exhibit RMP(WRG-3)'!K25+'Exhibit RMP(WRG-3)'!K42)/1000</f>
        <v>649669.90700000001</v>
      </c>
      <c r="L15" s="32"/>
      <c r="M15" s="31">
        <f>('Exhibit RMP(WRG-3)'!O25+'Exhibit RMP(WRG-3)'!O42)/1000</f>
        <v>722732.33</v>
      </c>
      <c r="N15" s="32"/>
      <c r="O15" s="31">
        <f>M15-K15</f>
        <v>73062.422999999952</v>
      </c>
      <c r="Q15" s="44">
        <f>O15/K15</f>
        <v>0.11246083928588053</v>
      </c>
      <c r="R15" s="131"/>
      <c r="S15" s="132">
        <f>ROUND(100*M15/I15,2)</f>
        <v>10.92</v>
      </c>
    </row>
    <row r="16" spans="1:20">
      <c r="A16" s="108">
        <f>MAX(A$14:A15)+1</f>
        <v>2</v>
      </c>
      <c r="C16" s="108" t="s">
        <v>23</v>
      </c>
      <c r="E16" s="133">
        <v>2</v>
      </c>
      <c r="G16" s="30">
        <v>360.45065975289282</v>
      </c>
      <c r="I16" s="30">
        <f>'Exhibit RMP(WRG-3)'!E61/1000</f>
        <v>3259.9751844998164</v>
      </c>
      <c r="K16" s="31">
        <f>('Exhibit RMP(WRG-3)'!K61)/1000</f>
        <v>310.99200000000002</v>
      </c>
      <c r="L16" s="32"/>
      <c r="M16" s="31">
        <f>('Exhibit RMP(WRG-3)'!O61)/1000</f>
        <v>347.029</v>
      </c>
      <c r="N16" s="32"/>
      <c r="O16" s="31">
        <f>M16-K16</f>
        <v>36.036999999999978</v>
      </c>
      <c r="Q16" s="44">
        <f>O16/K16</f>
        <v>0.11587757884447181</v>
      </c>
      <c r="R16" s="131"/>
      <c r="S16" s="132">
        <f>ROUND(100*M16/I16,2)</f>
        <v>10.65</v>
      </c>
      <c r="T16" s="123"/>
    </row>
    <row r="17" spans="1:20">
      <c r="A17" s="108">
        <f>MAX(A$14:A16)+1</f>
        <v>3</v>
      </c>
      <c r="C17" s="134" t="s">
        <v>24</v>
      </c>
      <c r="E17" s="135" t="s">
        <v>25</v>
      </c>
      <c r="G17" s="136"/>
      <c r="I17" s="136"/>
      <c r="K17" s="39">
        <v>36.561</v>
      </c>
      <c r="L17" s="32"/>
      <c r="M17" s="39">
        <f>K17</f>
        <v>36.561</v>
      </c>
      <c r="N17" s="32"/>
      <c r="O17" s="39">
        <f>M17-K17</f>
        <v>0</v>
      </c>
      <c r="Q17" s="48">
        <f>O17/K17</f>
        <v>0</v>
      </c>
      <c r="S17" s="42"/>
      <c r="T17" s="123"/>
    </row>
    <row r="18" spans="1:20">
      <c r="A18" s="108">
        <f>MAX(A$14:A17)+1</f>
        <v>4</v>
      </c>
      <c r="C18" s="121" t="s">
        <v>26</v>
      </c>
      <c r="G18" s="30">
        <f>SUM(G15:G17)</f>
        <v>719939.66666666663</v>
      </c>
      <c r="I18" s="30">
        <f>SUM(I15:I17)</f>
        <v>6622244.2698999997</v>
      </c>
      <c r="K18" s="31">
        <f>SUM(K15:K17)</f>
        <v>650017.46</v>
      </c>
      <c r="L18" s="32"/>
      <c r="M18" s="31">
        <f>SUM(M15:M17)</f>
        <v>723115.91999999993</v>
      </c>
      <c r="N18" s="32"/>
      <c r="O18" s="31">
        <f>SUM(O15:O17)</f>
        <v>73098.459999999948</v>
      </c>
      <c r="Q18" s="44">
        <f>O18/K18</f>
        <v>0.11245614848561138</v>
      </c>
      <c r="S18" s="28">
        <f>ROUND(100*M18/I18,2)</f>
        <v>10.92</v>
      </c>
      <c r="T18" s="490"/>
    </row>
    <row r="19" spans="1:20" ht="24.95" customHeight="1">
      <c r="C19" s="121" t="s">
        <v>27</v>
      </c>
      <c r="G19" s="30"/>
      <c r="I19" s="30"/>
      <c r="K19" s="45"/>
      <c r="L19" s="32"/>
      <c r="M19" s="45"/>
      <c r="N19" s="32"/>
      <c r="O19" s="31"/>
      <c r="Q19" s="44"/>
      <c r="T19" s="109"/>
    </row>
    <row r="20" spans="1:20">
      <c r="A20" s="108">
        <f>MAX(A$14:A19)+1</f>
        <v>5</v>
      </c>
      <c r="C20" s="108" t="s">
        <v>28</v>
      </c>
      <c r="E20" s="137">
        <v>6</v>
      </c>
      <c r="G20" s="30">
        <v>13479.916666666668</v>
      </c>
      <c r="I20" s="30">
        <f>SUM('Exhibit RMP(WRG-3)'!E73)/1000</f>
        <v>5746434.2788172225</v>
      </c>
      <c r="K20" s="31">
        <f>('Exhibit RMP(WRG-3)'!K73)/1000</f>
        <v>443566.413</v>
      </c>
      <c r="L20" s="32"/>
      <c r="M20" s="31">
        <f>('Exhibit RMP(WRG-3)'!O73)/1000</f>
        <v>475709.84100000001</v>
      </c>
      <c r="N20" s="32"/>
      <c r="O20" s="31">
        <f>M20-K20</f>
        <v>32143.428000000014</v>
      </c>
      <c r="Q20" s="44">
        <f t="shared" ref="Q20:Q39" si="0">O20/K20</f>
        <v>7.2465874461960247E-2</v>
      </c>
      <c r="S20" s="28">
        <f t="shared" ref="S20:S36" si="1">ROUND(100*M20/I20,2)</f>
        <v>8.2799999999999994</v>
      </c>
      <c r="T20" s="123"/>
    </row>
    <row r="21" spans="1:20">
      <c r="A21" s="108">
        <f>MAX(A$14:A20)+1</f>
        <v>6</v>
      </c>
      <c r="C21" s="108" t="s">
        <v>29</v>
      </c>
      <c r="E21" s="133" t="s">
        <v>30</v>
      </c>
      <c r="G21" s="30">
        <v>2394.25</v>
      </c>
      <c r="I21" s="30">
        <f>SUM('Exhibit RMP(WRG-3)'!E157)/1000</f>
        <v>277735.08199999999</v>
      </c>
      <c r="K21" s="31">
        <f>('Exhibit RMP(WRG-3)'!K157)/1000</f>
        <v>29859.053</v>
      </c>
      <c r="L21" s="32"/>
      <c r="M21" s="31">
        <f>('Exhibit RMP(WRG-3)'!O157)/1000</f>
        <v>32022.723000000002</v>
      </c>
      <c r="N21" s="32"/>
      <c r="O21" s="31">
        <f>M21-K21</f>
        <v>2163.6700000000019</v>
      </c>
      <c r="Q21" s="44">
        <f t="shared" si="0"/>
        <v>7.246278038355744E-2</v>
      </c>
      <c r="S21" s="28">
        <f t="shared" si="1"/>
        <v>11.53</v>
      </c>
      <c r="T21" s="490"/>
    </row>
    <row r="22" spans="1:20">
      <c r="A22" s="108">
        <f>MAX(A$14:A21)+1</f>
        <v>7</v>
      </c>
      <c r="C22" s="108" t="s">
        <v>31</v>
      </c>
      <c r="E22" s="133" t="s">
        <v>32</v>
      </c>
      <c r="G22" s="47">
        <v>32</v>
      </c>
      <c r="I22" s="47">
        <f>'Exhibit RMP(WRG-3)'!E121/1000</f>
        <v>21133.17</v>
      </c>
      <c r="K22" s="39">
        <f>'Exhibit RMP(WRG-3)'!K121/1000</f>
        <v>1657.327</v>
      </c>
      <c r="L22" s="32"/>
      <c r="M22" s="39">
        <f>'Exhibit RMP(WRG-3)'!O121/1000</f>
        <v>1777.355</v>
      </c>
      <c r="N22" s="32"/>
      <c r="O22" s="39">
        <f>M22-K22</f>
        <v>120.02800000000002</v>
      </c>
      <c r="Q22" s="48">
        <f t="shared" si="0"/>
        <v>7.2422642001246595E-2</v>
      </c>
      <c r="S22" s="42">
        <f t="shared" si="1"/>
        <v>8.41</v>
      </c>
    </row>
    <row r="23" spans="1:20">
      <c r="A23" s="108">
        <f>MAX(A$14:A22)+1</f>
        <v>8</v>
      </c>
      <c r="C23" s="138" t="s">
        <v>33</v>
      </c>
      <c r="G23" s="30">
        <f>SUM(G20:G22)</f>
        <v>15906.166666666668</v>
      </c>
      <c r="I23" s="30">
        <f>SUM(I20:I22)</f>
        <v>6045302.5308172228</v>
      </c>
      <c r="K23" s="31">
        <f>SUM(K20:K22)</f>
        <v>475082.79300000001</v>
      </c>
      <c r="L23" s="32"/>
      <c r="M23" s="31">
        <f>SUM(M20:M22)</f>
        <v>509509.91899999999</v>
      </c>
      <c r="N23" s="32"/>
      <c r="O23" s="31">
        <f>SUM(O20:O22)</f>
        <v>34427.126000000011</v>
      </c>
      <c r="Q23" s="44">
        <f t="shared" si="0"/>
        <v>7.2465529181984095E-2</v>
      </c>
      <c r="S23" s="28">
        <f t="shared" si="1"/>
        <v>8.43</v>
      </c>
    </row>
    <row r="24" spans="1:20" ht="21.95" customHeight="1">
      <c r="A24" s="108">
        <f>MAX(A$14:A23)+1</f>
        <v>9</v>
      </c>
      <c r="C24" s="134" t="s">
        <v>34</v>
      </c>
      <c r="E24" s="108">
        <v>8</v>
      </c>
      <c r="F24" s="30"/>
      <c r="G24" s="30">
        <v>297.08333333333331</v>
      </c>
      <c r="I24" s="30">
        <f>'Exhibit RMP(WRG-3)'!E233/1000</f>
        <v>2076915.6910000001</v>
      </c>
      <c r="K24" s="31">
        <f>('Exhibit RMP(WRG-3)'!K233)/1000</f>
        <v>141558.614</v>
      </c>
      <c r="L24" s="32"/>
      <c r="M24" s="31">
        <f>('Exhibit RMP(WRG-3)'!O233)/1000</f>
        <v>156063.40700000001</v>
      </c>
      <c r="N24" s="32"/>
      <c r="O24" s="31">
        <f>M24-K24</f>
        <v>14504.793000000005</v>
      </c>
      <c r="Q24" s="44">
        <f t="shared" si="0"/>
        <v>0.10246492664868848</v>
      </c>
      <c r="S24" s="28">
        <f t="shared" si="1"/>
        <v>7.51</v>
      </c>
    </row>
    <row r="25" spans="1:20" ht="21.95" customHeight="1">
      <c r="A25" s="108">
        <f>MAX(A$14:A24)+1</f>
        <v>10</v>
      </c>
      <c r="C25" s="108" t="s">
        <v>35</v>
      </c>
      <c r="E25" s="108">
        <v>9</v>
      </c>
      <c r="G25" s="30">
        <v>142.5</v>
      </c>
      <c r="I25" s="30">
        <f>('Exhibit RMP(WRG-3)'!E268)/1000</f>
        <v>4538067.2419739999</v>
      </c>
      <c r="K25" s="31">
        <f>('Exhibit RMP(WRG-3)'!K268)/1000</f>
        <v>226409.34400000001</v>
      </c>
      <c r="L25" s="32"/>
      <c r="M25" s="31">
        <f>('Exhibit RMP(WRG-3)'!O268)/1000</f>
        <v>256404.93299999999</v>
      </c>
      <c r="N25" s="32"/>
      <c r="O25" s="31">
        <f>M25-K25</f>
        <v>29995.588999999978</v>
      </c>
      <c r="Q25" s="44">
        <f t="shared" si="0"/>
        <v>0.13248388282066653</v>
      </c>
      <c r="S25" s="28">
        <f t="shared" si="1"/>
        <v>5.65</v>
      </c>
    </row>
    <row r="26" spans="1:20">
      <c r="A26" s="108">
        <f>MAX(A$14:A25)+1</f>
        <v>11</v>
      </c>
      <c r="C26" s="108" t="s">
        <v>36</v>
      </c>
      <c r="E26" s="133" t="s">
        <v>37</v>
      </c>
      <c r="G26" s="47">
        <v>8.9999986111111081</v>
      </c>
      <c r="I26" s="47">
        <f>'Exhibit RMP(WRG-3)'!E309/1000</f>
        <v>42717.705999999998</v>
      </c>
      <c r="K26" s="39">
        <f>'Exhibit RMP(WRG-3)'!K309/1000</f>
        <v>2911.8290000000002</v>
      </c>
      <c r="L26" s="32"/>
      <c r="M26" s="39">
        <f>'Exhibit RMP(WRG-3)'!O309/1000</f>
        <v>3297.5320000000002</v>
      </c>
      <c r="N26" s="32"/>
      <c r="O26" s="39">
        <f>M26-K26</f>
        <v>385.70299999999997</v>
      </c>
      <c r="Q26" s="48">
        <f t="shared" si="0"/>
        <v>0.13246073172566106</v>
      </c>
      <c r="S26" s="42">
        <f t="shared" si="1"/>
        <v>7.72</v>
      </c>
    </row>
    <row r="27" spans="1:20">
      <c r="A27" s="108">
        <f>MAX(A$14:A26)+1</f>
        <v>12</v>
      </c>
      <c r="C27" s="138" t="s">
        <v>38</v>
      </c>
      <c r="G27" s="30">
        <f>SUM(G25:G26)</f>
        <v>151.4999986111111</v>
      </c>
      <c r="I27" s="30">
        <f>SUM(I25:I26)</f>
        <v>4580784.9479740001</v>
      </c>
      <c r="K27" s="31">
        <f>SUM(K25:K26)</f>
        <v>229321.17300000001</v>
      </c>
      <c r="L27" s="32"/>
      <c r="M27" s="31">
        <f>SUM(M25:M26)</f>
        <v>259702.465</v>
      </c>
      <c r="N27" s="32"/>
      <c r="O27" s="31">
        <f>SUM(O25:O26)</f>
        <v>30381.291999999979</v>
      </c>
      <c r="Q27" s="44">
        <f t="shared" si="0"/>
        <v>0.13248358885727476</v>
      </c>
      <c r="S27" s="28">
        <f t="shared" si="1"/>
        <v>5.67</v>
      </c>
    </row>
    <row r="28" spans="1:20" ht="21.95" customHeight="1">
      <c r="A28" s="108">
        <f>MAX(A$14:A27)+1</f>
        <v>13</v>
      </c>
      <c r="C28" s="108" t="s">
        <v>39</v>
      </c>
      <c r="E28" s="133">
        <v>10</v>
      </c>
      <c r="G28" s="30">
        <f>'Exhibit RMP(WRG-3)'!E328+'Exhibit RMP(WRG-3)'!E329</f>
        <v>2647</v>
      </c>
      <c r="I28" s="30">
        <f>'Exhibit RMP(WRG-3)'!E341/1000</f>
        <v>170955.53200000001</v>
      </c>
      <c r="K28" s="31">
        <f>('Exhibit RMP(WRG-3)'!K341)/1000</f>
        <v>11991.091</v>
      </c>
      <c r="L28" s="32"/>
      <c r="M28" s="31">
        <f>('Exhibit RMP(WRG-3)'!O341)/1000</f>
        <v>13700.928</v>
      </c>
      <c r="N28" s="32"/>
      <c r="O28" s="31">
        <f>M28-K28</f>
        <v>1709.8369999999995</v>
      </c>
      <c r="Q28" s="44">
        <f t="shared" si="0"/>
        <v>0.14259227955154369</v>
      </c>
      <c r="S28" s="28">
        <f t="shared" si="1"/>
        <v>8.01</v>
      </c>
    </row>
    <row r="29" spans="1:20">
      <c r="A29" s="108">
        <f>MAX(A$14:A28)+1</f>
        <v>14</v>
      </c>
      <c r="C29" s="108" t="s">
        <v>40</v>
      </c>
      <c r="E29" s="133" t="s">
        <v>41</v>
      </c>
      <c r="G29" s="47">
        <f>'Exhibit RMP(WRG-3)'!E344+'Exhibit RMP(WRG-3)'!E345</f>
        <v>263</v>
      </c>
      <c r="I29" s="47">
        <f>'Exhibit RMP(WRG-3)'!E357/1000</f>
        <v>16324.472</v>
      </c>
      <c r="K29" s="39">
        <f>('Exhibit RMP(WRG-3)'!K357)/1000</f>
        <v>1183.432</v>
      </c>
      <c r="L29" s="32"/>
      <c r="M29" s="39">
        <f>('Exhibit RMP(WRG-3)'!O357)/1000</f>
        <v>1350.4670000000001</v>
      </c>
      <c r="N29" s="32"/>
      <c r="O29" s="39">
        <f>M29-K29</f>
        <v>167.03500000000008</v>
      </c>
      <c r="Q29" s="48">
        <f t="shared" si="0"/>
        <v>0.14114456935421729</v>
      </c>
      <c r="S29" s="42">
        <f t="shared" si="1"/>
        <v>8.27</v>
      </c>
    </row>
    <row r="30" spans="1:20">
      <c r="A30" s="108">
        <f>MAX(A$14:A29)+1</f>
        <v>15</v>
      </c>
      <c r="C30" s="138" t="s">
        <v>42</v>
      </c>
      <c r="G30" s="30">
        <f>SUM(G28:G29)</f>
        <v>2910</v>
      </c>
      <c r="I30" s="30">
        <f>SUM(I28:I29)</f>
        <v>187280.00400000002</v>
      </c>
      <c r="K30" s="31">
        <f>SUM(K28:K29)</f>
        <v>13174.523000000001</v>
      </c>
      <c r="L30" s="32"/>
      <c r="M30" s="31">
        <f>SUM(M28:M29)</f>
        <v>15051.395</v>
      </c>
      <c r="N30" s="32"/>
      <c r="O30" s="31">
        <f>SUM(O28:O29)</f>
        <v>1876.8719999999996</v>
      </c>
      <c r="Q30" s="44">
        <f t="shared" si="0"/>
        <v>0.14246223563464117</v>
      </c>
      <c r="S30" s="28">
        <f t="shared" si="1"/>
        <v>8.0399999999999991</v>
      </c>
    </row>
    <row r="31" spans="1:20" ht="21.95" customHeight="1">
      <c r="A31" s="108">
        <f>MAX(A$14:A30)+1</f>
        <v>16</v>
      </c>
      <c r="C31" s="108" t="s">
        <v>43</v>
      </c>
      <c r="E31" s="108">
        <v>21</v>
      </c>
      <c r="G31" s="30">
        <v>5</v>
      </c>
      <c r="I31" s="30">
        <f>'Exhibit RMP(WRG-3)'!E535/1000</f>
        <v>3287.9389999999999</v>
      </c>
      <c r="K31" s="31">
        <f>('Exhibit RMP(WRG-3)'!K535)/1000</f>
        <v>342.79199999999997</v>
      </c>
      <c r="L31" s="32"/>
      <c r="M31" s="31">
        <f>('Exhibit RMP(WRG-3)'!O535)/1000</f>
        <v>388.19900000000001</v>
      </c>
      <c r="N31" s="32"/>
      <c r="O31" s="31">
        <f t="shared" ref="O31:O37" si="2">M31-K31</f>
        <v>45.407000000000039</v>
      </c>
      <c r="Q31" s="44">
        <f t="shared" si="0"/>
        <v>0.13246225116105406</v>
      </c>
      <c r="S31" s="28">
        <f t="shared" si="1"/>
        <v>11.81</v>
      </c>
    </row>
    <row r="32" spans="1:20">
      <c r="A32" s="108">
        <f>MAX(A$14:A31)+1</f>
        <v>17</v>
      </c>
      <c r="C32" s="108" t="s">
        <v>44</v>
      </c>
      <c r="E32" s="137">
        <v>23</v>
      </c>
      <c r="G32" s="30">
        <v>78052</v>
      </c>
      <c r="I32" s="30">
        <f>SUM('Exhibit RMP(WRG-3)'!E548)/1000</f>
        <v>1419326.149632778</v>
      </c>
      <c r="K32" s="31">
        <f>('Exhibit RMP(WRG-3)'!K548)/1000</f>
        <v>129897.91099999999</v>
      </c>
      <c r="L32" s="32"/>
      <c r="M32" s="31">
        <f>('Exhibit RMP(WRG-3)'!O548)/1000</f>
        <v>139309.003</v>
      </c>
      <c r="N32" s="32"/>
      <c r="O32" s="31">
        <f t="shared" si="2"/>
        <v>9411.0920000000042</v>
      </c>
      <c r="Q32" s="44">
        <f t="shared" si="0"/>
        <v>7.2449910299173359E-2</v>
      </c>
      <c r="S32" s="28">
        <f t="shared" si="1"/>
        <v>9.82</v>
      </c>
    </row>
    <row r="33" spans="1:19">
      <c r="A33" s="108">
        <f>MAX(A$14:A32)+1</f>
        <v>18</v>
      </c>
      <c r="C33" s="108" t="s">
        <v>47</v>
      </c>
      <c r="E33" s="108">
        <v>31</v>
      </c>
      <c r="G33" s="30">
        <v>4</v>
      </c>
      <c r="I33" s="30">
        <f>'Exhibit RMP(WRG-3)'!E630/1000</f>
        <v>59778.839026000001</v>
      </c>
      <c r="K33" s="31">
        <f>'Exhibit RMP(WRG-3)'!K630/1000</f>
        <v>4870.0309999999999</v>
      </c>
      <c r="L33" s="32"/>
      <c r="M33" s="31">
        <f>'Exhibit RMP(WRG-3)'!O630/1000</f>
        <v>5467.8969999999999</v>
      </c>
      <c r="N33" s="32"/>
      <c r="O33" s="31">
        <f t="shared" si="2"/>
        <v>597.86599999999999</v>
      </c>
      <c r="Q33" s="44">
        <f t="shared" si="0"/>
        <v>0.12276431094586461</v>
      </c>
      <c r="S33" s="28">
        <f t="shared" si="1"/>
        <v>9.15</v>
      </c>
    </row>
    <row r="34" spans="1:19">
      <c r="A34" s="108">
        <f>MAX(A$14:A33)+1</f>
        <v>19</v>
      </c>
      <c r="C34" s="134" t="s">
        <v>48</v>
      </c>
      <c r="E34" s="133" t="s">
        <v>25</v>
      </c>
      <c r="G34" s="30">
        <v>1</v>
      </c>
      <c r="I34" s="30">
        <f>'Exhibit RMP(WRG-3)'!E724/1000</f>
        <v>543970.59100000001</v>
      </c>
      <c r="K34" s="31">
        <f>('Exhibit RMP(WRG-3)'!K724)/1000</f>
        <v>24224.835012471453</v>
      </c>
      <c r="L34" s="32"/>
      <c r="M34" s="31">
        <f>('Exhibit RMP(WRG-3)'!O724)/1000</f>
        <v>24224.835012471453</v>
      </c>
      <c r="N34" s="32"/>
      <c r="O34" s="31">
        <f t="shared" si="2"/>
        <v>0</v>
      </c>
      <c r="Q34" s="44">
        <f t="shared" si="0"/>
        <v>0</v>
      </c>
      <c r="S34" s="28">
        <f t="shared" si="1"/>
        <v>4.45</v>
      </c>
    </row>
    <row r="35" spans="1:19">
      <c r="A35" s="108">
        <f>MAX(A$14:A34)+1</f>
        <v>20</v>
      </c>
      <c r="C35" s="134" t="s">
        <v>49</v>
      </c>
      <c r="E35" s="133" t="s">
        <v>25</v>
      </c>
      <c r="G35" s="30">
        <v>1</v>
      </c>
      <c r="I35" s="30">
        <f>'Exhibit RMP(WRG-3)'!E729/1000</f>
        <v>717800.15174999996</v>
      </c>
      <c r="K35" s="31">
        <f>'Exhibit RMP(WRG-3)'!K729/1000</f>
        <v>26946.217696695003</v>
      </c>
      <c r="L35" s="32"/>
      <c r="M35" s="31">
        <f>'Exhibit RMP(WRG-3)'!O729/1000</f>
        <v>26946.217696695003</v>
      </c>
      <c r="N35" s="32"/>
      <c r="O35" s="31">
        <f t="shared" si="2"/>
        <v>0</v>
      </c>
      <c r="Q35" s="44">
        <f t="shared" si="0"/>
        <v>0</v>
      </c>
      <c r="S35" s="28">
        <f t="shared" si="1"/>
        <v>3.75</v>
      </c>
    </row>
    <row r="36" spans="1:19">
      <c r="A36" s="108">
        <f>MAX(A$14:A35)+1</f>
        <v>21</v>
      </c>
      <c r="C36" s="134" t="s">
        <v>50</v>
      </c>
      <c r="E36" s="133" t="s">
        <v>25</v>
      </c>
      <c r="G36" s="30">
        <v>1</v>
      </c>
      <c r="I36" s="30">
        <f>'Exhibit RMP(WRG-3)'!E745/1000</f>
        <v>1371599.1</v>
      </c>
      <c r="K36" s="31">
        <f>('Exhibit RMP(WRG-3)'!K745)/1000</f>
        <v>59055.879000000001</v>
      </c>
      <c r="L36" s="32"/>
      <c r="M36" s="31">
        <f>('Exhibit RMP(WRG-3)'!O745)/1000</f>
        <v>66921.735000000001</v>
      </c>
      <c r="N36" s="32"/>
      <c r="O36" s="31">
        <f t="shared" si="2"/>
        <v>7865.8559999999998</v>
      </c>
      <c r="Q36" s="44">
        <f t="shared" si="0"/>
        <v>0.13319344548237103</v>
      </c>
      <c r="S36" s="28">
        <f t="shared" si="1"/>
        <v>4.88</v>
      </c>
    </row>
    <row r="37" spans="1:19">
      <c r="A37" s="108">
        <f>MAX(A$14:A36)+1</f>
        <v>22</v>
      </c>
      <c r="C37" s="134" t="s">
        <v>24</v>
      </c>
      <c r="E37" s="135" t="s">
        <v>25</v>
      </c>
      <c r="G37" s="136"/>
      <c r="I37" s="136" t="s">
        <v>25</v>
      </c>
      <c r="K37" s="39">
        <v>4490.4250999999995</v>
      </c>
      <c r="L37" s="32"/>
      <c r="M37" s="39">
        <f>K37</f>
        <v>4490.4250999999995</v>
      </c>
      <c r="N37" s="32"/>
      <c r="O37" s="39">
        <f t="shared" si="2"/>
        <v>0</v>
      </c>
      <c r="Q37" s="48">
        <f t="shared" si="0"/>
        <v>0</v>
      </c>
      <c r="S37" s="42"/>
    </row>
    <row r="38" spans="1:19">
      <c r="A38" s="108">
        <f>MAX(A$14:A37)+1</f>
        <v>23</v>
      </c>
      <c r="C38" s="121" t="s">
        <v>51</v>
      </c>
      <c r="G38" s="30">
        <f>SUM(G20:G22,G24:G26,G28:G29,G31:G37)</f>
        <v>97328.749998611107</v>
      </c>
      <c r="I38" s="30">
        <f>SUM(I20:I22,I24:I26,I28:I29,I31:I37)</f>
        <v>17006045.944200002</v>
      </c>
      <c r="K38" s="31">
        <f>SUM(K20:K22,K24:K26,K28:K29,K31:K37)</f>
        <v>1108965.1938091666</v>
      </c>
      <c r="L38" s="32"/>
      <c r="M38" s="31">
        <f>SUM(M20:M22,M24:M26,M28:M29,M31:M37)</f>
        <v>1208075.4978091666</v>
      </c>
      <c r="N38" s="32"/>
      <c r="O38" s="31">
        <f>SUM(O20:O22,O24:O26,O28:O29,O31:O37)</f>
        <v>99110.304000000004</v>
      </c>
      <c r="Q38" s="44">
        <f t="shared" si="0"/>
        <v>8.9371879796847034E-2</v>
      </c>
      <c r="S38" s="28">
        <f>ROUND(100*M38/I38,2)</f>
        <v>7.1</v>
      </c>
    </row>
    <row r="39" spans="1:19" ht="35.1" customHeight="1">
      <c r="A39" s="108">
        <f>MAX(A$14:A38)+1</f>
        <v>24</v>
      </c>
      <c r="C39" s="139" t="s">
        <v>52</v>
      </c>
      <c r="G39" s="30">
        <f>G38-SUM(G34:G35,G37)</f>
        <v>97326.749998611107</v>
      </c>
      <c r="I39" s="30">
        <f>I38-SUM(I34:I35,I37)</f>
        <v>15744275.201450001</v>
      </c>
      <c r="K39" s="31">
        <f>K38-SUM(K34:K35,K37)</f>
        <v>1053303.716</v>
      </c>
      <c r="L39" s="32"/>
      <c r="M39" s="31">
        <f>M38-SUM(M34:M35,M37)</f>
        <v>1152414.02</v>
      </c>
      <c r="N39" s="32"/>
      <c r="O39" s="31">
        <f>O38-SUM(O34:O35,O37)</f>
        <v>99110.304000000004</v>
      </c>
      <c r="Q39" s="44">
        <f t="shared" si="0"/>
        <v>9.4094706488247123E-2</v>
      </c>
      <c r="S39" s="28">
        <f>ROUND(100*M39/I39,2)</f>
        <v>7.32</v>
      </c>
    </row>
    <row r="40" spans="1:19" ht="24.95" customHeight="1">
      <c r="C40" s="121" t="s">
        <v>53</v>
      </c>
      <c r="G40" s="30"/>
      <c r="I40" s="30"/>
      <c r="K40" s="31"/>
      <c r="L40" s="32"/>
      <c r="M40" s="31"/>
      <c r="N40" s="32"/>
      <c r="O40" s="31"/>
      <c r="Q40" s="44"/>
    </row>
    <row r="41" spans="1:19">
      <c r="A41" s="108">
        <f>MAX(A$14:A40)+1</f>
        <v>25</v>
      </c>
      <c r="C41" s="108" t="s">
        <v>54</v>
      </c>
      <c r="E41" s="108">
        <v>7</v>
      </c>
      <c r="G41" s="30">
        <v>7865</v>
      </c>
      <c r="I41" s="30">
        <f>'Exhibit RMP(WRG-3)'!E221/1000</f>
        <v>12321.574480000001</v>
      </c>
      <c r="K41" s="31">
        <f>('Exhibit RMP(WRG-3)'!K221)/1000</f>
        <v>2964.7280000000001</v>
      </c>
      <c r="L41" s="32"/>
      <c r="M41" s="31">
        <f>('Exhibit RMP(WRG-3)'!O221)/1000</f>
        <v>2964.7280000000001</v>
      </c>
      <c r="N41" s="32"/>
      <c r="O41" s="31">
        <f>M41-K41</f>
        <v>0</v>
      </c>
      <c r="Q41" s="44">
        <f t="shared" ref="Q41:Q52" si="3">O41/K41</f>
        <v>0</v>
      </c>
      <c r="S41" s="28">
        <f t="shared" ref="S41:S48" si="4">ROUND(100*M41/I41,2)</f>
        <v>24.06</v>
      </c>
    </row>
    <row r="42" spans="1:19">
      <c r="A42" s="108">
        <f>MAX(A$14:A41)+1</f>
        <v>26</v>
      </c>
      <c r="C42" s="108" t="s">
        <v>55</v>
      </c>
      <c r="E42" s="108">
        <v>11</v>
      </c>
      <c r="G42" s="30">
        <f>'Exhibit RMP(WRG-3)'!E407</f>
        <v>834.33333333333337</v>
      </c>
      <c r="I42" s="30">
        <f>'Exhibit RMP(WRG-3)'!E409/1000</f>
        <v>17077.687000000002</v>
      </c>
      <c r="K42" s="31">
        <f>('Exhibit RMP(WRG-3)'!K409)/1000</f>
        <v>5089.2430000000004</v>
      </c>
      <c r="L42" s="32"/>
      <c r="M42" s="31">
        <f>('Exhibit RMP(WRG-3)'!O409)/1000</f>
        <v>5089.2430000000004</v>
      </c>
      <c r="N42" s="32"/>
      <c r="O42" s="31">
        <f>M42-K42</f>
        <v>0</v>
      </c>
      <c r="Q42" s="44">
        <f t="shared" si="3"/>
        <v>0</v>
      </c>
      <c r="S42" s="28">
        <f t="shared" si="4"/>
        <v>29.8</v>
      </c>
    </row>
    <row r="43" spans="1:19">
      <c r="A43" s="108">
        <f>MAX(A$14:A42)+1</f>
        <v>27</v>
      </c>
      <c r="C43" s="108" t="s">
        <v>56</v>
      </c>
      <c r="E43" s="108">
        <v>12</v>
      </c>
      <c r="G43" s="30">
        <f>'Exhibit RMP(WRG-3)'!E501</f>
        <v>781.66666666666674</v>
      </c>
      <c r="I43" s="53">
        <f>'Exhibit RMP(WRG-3)'!E503/1000</f>
        <v>55429.428999999996</v>
      </c>
      <c r="K43" s="31">
        <f>('Exhibit RMP(WRG-3)'!K503)/1000</f>
        <v>4058.8130000000001</v>
      </c>
      <c r="L43" s="32"/>
      <c r="M43" s="31">
        <f>('Exhibit RMP(WRG-3)'!O503)/1000</f>
        <v>4058.8130000000001</v>
      </c>
      <c r="N43" s="32"/>
      <c r="O43" s="31">
        <f>M43-K43</f>
        <v>0</v>
      </c>
      <c r="Q43" s="44">
        <f t="shared" si="3"/>
        <v>0</v>
      </c>
      <c r="S43" s="28">
        <f t="shared" si="4"/>
        <v>7.32</v>
      </c>
    </row>
    <row r="44" spans="1:19" s="129" customFormat="1">
      <c r="A44" s="129">
        <f>MAX(A$14:A43)+1</f>
        <v>28</v>
      </c>
      <c r="C44" s="129" t="s">
        <v>57</v>
      </c>
      <c r="D44" s="140"/>
      <c r="E44" s="129">
        <v>15</v>
      </c>
      <c r="F44" s="140"/>
      <c r="G44" s="56">
        <f>('Exhibit RMP(WRG-3)'!E509)/12</f>
        <v>538.91666666666663</v>
      </c>
      <c r="H44" s="140"/>
      <c r="I44" s="56">
        <f>('Exhibit RMP(WRG-3)'!E512)/1000</f>
        <v>15717.486000000001</v>
      </c>
      <c r="J44" s="140"/>
      <c r="K44" s="57">
        <f>('Exhibit RMP(WRG-3)'!K512)/1000</f>
        <v>1144.626</v>
      </c>
      <c r="L44" s="58"/>
      <c r="M44" s="57">
        <f>('Exhibit RMP(WRG-3)'!O512)/1000</f>
        <v>1144.626</v>
      </c>
      <c r="N44" s="58"/>
      <c r="O44" s="57">
        <f>M44-K44</f>
        <v>0</v>
      </c>
      <c r="P44" s="140"/>
      <c r="Q44" s="488">
        <f t="shared" si="3"/>
        <v>0</v>
      </c>
      <c r="R44" s="140"/>
      <c r="S44" s="60">
        <f t="shared" si="4"/>
        <v>7.28</v>
      </c>
    </row>
    <row r="45" spans="1:19">
      <c r="A45" s="108">
        <f>MAX(A$14:A44)+1</f>
        <v>29</v>
      </c>
      <c r="C45" s="108" t="s">
        <v>58</v>
      </c>
      <c r="E45" s="108">
        <v>15</v>
      </c>
      <c r="G45" s="47">
        <f>'Exhibit RMP(WRG-3)'!E515/12</f>
        <v>2478.6666666666665</v>
      </c>
      <c r="I45" s="47">
        <f>'Exhibit RMP(WRG-3)'!E518/1000</f>
        <v>5662.7629999999999</v>
      </c>
      <c r="K45" s="39">
        <f>('Exhibit RMP(WRG-3)'!K518)/1000</f>
        <v>584.89400000000001</v>
      </c>
      <c r="L45" s="32"/>
      <c r="M45" s="39">
        <f>('Exhibit RMP(WRG-3)'!O518)/1000</f>
        <v>644.82500000000005</v>
      </c>
      <c r="N45" s="32"/>
      <c r="O45" s="39">
        <f>M45-K45</f>
        <v>59.93100000000004</v>
      </c>
      <c r="Q45" s="48">
        <f t="shared" si="3"/>
        <v>0.10246472010312986</v>
      </c>
      <c r="S45" s="42">
        <f t="shared" si="4"/>
        <v>11.39</v>
      </c>
    </row>
    <row r="46" spans="1:19">
      <c r="A46" s="108">
        <f>MAX(A$14:A45)+1</f>
        <v>30</v>
      </c>
      <c r="C46" s="138" t="s">
        <v>59</v>
      </c>
      <c r="D46" s="61"/>
      <c r="F46" s="61"/>
      <c r="G46" s="30">
        <f>SUM(G41:G45)</f>
        <v>12498.583333333332</v>
      </c>
      <c r="H46" s="61"/>
      <c r="I46" s="30">
        <f>SUM(I41:I45)</f>
        <v>106208.93948</v>
      </c>
      <c r="J46" s="61"/>
      <c r="K46" s="31">
        <f>SUM(K41:K45)</f>
        <v>13842.304</v>
      </c>
      <c r="L46" s="31"/>
      <c r="M46" s="31">
        <f>SUM(M41:M45)</f>
        <v>13902.235000000001</v>
      </c>
      <c r="N46" s="31"/>
      <c r="O46" s="31">
        <f>SUM(O41:O45)</f>
        <v>59.93100000000004</v>
      </c>
      <c r="P46" s="61"/>
      <c r="Q46" s="44">
        <f t="shared" si="3"/>
        <v>4.3295538083833471E-3</v>
      </c>
      <c r="R46" s="61"/>
      <c r="S46" s="28">
        <f t="shared" si="4"/>
        <v>13.09</v>
      </c>
    </row>
    <row r="47" spans="1:19" ht="21.95" customHeight="1">
      <c r="A47" s="108">
        <f>MAX(A$14:A46)+1</f>
        <v>31</v>
      </c>
      <c r="C47" s="134" t="s">
        <v>60</v>
      </c>
      <c r="E47" s="133" t="s">
        <v>25</v>
      </c>
      <c r="G47" s="30">
        <v>5</v>
      </c>
      <c r="I47" s="30">
        <f>'Exhibit RMP(WRG-3)'!E787/1000</f>
        <v>7.9721299999999999</v>
      </c>
      <c r="K47" s="31">
        <f>'Exhibit RMP(WRG-3)'!K787/1000</f>
        <v>0.60099999999999998</v>
      </c>
      <c r="L47" s="32"/>
      <c r="M47" s="31">
        <f>'Exhibit RMP(WRG-3)'!O787/1000</f>
        <v>0.60099999999999998</v>
      </c>
      <c r="N47" s="32"/>
      <c r="O47" s="31">
        <f>M47-K47</f>
        <v>0</v>
      </c>
      <c r="Q47" s="44">
        <f t="shared" si="3"/>
        <v>0</v>
      </c>
      <c r="S47" s="28">
        <f t="shared" si="4"/>
        <v>7.54</v>
      </c>
    </row>
    <row r="48" spans="1:19">
      <c r="A48" s="108">
        <f>MAX(A$14:A47)+1</f>
        <v>32</v>
      </c>
      <c r="C48" s="141" t="s">
        <v>61</v>
      </c>
      <c r="E48" s="133" t="s">
        <v>25</v>
      </c>
      <c r="G48" s="30">
        <v>1</v>
      </c>
      <c r="I48" s="30">
        <f>'Exhibit RMP(WRG-3)'!E778/1000</f>
        <v>135.42099999999999</v>
      </c>
      <c r="K48" s="31">
        <f>'Exhibit RMP(WRG-3)'!K778/1000</f>
        <v>17.277000000000001</v>
      </c>
      <c r="L48" s="32"/>
      <c r="M48" s="31">
        <f>'Exhibit RMP(WRG-3)'!O778/1000</f>
        <v>17.277000000000001</v>
      </c>
      <c r="N48" s="32"/>
      <c r="O48" s="31">
        <f>M48-K48</f>
        <v>0</v>
      </c>
      <c r="Q48" s="44">
        <f t="shared" si="3"/>
        <v>0</v>
      </c>
      <c r="S48" s="28">
        <f t="shared" si="4"/>
        <v>12.76</v>
      </c>
    </row>
    <row r="49" spans="1:19">
      <c r="A49" s="108">
        <f>MAX(A$14:A48)+1</f>
        <v>33</v>
      </c>
      <c r="C49" s="134" t="s">
        <v>24</v>
      </c>
      <c r="D49" s="63"/>
      <c r="E49" s="135" t="s">
        <v>25</v>
      </c>
      <c r="F49" s="63"/>
      <c r="G49" s="64"/>
      <c r="H49" s="63"/>
      <c r="I49" s="64" t="s">
        <v>25</v>
      </c>
      <c r="J49" s="63"/>
      <c r="K49" s="39">
        <v>4.6616400000000002</v>
      </c>
      <c r="L49" s="32"/>
      <c r="M49" s="39">
        <f>K49</f>
        <v>4.6616400000000002</v>
      </c>
      <c r="N49" s="32"/>
      <c r="O49" s="39">
        <f>M49-K49</f>
        <v>0</v>
      </c>
      <c r="P49" s="63"/>
      <c r="Q49" s="48">
        <f t="shared" si="3"/>
        <v>0</v>
      </c>
      <c r="R49" s="63"/>
      <c r="S49" s="42"/>
    </row>
    <row r="50" spans="1:19" ht="21.95" customHeight="1">
      <c r="A50" s="108">
        <f>MAX(A$14:A49)+1</f>
        <v>34</v>
      </c>
      <c r="C50" s="121" t="s">
        <v>62</v>
      </c>
      <c r="E50" s="129"/>
      <c r="G50" s="47">
        <f>SUM(G47:G49)+G46</f>
        <v>12504.583333333332</v>
      </c>
      <c r="I50" s="47">
        <f>SUM(I47:I49)+I46</f>
        <v>106352.33261</v>
      </c>
      <c r="K50" s="39">
        <f>SUM(K47:K49)+K46</f>
        <v>13864.843640000001</v>
      </c>
      <c r="L50" s="32"/>
      <c r="M50" s="39">
        <f>SUM(M47:M49)+M46</f>
        <v>13924.774640000001</v>
      </c>
      <c r="N50" s="32"/>
      <c r="O50" s="39">
        <f>SUM(O47:O49)+O46</f>
        <v>59.93100000000004</v>
      </c>
      <c r="Q50" s="48">
        <f t="shared" si="3"/>
        <v>4.3225153890015331E-3</v>
      </c>
      <c r="S50" s="42">
        <f>ROUND(100*M50/I50,2)</f>
        <v>13.09</v>
      </c>
    </row>
    <row r="51" spans="1:19" ht="24.95" customHeight="1" thickBot="1">
      <c r="A51" s="108">
        <f>MAX(A$14:A50)+1</f>
        <v>35</v>
      </c>
      <c r="C51" s="121" t="s">
        <v>63</v>
      </c>
      <c r="E51" s="129"/>
      <c r="G51" s="66">
        <f>G50+G38+G18</f>
        <v>829772.99999861105</v>
      </c>
      <c r="I51" s="66">
        <f>I50+I38+I18</f>
        <v>23734642.546709999</v>
      </c>
      <c r="K51" s="67">
        <f>K50+K38+K18</f>
        <v>1772847.4974491666</v>
      </c>
      <c r="L51" s="32"/>
      <c r="M51" s="67">
        <f>M50+M38+M18</f>
        <v>1945116.1924491664</v>
      </c>
      <c r="N51" s="32"/>
      <c r="O51" s="67">
        <f>O50+O38+O18</f>
        <v>172268.69499999995</v>
      </c>
      <c r="Q51" s="68">
        <f t="shared" si="3"/>
        <v>9.7170622542472496E-2</v>
      </c>
      <c r="S51" s="69">
        <f>ROUND(100*M51/I51,2)</f>
        <v>8.1999999999999993</v>
      </c>
    </row>
    <row r="52" spans="1:19" ht="35.1" customHeight="1" thickTop="1" thickBot="1">
      <c r="A52" s="108">
        <f>MAX(A$14:A51)+1</f>
        <v>36</v>
      </c>
      <c r="C52" s="142" t="s">
        <v>64</v>
      </c>
      <c r="E52" s="129"/>
      <c r="G52" s="66">
        <f>G46+G39+G18-G17</f>
        <v>829764.99999861105</v>
      </c>
      <c r="I52" s="66">
        <f>I46+I39+I18-I17</f>
        <v>22472728.410829999</v>
      </c>
      <c r="K52" s="67">
        <f>K46+K39+K18-K17</f>
        <v>1717126.919</v>
      </c>
      <c r="L52" s="32"/>
      <c r="M52" s="67">
        <f>M46+M39+M18-M17</f>
        <v>1889395.6140000001</v>
      </c>
      <c r="N52" s="32"/>
      <c r="O52" s="67">
        <f>O46+O39+O18-O17</f>
        <v>172268.69499999995</v>
      </c>
      <c r="Q52" s="68">
        <f t="shared" si="3"/>
        <v>0.10032379848795554</v>
      </c>
      <c r="S52" s="69">
        <f>ROUND(100*M52/I52,2)</f>
        <v>8.41</v>
      </c>
    </row>
    <row r="53" spans="1:19" ht="16.5" thickTop="1">
      <c r="E53" s="129"/>
    </row>
    <row r="54" spans="1:19">
      <c r="C54" s="134"/>
      <c r="K54" s="31"/>
      <c r="M54" s="31"/>
    </row>
    <row r="55" spans="1:19">
      <c r="C55" s="134"/>
      <c r="K55" s="44"/>
    </row>
    <row r="56" spans="1:19">
      <c r="K56" s="44"/>
    </row>
  </sheetData>
  <printOptions horizontalCentered="1"/>
  <pageMargins left="0.5" right="0.5" top="1" bottom="0.5" header="0.5" footer="0.25"/>
  <pageSetup scale="5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7"/>
  <sheetViews>
    <sheetView topLeftCell="A31" zoomScale="70" zoomScaleNormal="70" workbookViewId="0">
      <selection activeCell="T63" sqref="T63"/>
    </sheetView>
  </sheetViews>
  <sheetFormatPr defaultColWidth="9" defaultRowHeight="15.75"/>
  <cols>
    <col min="1" max="1" width="4.625" style="6" customWidth="1"/>
    <col min="2" max="2" width="1.625" style="6" customWidth="1"/>
    <col min="3" max="3" width="35.625" style="6" customWidth="1"/>
    <col min="4" max="4" width="1.5" style="26" customWidth="1"/>
    <col min="5" max="5" width="7.5" style="6" bestFit="1" customWidth="1"/>
    <col min="6" max="6" width="0.75" style="26" customWidth="1"/>
    <col min="7" max="7" width="10.625" style="26" bestFit="1" customWidth="1"/>
    <col min="8" max="8" width="0.75" style="26" customWidth="1"/>
    <col min="9" max="9" width="12.25" style="26" bestFit="1" customWidth="1"/>
    <col min="10" max="10" width="1.75" style="26" customWidth="1"/>
    <col min="11" max="11" width="12.25" style="26" bestFit="1" customWidth="1"/>
    <col min="12" max="12" width="1.75" style="26" customWidth="1"/>
    <col min="13" max="13" width="13.625" style="26" customWidth="1"/>
    <col min="14" max="14" width="1.75" style="26" customWidth="1"/>
    <col min="15" max="15" width="13.625" style="26" bestFit="1" customWidth="1"/>
    <col min="16" max="16" width="1.75" style="26" customWidth="1"/>
    <col min="17" max="17" width="8.25" style="27" bestFit="1" customWidth="1"/>
    <col min="18" max="18" width="1.75" style="26" customWidth="1"/>
    <col min="19" max="19" width="6.875" style="28" bestFit="1" customWidth="1"/>
    <col min="20" max="20" width="2.875" style="6" customWidth="1"/>
    <col min="21" max="21" width="11.25" style="6" bestFit="1" customWidth="1"/>
    <col min="22" max="16384" width="9" style="6"/>
  </cols>
  <sheetData>
    <row r="1" spans="1:22">
      <c r="A1" s="1" t="s">
        <v>0</v>
      </c>
      <c r="B1" s="1"/>
      <c r="C1" s="1"/>
      <c r="D1" s="2"/>
      <c r="E1" s="1"/>
      <c r="F1" s="2"/>
      <c r="G1" s="2"/>
      <c r="H1" s="2"/>
      <c r="I1" s="2"/>
      <c r="J1" s="2"/>
      <c r="K1" s="3"/>
      <c r="L1" s="2"/>
      <c r="M1" s="3"/>
      <c r="N1" s="2"/>
      <c r="O1" s="3"/>
      <c r="P1" s="2"/>
      <c r="Q1" s="4"/>
      <c r="R1" s="2"/>
      <c r="S1" s="5"/>
    </row>
    <row r="2" spans="1:22" s="8" customFormat="1">
      <c r="A2" s="1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22" s="8" customFormat="1">
      <c r="A3" s="1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2" s="8" customFormat="1">
      <c r="A4" s="1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2" s="8" customFormat="1">
      <c r="A5" s="1" t="s">
        <v>477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22">
      <c r="A6" s="1" t="s">
        <v>478</v>
      </c>
      <c r="B6" s="7"/>
      <c r="C6" s="7"/>
      <c r="D6" s="7"/>
      <c r="E6" s="7"/>
      <c r="F6" s="7"/>
      <c r="G6" s="7"/>
      <c r="H6" s="7"/>
      <c r="I6" s="7"/>
      <c r="J6" s="7"/>
      <c r="K6" s="7"/>
      <c r="L6" s="3"/>
      <c r="M6" s="9"/>
      <c r="N6" s="9"/>
      <c r="O6" s="9"/>
      <c r="P6" s="9"/>
      <c r="Q6" s="9"/>
      <c r="R6" s="9"/>
      <c r="S6" s="9"/>
    </row>
    <row r="7" spans="1:22">
      <c r="A7" s="1"/>
      <c r="B7" s="1"/>
      <c r="C7" s="1"/>
      <c r="D7" s="2"/>
      <c r="E7" s="1"/>
      <c r="F7" s="2"/>
      <c r="G7" s="2"/>
      <c r="H7" s="2"/>
      <c r="I7" s="2"/>
      <c r="J7" s="2"/>
      <c r="K7" s="3"/>
      <c r="L7" s="2"/>
      <c r="M7" s="3"/>
      <c r="N7" s="2"/>
      <c r="O7" s="3"/>
      <c r="P7" s="2"/>
      <c r="Q7" s="4"/>
      <c r="R7" s="2"/>
      <c r="S7" s="5"/>
    </row>
    <row r="8" spans="1:22" ht="12" customHeight="1">
      <c r="A8" s="1"/>
      <c r="B8" s="1"/>
      <c r="C8" s="1"/>
      <c r="D8" s="2"/>
      <c r="E8" s="1"/>
      <c r="F8" s="2"/>
      <c r="G8" s="2"/>
      <c r="H8" s="2"/>
      <c r="I8" s="2"/>
      <c r="J8" s="2"/>
      <c r="K8" s="3"/>
      <c r="L8" s="2"/>
      <c r="M8" s="3"/>
      <c r="N8" s="2"/>
      <c r="O8" s="3"/>
      <c r="P8" s="2"/>
      <c r="Q8" s="4"/>
      <c r="R8" s="2"/>
      <c r="S8" s="5"/>
    </row>
    <row r="9" spans="1:22">
      <c r="D9" s="10"/>
      <c r="E9" s="11"/>
      <c r="F9" s="10"/>
      <c r="G9" s="10" t="s">
        <v>4</v>
      </c>
      <c r="H9" s="10"/>
      <c r="I9" s="10"/>
      <c r="J9" s="10"/>
      <c r="K9" s="12" t="s">
        <v>5</v>
      </c>
      <c r="L9" s="10"/>
      <c r="M9" s="12" t="s">
        <v>6</v>
      </c>
      <c r="N9" s="13"/>
      <c r="O9" s="13"/>
      <c r="P9" s="13"/>
      <c r="Q9" s="13"/>
      <c r="R9" s="13"/>
      <c r="S9" s="14"/>
    </row>
    <row r="10" spans="1:22" s="15" customFormat="1">
      <c r="A10" s="15" t="s">
        <v>7</v>
      </c>
      <c r="D10" s="10"/>
      <c r="E10" s="11" t="s">
        <v>8</v>
      </c>
      <c r="F10" s="10"/>
      <c r="G10" s="12" t="s">
        <v>9</v>
      </c>
      <c r="H10" s="10"/>
      <c r="I10" s="10" t="s">
        <v>10</v>
      </c>
      <c r="J10" s="12"/>
      <c r="K10" s="10" t="s">
        <v>11</v>
      </c>
      <c r="L10" s="12"/>
      <c r="M10" s="12" t="s">
        <v>11</v>
      </c>
      <c r="N10" s="12"/>
      <c r="O10" s="13"/>
      <c r="P10" s="13"/>
      <c r="Q10" s="16"/>
      <c r="R10" s="12"/>
      <c r="S10" s="17" t="s">
        <v>12</v>
      </c>
    </row>
    <row r="11" spans="1:22" s="15" customFormat="1">
      <c r="A11" s="15" t="s">
        <v>13</v>
      </c>
      <c r="C11" s="11" t="s">
        <v>14</v>
      </c>
      <c r="E11" s="18" t="s">
        <v>13</v>
      </c>
      <c r="G11" s="19" t="s">
        <v>15</v>
      </c>
      <c r="I11" s="19" t="s">
        <v>15</v>
      </c>
      <c r="K11" s="20" t="s">
        <v>16</v>
      </c>
      <c r="M11" s="20" t="s">
        <v>16</v>
      </c>
      <c r="O11" s="19" t="s">
        <v>17</v>
      </c>
      <c r="Q11" s="21" t="s">
        <v>18</v>
      </c>
      <c r="S11" s="22" t="s">
        <v>19</v>
      </c>
    </row>
    <row r="12" spans="1:22" s="15" customFormat="1">
      <c r="C12" s="23">
        <v>-1</v>
      </c>
      <c r="D12" s="24"/>
      <c r="E12" s="23">
        <f>MIN($A12:D12)-1</f>
        <v>-2</v>
      </c>
      <c r="F12" s="24"/>
      <c r="G12" s="23">
        <f>MIN($A12:F12)-1</f>
        <v>-3</v>
      </c>
      <c r="H12" s="24"/>
      <c r="I12" s="23">
        <f>MIN($A12:H12)-1</f>
        <v>-4</v>
      </c>
      <c r="J12" s="24"/>
      <c r="K12" s="23">
        <f>MIN($A12:J12)-1</f>
        <v>-5</v>
      </c>
      <c r="L12" s="24"/>
      <c r="M12" s="23">
        <f>MIN($A12:L12)-1</f>
        <v>-6</v>
      </c>
      <c r="N12" s="24"/>
      <c r="O12" s="23">
        <f>MIN($A12:N12)-1</f>
        <v>-7</v>
      </c>
      <c r="P12" s="24"/>
      <c r="Q12" s="23">
        <f>MIN($A12:P12)-1</f>
        <v>-8</v>
      </c>
      <c r="R12" s="24"/>
      <c r="S12" s="23">
        <f>MIN($A12:R12)-1</f>
        <v>-9</v>
      </c>
    </row>
    <row r="13" spans="1:22" s="15" customFormat="1">
      <c r="D13" s="25"/>
      <c r="F13" s="25"/>
      <c r="G13" s="25"/>
      <c r="H13" s="25"/>
      <c r="I13" s="25"/>
      <c r="J13" s="25"/>
      <c r="K13" s="25"/>
      <c r="L13" s="25"/>
      <c r="M13" s="25"/>
      <c r="N13" s="25"/>
      <c r="O13" s="10" t="str">
        <f>"(" &amp; -M12&amp; ")-(" &amp; -K12 &amp; ")"</f>
        <v>(6)-(5)</v>
      </c>
      <c r="P13" s="25"/>
      <c r="Q13" s="10" t="str">
        <f>"(" &amp; -O12 &amp; ")/(" &amp; -K12 &amp; ")"</f>
        <v>(7)/(5)</v>
      </c>
      <c r="R13" s="25"/>
      <c r="S13" s="10" t="str">
        <f>"(" &amp; -M12 &amp; ")/(" &amp; -I12 &amp; ")"</f>
        <v>(6)/(4)</v>
      </c>
      <c r="U13" s="11" t="s">
        <v>20</v>
      </c>
    </row>
    <row r="14" spans="1:22" ht="18.75" customHeight="1">
      <c r="C14" s="15" t="s">
        <v>21</v>
      </c>
    </row>
    <row r="15" spans="1:22">
      <c r="A15" s="6">
        <v>1</v>
      </c>
      <c r="C15" s="6" t="s">
        <v>21</v>
      </c>
      <c r="E15" s="29" t="s">
        <v>22</v>
      </c>
      <c r="G15" s="30">
        <v>719579.21600691369</v>
      </c>
      <c r="I15" s="30">
        <f>('Exhibit RMP(WRG-3)'!E25+'Exhibit RMP(WRG-3)'!E42)/1000</f>
        <v>6618984.2947154995</v>
      </c>
      <c r="K15" s="31">
        <f>('Exhibit RMP(WRG-3)'!K25+'Exhibit RMP(WRG-3)'!K42)/1000</f>
        <v>649669.90700000001</v>
      </c>
      <c r="L15" s="32"/>
      <c r="M15" s="31">
        <f>K15+O15</f>
        <v>722733.23499999999</v>
      </c>
      <c r="N15" s="32"/>
      <c r="O15" s="31">
        <f>ROUND(K15*Q15,3)</f>
        <v>73063.327999999994</v>
      </c>
      <c r="Q15" s="33">
        <f>$O$58</f>
        <v>0.11246223160808849</v>
      </c>
      <c r="S15" s="28">
        <f>ROUND(100*M15/I15,2)</f>
        <v>10.92</v>
      </c>
      <c r="U15" s="34">
        <f>M15-'SJB-2'!M15</f>
        <v>0.90500000002793968</v>
      </c>
      <c r="V15" s="33">
        <f>O15/K15</f>
        <v>0.11246223230099527</v>
      </c>
    </row>
    <row r="16" spans="1:22">
      <c r="A16" s="6">
        <f>MAX(A$14:A15)+1</f>
        <v>2</v>
      </c>
      <c r="C16" s="6" t="s">
        <v>23</v>
      </c>
      <c r="E16" s="35">
        <v>2</v>
      </c>
      <c r="G16" s="30">
        <v>360.45065975289282</v>
      </c>
      <c r="I16" s="30">
        <f>'Exhibit RMP(WRG-3)'!E61/1000</f>
        <v>3259.9751844998164</v>
      </c>
      <c r="K16" s="31">
        <f>('Exhibit RMP(WRG-3)'!K61)/1000</f>
        <v>310.99200000000002</v>
      </c>
      <c r="L16" s="32"/>
      <c r="M16" s="31">
        <f>K16+O16</f>
        <v>345.96700000000004</v>
      </c>
      <c r="N16" s="32"/>
      <c r="O16" s="31">
        <f>ROUND(K16*Q16,3)</f>
        <v>34.975000000000001</v>
      </c>
      <c r="Q16" s="33">
        <f>$O$58</f>
        <v>0.11246223160808849</v>
      </c>
      <c r="S16" s="28">
        <f>ROUND(100*M16/I16,2)</f>
        <v>10.61</v>
      </c>
      <c r="U16" s="34">
        <f>M16-'SJB-2'!M16</f>
        <v>-1.061999999999955</v>
      </c>
      <c r="V16" s="33">
        <f t="shared" ref="V16:V52" si="0">O16/K16</f>
        <v>0.11246270000514483</v>
      </c>
    </row>
    <row r="17" spans="1:22">
      <c r="A17" s="6">
        <f>MAX(A$14:A16)+1</f>
        <v>3</v>
      </c>
      <c r="C17" s="36" t="s">
        <v>24</v>
      </c>
      <c r="E17" s="37" t="s">
        <v>25</v>
      </c>
      <c r="G17" s="38"/>
      <c r="I17" s="38"/>
      <c r="K17" s="39">
        <v>36.561</v>
      </c>
      <c r="L17" s="32"/>
      <c r="M17" s="39">
        <f>K17+O17</f>
        <v>36.561</v>
      </c>
      <c r="N17" s="32"/>
      <c r="O17" s="40">
        <f>ROUND(K17*Q17,3)</f>
        <v>0</v>
      </c>
      <c r="Q17" s="41">
        <v>0</v>
      </c>
      <c r="S17" s="42"/>
      <c r="U17" s="43">
        <f>M17-'SJB-2'!M17</f>
        <v>0</v>
      </c>
      <c r="V17" s="33">
        <f t="shared" si="0"/>
        <v>0</v>
      </c>
    </row>
    <row r="18" spans="1:22">
      <c r="A18" s="6">
        <f>MAX(A$14:A17)+1</f>
        <v>4</v>
      </c>
      <c r="C18" s="15" t="s">
        <v>26</v>
      </c>
      <c r="G18" s="30">
        <f>SUM(G15:G17)</f>
        <v>719939.66666666663</v>
      </c>
      <c r="I18" s="30">
        <f>SUM(I15:I17)</f>
        <v>6622244.2698999997</v>
      </c>
      <c r="K18" s="31">
        <f>SUM(K15:K17)</f>
        <v>650017.46</v>
      </c>
      <c r="L18" s="32"/>
      <c r="M18" s="31">
        <f>SUM(M15:M17)</f>
        <v>723115.76299999992</v>
      </c>
      <c r="N18" s="32"/>
      <c r="O18" s="31">
        <f>SUM(O15:O17)</f>
        <v>73098.303</v>
      </c>
      <c r="Q18" s="44">
        <f>O18/K18</f>
        <v>0.11245590695363783</v>
      </c>
      <c r="S18" s="28">
        <f>ROUND(100*M18/I18,2)</f>
        <v>10.92</v>
      </c>
      <c r="U18" s="34">
        <f>SUM(U15:U17)</f>
        <v>-0.1569999999720153</v>
      </c>
      <c r="V18" s="33">
        <f t="shared" si="0"/>
        <v>0.11245590695363783</v>
      </c>
    </row>
    <row r="19" spans="1:22" ht="24.75" customHeight="1">
      <c r="C19" s="15" t="s">
        <v>27</v>
      </c>
      <c r="G19" s="30"/>
      <c r="I19" s="30"/>
      <c r="K19" s="45"/>
      <c r="L19" s="32"/>
      <c r="M19" s="31"/>
      <c r="N19" s="32"/>
      <c r="O19" s="31"/>
      <c r="Q19" s="44"/>
      <c r="U19" s="34"/>
      <c r="V19" s="33"/>
    </row>
    <row r="20" spans="1:22">
      <c r="A20" s="6">
        <f>MAX(A$14:A19)+1</f>
        <v>5</v>
      </c>
      <c r="C20" s="479" t="s">
        <v>28</v>
      </c>
      <c r="D20" s="479"/>
      <c r="E20" s="480">
        <v>6</v>
      </c>
      <c r="F20" s="479"/>
      <c r="G20" s="481">
        <v>13479.916666666668</v>
      </c>
      <c r="H20" s="479"/>
      <c r="I20" s="481">
        <f>SUM('Exhibit RMP(WRG-3)'!E73)/1000</f>
        <v>5746434.2788172225</v>
      </c>
      <c r="J20" s="479"/>
      <c r="K20" s="482">
        <f>('Exhibit RMP(WRG-3)'!K73)/1000</f>
        <v>443566.413</v>
      </c>
      <c r="L20" s="483"/>
      <c r="M20" s="482">
        <f>K20+O20</f>
        <v>475708.22499999998</v>
      </c>
      <c r="N20" s="483"/>
      <c r="O20" s="482">
        <f>ROUND(K20*Q20,3)</f>
        <v>32141.812000000002</v>
      </c>
      <c r="P20" s="479"/>
      <c r="Q20" s="484">
        <f>O59</f>
        <v>7.2462231608088484E-2</v>
      </c>
      <c r="R20" s="479"/>
      <c r="S20" s="485">
        <f t="shared" ref="S20:S36" si="1">ROUND(100*M20/I20,2)</f>
        <v>8.2799999999999994</v>
      </c>
      <c r="T20" s="479"/>
      <c r="U20" s="486">
        <f>M20-'SJB-2'!M20</f>
        <v>-1.6160000000381842</v>
      </c>
      <c r="V20" s="484">
        <f>O20/K20</f>
        <v>7.246223126456601E-2</v>
      </c>
    </row>
    <row r="21" spans="1:22">
      <c r="A21" s="6">
        <f>MAX(A$14:A20)+1</f>
        <v>6</v>
      </c>
      <c r="C21" s="6" t="s">
        <v>29</v>
      </c>
      <c r="E21" s="35" t="s">
        <v>30</v>
      </c>
      <c r="G21" s="30">
        <v>2394.25</v>
      </c>
      <c r="I21" s="30">
        <f>SUM('Exhibit RMP(WRG-3)'!E157)/1000</f>
        <v>277735.08199999999</v>
      </c>
      <c r="K21" s="31">
        <f>('Exhibit RMP(WRG-3)'!K157)/1000</f>
        <v>29859.053</v>
      </c>
      <c r="L21" s="32"/>
      <c r="M21" s="31">
        <f>K21+O21</f>
        <v>32022.706999999999</v>
      </c>
      <c r="N21" s="32"/>
      <c r="O21" s="31">
        <f>ROUND(K21*Q21,3)</f>
        <v>2163.654</v>
      </c>
      <c r="Q21" s="44">
        <f>Q20</f>
        <v>7.2462231608088484E-2</v>
      </c>
      <c r="S21" s="28">
        <f t="shared" si="1"/>
        <v>11.53</v>
      </c>
      <c r="U21" s="34">
        <f>M21-'SJB-2'!M21</f>
        <v>-1.6000000003259629E-2</v>
      </c>
      <c r="V21" s="33">
        <f t="shared" si="0"/>
        <v>7.2462244532671555E-2</v>
      </c>
    </row>
    <row r="22" spans="1:22">
      <c r="A22" s="6">
        <f>MAX(A$14:A21)+1</f>
        <v>7</v>
      </c>
      <c r="C22" s="6" t="s">
        <v>31</v>
      </c>
      <c r="E22" s="35" t="s">
        <v>32</v>
      </c>
      <c r="G22" s="47">
        <v>32</v>
      </c>
      <c r="I22" s="47">
        <f>'Exhibit RMP(WRG-3)'!E121/1000</f>
        <v>21133.17</v>
      </c>
      <c r="K22" s="39">
        <f>'Exhibit RMP(WRG-3)'!K121/1000</f>
        <v>1657.327</v>
      </c>
      <c r="L22" s="32"/>
      <c r="M22" s="39">
        <f>K22+O22</f>
        <v>1777.421</v>
      </c>
      <c r="N22" s="32"/>
      <c r="O22" s="39">
        <f>ROUND(K22*Q22,3)</f>
        <v>120.09399999999999</v>
      </c>
      <c r="Q22" s="48">
        <f>Q20</f>
        <v>7.2462231608088484E-2</v>
      </c>
      <c r="S22" s="42">
        <f t="shared" si="1"/>
        <v>8.41</v>
      </c>
      <c r="U22" s="43">
        <f>M22-'SJB-2'!M22</f>
        <v>6.6000000000030923E-2</v>
      </c>
      <c r="V22" s="33">
        <f t="shared" si="0"/>
        <v>7.2462465162276363E-2</v>
      </c>
    </row>
    <row r="23" spans="1:22">
      <c r="A23" s="6">
        <f>MAX(A$14:A22)+1</f>
        <v>8</v>
      </c>
      <c r="C23" s="49" t="s">
        <v>33</v>
      </c>
      <c r="G23" s="30">
        <f>SUM(G20:G22)</f>
        <v>15906.166666666668</v>
      </c>
      <c r="I23" s="30">
        <f>SUM(I20:I22)</f>
        <v>6045302.5308172228</v>
      </c>
      <c r="K23" s="31">
        <f>SUM(K20:K22)</f>
        <v>475082.79300000001</v>
      </c>
      <c r="L23" s="32"/>
      <c r="M23" s="31">
        <f>SUM(M20:M22)</f>
        <v>509508.35299999994</v>
      </c>
      <c r="N23" s="32"/>
      <c r="O23" s="31">
        <f>SUM(O20:O22)</f>
        <v>34425.56</v>
      </c>
      <c r="Q23" s="44">
        <f>O23/K23</f>
        <v>7.2462232914421706E-2</v>
      </c>
      <c r="S23" s="28">
        <f t="shared" si="1"/>
        <v>8.43</v>
      </c>
      <c r="U23" s="34">
        <f>SUM(U20:U22)</f>
        <v>-1.5660000000414129</v>
      </c>
      <c r="V23" s="33">
        <f t="shared" si="0"/>
        <v>7.2462232914421706E-2</v>
      </c>
    </row>
    <row r="24" spans="1:22" ht="23.1" customHeight="1">
      <c r="A24" s="6">
        <f>MAX(A$14:A23)+1</f>
        <v>9</v>
      </c>
      <c r="C24" s="36" t="s">
        <v>34</v>
      </c>
      <c r="E24" s="6">
        <v>8</v>
      </c>
      <c r="F24" s="30"/>
      <c r="G24" s="30">
        <v>297.08333333333331</v>
      </c>
      <c r="I24" s="30">
        <f>'Exhibit RMP(WRG-3)'!E233/1000</f>
        <v>2076915.6910000001</v>
      </c>
      <c r="K24" s="31">
        <f>('Exhibit RMP(WRG-3)'!K233)/1000</f>
        <v>141558.614</v>
      </c>
      <c r="L24" s="32"/>
      <c r="M24" s="31">
        <f>K24+O24</f>
        <v>156063.02499999999</v>
      </c>
      <c r="N24" s="32"/>
      <c r="O24" s="31">
        <f>ROUND(K24*Q24,3)</f>
        <v>14504.411</v>
      </c>
      <c r="Q24" s="33">
        <f>O60</f>
        <v>0.1024622316080885</v>
      </c>
      <c r="S24" s="28">
        <f t="shared" si="1"/>
        <v>7.51</v>
      </c>
      <c r="U24" s="34">
        <f>M24-'SJB-2'!M24</f>
        <v>-0.38200000001234002</v>
      </c>
      <c r="V24" s="33">
        <f t="shared" si="0"/>
        <v>0.10246222811986559</v>
      </c>
    </row>
    <row r="25" spans="1:22" ht="23.1" customHeight="1">
      <c r="A25" s="6">
        <f>MAX(A$14:A24)+1</f>
        <v>10</v>
      </c>
      <c r="C25" s="479" t="s">
        <v>35</v>
      </c>
      <c r="D25" s="479"/>
      <c r="E25" s="479">
        <v>9</v>
      </c>
      <c r="F25" s="479"/>
      <c r="G25" s="481">
        <v>142.5</v>
      </c>
      <c r="H25" s="479"/>
      <c r="I25" s="481">
        <f>('Exhibit RMP(WRG-3)'!E268)/1000</f>
        <v>4538067.2419739999</v>
      </c>
      <c r="J25" s="479"/>
      <c r="K25" s="482">
        <f>('Exhibit RMP(WRG-3)'!K268)/1000</f>
        <v>226409.34400000001</v>
      </c>
      <c r="L25" s="483"/>
      <c r="M25" s="482">
        <f>K25+O25</f>
        <v>256400.03100000002</v>
      </c>
      <c r="N25" s="483"/>
      <c r="O25" s="482">
        <f>ROUND(K25*Q25,3)</f>
        <v>29990.687000000002</v>
      </c>
      <c r="P25" s="479"/>
      <c r="Q25" s="484">
        <f>O61</f>
        <v>0.13246223160808848</v>
      </c>
      <c r="R25" s="479"/>
      <c r="S25" s="485">
        <f t="shared" si="1"/>
        <v>5.65</v>
      </c>
      <c r="T25" s="479"/>
      <c r="U25" s="486">
        <f>M25-'SJB-2'!M25</f>
        <v>-4.9019999999727588</v>
      </c>
      <c r="V25" s="484">
        <f t="shared" si="0"/>
        <v>0.1324622317707877</v>
      </c>
    </row>
    <row r="26" spans="1:22">
      <c r="A26" s="6">
        <f>MAX(A$14:A25)+1</f>
        <v>11</v>
      </c>
      <c r="C26" s="6" t="s">
        <v>36</v>
      </c>
      <c r="E26" s="35" t="s">
        <v>37</v>
      </c>
      <c r="G26" s="47">
        <v>8.9999986111111081</v>
      </c>
      <c r="I26" s="47">
        <f>'Exhibit RMP(WRG-3)'!E309/1000</f>
        <v>42717.705999999998</v>
      </c>
      <c r="K26" s="39">
        <f>'Exhibit RMP(WRG-3)'!K309/1000</f>
        <v>2911.8290000000002</v>
      </c>
      <c r="L26" s="32"/>
      <c r="M26" s="39">
        <f>K26+O26</f>
        <v>3297.5360000000001</v>
      </c>
      <c r="N26" s="32"/>
      <c r="O26" s="39">
        <f>ROUND(K26*Q26,3)</f>
        <v>385.70699999999999</v>
      </c>
      <c r="Q26" s="48">
        <f>Q25</f>
        <v>0.13246223160808848</v>
      </c>
      <c r="S26" s="42">
        <f t="shared" si="1"/>
        <v>7.72</v>
      </c>
      <c r="U26" s="43">
        <f>M26-'SJB-2'!M26</f>
        <v>3.9999999999054126E-3</v>
      </c>
      <c r="V26" s="33">
        <f t="shared" si="0"/>
        <v>0.13246210543270226</v>
      </c>
    </row>
    <row r="27" spans="1:22">
      <c r="A27" s="6">
        <f>MAX(A$14:A26)+1</f>
        <v>12</v>
      </c>
      <c r="C27" s="49" t="s">
        <v>38</v>
      </c>
      <c r="G27" s="30">
        <f>SUM(G25:G26)</f>
        <v>151.4999986111111</v>
      </c>
      <c r="I27" s="30">
        <f>SUM(I25:I26)</f>
        <v>4580784.9479740001</v>
      </c>
      <c r="K27" s="31">
        <f>SUM(K25:K26)</f>
        <v>229321.17300000001</v>
      </c>
      <c r="L27" s="32"/>
      <c r="M27" s="31">
        <f>SUM(M25:M26)</f>
        <v>259697.56700000001</v>
      </c>
      <c r="N27" s="32"/>
      <c r="O27" s="31">
        <f>SUM(O25:O26)</f>
        <v>30376.394</v>
      </c>
      <c r="Q27" s="44">
        <f>O27/K27</f>
        <v>0.13246223016659694</v>
      </c>
      <c r="S27" s="28">
        <f t="shared" si="1"/>
        <v>5.67</v>
      </c>
      <c r="U27" s="34">
        <f>SUM(U25:U26)</f>
        <v>-4.8979999999728534</v>
      </c>
      <c r="V27" s="33">
        <f t="shared" si="0"/>
        <v>0.13246223016659694</v>
      </c>
    </row>
    <row r="28" spans="1:22" ht="23.1" customHeight="1">
      <c r="A28" s="6">
        <f>MAX(A$14:A27)+1</f>
        <v>13</v>
      </c>
      <c r="C28" s="6" t="s">
        <v>39</v>
      </c>
      <c r="E28" s="35">
        <v>10</v>
      </c>
      <c r="G28" s="30">
        <f>'Exhibit RMP(WRG-3)'!E328+'Exhibit RMP(WRG-3)'!E329</f>
        <v>2647</v>
      </c>
      <c r="I28" s="30">
        <f>'Exhibit RMP(WRG-3)'!E341/1000</f>
        <v>170955.53200000001</v>
      </c>
      <c r="K28" s="31">
        <f>('Exhibit RMP(WRG-3)'!K341)/1000</f>
        <v>11991.091</v>
      </c>
      <c r="L28" s="32"/>
      <c r="M28" s="31">
        <f>K28+O28</f>
        <v>13699.369000000001</v>
      </c>
      <c r="N28" s="32"/>
      <c r="O28" s="31">
        <f>ROUND(K28*Q28,3)</f>
        <v>1708.278</v>
      </c>
      <c r="Q28" s="33">
        <f>O62</f>
        <v>0.14246223160808849</v>
      </c>
      <c r="S28" s="28">
        <f t="shared" si="1"/>
        <v>8.01</v>
      </c>
      <c r="U28" s="34">
        <f>M28-'SJB-2'!M28</f>
        <v>-1.558999999999287</v>
      </c>
      <c r="V28" s="33">
        <f t="shared" si="0"/>
        <v>0.14246226636091744</v>
      </c>
    </row>
    <row r="29" spans="1:22">
      <c r="A29" s="6">
        <f>MAX(A$14:A28)+1</f>
        <v>14</v>
      </c>
      <c r="C29" s="6" t="s">
        <v>40</v>
      </c>
      <c r="E29" s="35" t="s">
        <v>41</v>
      </c>
      <c r="G29" s="47">
        <f>'Exhibit RMP(WRG-3)'!E344+'Exhibit RMP(WRG-3)'!E345</f>
        <v>263</v>
      </c>
      <c r="I29" s="47">
        <f>'Exhibit RMP(WRG-3)'!E357/1000</f>
        <v>16324.472</v>
      </c>
      <c r="K29" s="39">
        <f>('Exhibit RMP(WRG-3)'!K357)/1000</f>
        <v>1183.432</v>
      </c>
      <c r="L29" s="32"/>
      <c r="M29" s="39">
        <f>K29+O29</f>
        <v>1352.0260000000001</v>
      </c>
      <c r="N29" s="32"/>
      <c r="O29" s="39">
        <f>ROUND(K29*Q29,3)</f>
        <v>168.59399999999999</v>
      </c>
      <c r="Q29" s="48">
        <f>Q28</f>
        <v>0.14246223160808849</v>
      </c>
      <c r="S29" s="42">
        <f t="shared" si="1"/>
        <v>8.2799999999999994</v>
      </c>
      <c r="U29" s="43">
        <f>M29-'SJB-2'!M29</f>
        <v>1.5589999999999691</v>
      </c>
      <c r="V29" s="33">
        <f t="shared" si="0"/>
        <v>0.14246192430152302</v>
      </c>
    </row>
    <row r="30" spans="1:22">
      <c r="A30" s="6">
        <f>MAX(A$14:A29)+1</f>
        <v>15</v>
      </c>
      <c r="C30" s="49" t="s">
        <v>42</v>
      </c>
      <c r="G30" s="30">
        <f>SUM(G28:G29)</f>
        <v>2910</v>
      </c>
      <c r="I30" s="30">
        <f>SUM(I28:I29)</f>
        <v>187280.00400000002</v>
      </c>
      <c r="K30" s="31">
        <f>SUM(K28:K29)</f>
        <v>13174.523000000001</v>
      </c>
      <c r="L30" s="32"/>
      <c r="M30" s="31">
        <f>SUM(M28:M29)</f>
        <v>15051.395</v>
      </c>
      <c r="N30" s="32"/>
      <c r="O30" s="31">
        <f>SUM(O28:O29)</f>
        <v>1876.8720000000001</v>
      </c>
      <c r="Q30" s="44">
        <f>O30/K30</f>
        <v>0.14246223563464119</v>
      </c>
      <c r="S30" s="28">
        <f t="shared" si="1"/>
        <v>8.0399999999999991</v>
      </c>
      <c r="U30" s="34">
        <f>SUM(U28:U29)</f>
        <v>6.8212102632969618E-13</v>
      </c>
      <c r="V30" s="33">
        <f t="shared" si="0"/>
        <v>0.14246223563464119</v>
      </c>
    </row>
    <row r="31" spans="1:22" ht="23.1" customHeight="1">
      <c r="A31" s="6">
        <f>MAX(A$14:A30)+1</f>
        <v>16</v>
      </c>
      <c r="C31" s="6" t="s">
        <v>43</v>
      </c>
      <c r="E31" s="6">
        <v>21</v>
      </c>
      <c r="G31" s="30">
        <v>5</v>
      </c>
      <c r="I31" s="30">
        <f>'Exhibit RMP(WRG-3)'!E535/1000</f>
        <v>3287.9389999999999</v>
      </c>
      <c r="K31" s="31">
        <f>('Exhibit RMP(WRG-3)'!K535)/1000</f>
        <v>342.79199999999997</v>
      </c>
      <c r="L31" s="32"/>
      <c r="M31" s="31">
        <f t="shared" ref="M31:M37" si="2">K31+O31</f>
        <v>388.19899999999996</v>
      </c>
      <c r="N31" s="32"/>
      <c r="O31" s="31">
        <f t="shared" ref="O31:O37" si="3">ROUND(K31*Q31,3)</f>
        <v>45.406999999999996</v>
      </c>
      <c r="Q31" s="33">
        <f>O61</f>
        <v>0.13246223160808848</v>
      </c>
      <c r="S31" s="28">
        <f t="shared" si="1"/>
        <v>11.81</v>
      </c>
      <c r="U31" s="34">
        <f>M31-'SJB-2'!M31</f>
        <v>0</v>
      </c>
      <c r="V31" s="33">
        <f t="shared" si="0"/>
        <v>0.13246225116105392</v>
      </c>
    </row>
    <row r="32" spans="1:22">
      <c r="A32" s="6">
        <f>MAX(A$14:A31)+1</f>
        <v>17</v>
      </c>
      <c r="C32" s="6" t="s">
        <v>44</v>
      </c>
      <c r="E32" s="46">
        <v>23</v>
      </c>
      <c r="G32" s="30">
        <v>78052</v>
      </c>
      <c r="I32" s="30">
        <f>SUM('Exhibit RMP(WRG-3)'!E548)/1000</f>
        <v>1419326.149632778</v>
      </c>
      <c r="K32" s="31">
        <f>('Exhibit RMP(WRG-3)'!K548)/1000</f>
        <v>129897.91099999999</v>
      </c>
      <c r="L32" s="32"/>
      <c r="M32" s="31">
        <f t="shared" si="2"/>
        <v>139310.60399999999</v>
      </c>
      <c r="N32" s="32"/>
      <c r="O32" s="31">
        <f t="shared" si="3"/>
        <v>9412.6929999999993</v>
      </c>
      <c r="Q32" s="33">
        <f>O59</f>
        <v>7.2462231608088484E-2</v>
      </c>
      <c r="S32" s="28">
        <f t="shared" si="1"/>
        <v>9.82</v>
      </c>
      <c r="U32" s="34">
        <f>M32-'SJB-2'!M32</f>
        <v>1.6009999999951106</v>
      </c>
      <c r="V32" s="33">
        <f t="shared" si="0"/>
        <v>7.2462235362661068E-2</v>
      </c>
    </row>
    <row r="33" spans="1:22">
      <c r="A33" s="6">
        <f>MAX(A$14:A32)+1</f>
        <v>18</v>
      </c>
      <c r="C33" s="6" t="s">
        <v>47</v>
      </c>
      <c r="E33" s="6">
        <v>31</v>
      </c>
      <c r="G33" s="30">
        <v>4</v>
      </c>
      <c r="I33" s="30">
        <f>'Exhibit RMP(WRG-3)'!E630/1000</f>
        <v>59778.839026000001</v>
      </c>
      <c r="K33" s="31">
        <f>'Exhibit RMP(WRG-3)'!K630/1000</f>
        <v>4870.0309999999999</v>
      </c>
      <c r="L33" s="32"/>
      <c r="M33" s="31">
        <f t="shared" si="2"/>
        <v>5515.1260000000002</v>
      </c>
      <c r="N33" s="32"/>
      <c r="O33" s="31">
        <f>ROUND(K33*Q33,3)</f>
        <v>645.09500000000003</v>
      </c>
      <c r="Q33" s="33">
        <f>O61</f>
        <v>0.13246223160808848</v>
      </c>
      <c r="S33" s="28">
        <f t="shared" si="1"/>
        <v>9.23</v>
      </c>
      <c r="U33" s="34">
        <f>M33-'SJB-2'!M33</f>
        <v>47.229000000000269</v>
      </c>
      <c r="V33" s="33">
        <f>O33/K33</f>
        <v>0.13246219582585819</v>
      </c>
    </row>
    <row r="34" spans="1:22">
      <c r="A34" s="6">
        <f>MAX(A$14:A33)+1</f>
        <v>19</v>
      </c>
      <c r="C34" s="36" t="s">
        <v>48</v>
      </c>
      <c r="E34" s="35" t="s">
        <v>25</v>
      </c>
      <c r="G34" s="30">
        <v>1</v>
      </c>
      <c r="I34" s="30">
        <f>'Exhibit RMP(WRG-3)'!E724/1000</f>
        <v>543970.59100000001</v>
      </c>
      <c r="K34" s="31">
        <f>('Exhibit RMP(WRG-3)'!K724)/1000</f>
        <v>24224.835012471453</v>
      </c>
      <c r="L34" s="32"/>
      <c r="M34" s="31">
        <f t="shared" si="2"/>
        <v>24224.835012471453</v>
      </c>
      <c r="N34" s="32"/>
      <c r="O34" s="50">
        <f t="shared" si="3"/>
        <v>0</v>
      </c>
      <c r="Q34" s="33">
        <v>0</v>
      </c>
      <c r="S34" s="28">
        <f t="shared" si="1"/>
        <v>4.45</v>
      </c>
      <c r="U34" s="34">
        <f>M34-'SJB-2'!M34</f>
        <v>0</v>
      </c>
      <c r="V34" s="33">
        <f t="shared" si="0"/>
        <v>0</v>
      </c>
    </row>
    <row r="35" spans="1:22">
      <c r="A35" s="6">
        <f>MAX(A$14:A34)+1</f>
        <v>20</v>
      </c>
      <c r="C35" s="36" t="s">
        <v>49</v>
      </c>
      <c r="E35" s="35" t="s">
        <v>25</v>
      </c>
      <c r="G35" s="30">
        <v>1</v>
      </c>
      <c r="I35" s="30">
        <f>'Exhibit RMP(WRG-3)'!E729/1000</f>
        <v>717800.15174999996</v>
      </c>
      <c r="K35" s="31">
        <f>'Exhibit RMP(WRG-3)'!K729/1000</f>
        <v>26946.217696695003</v>
      </c>
      <c r="L35" s="32"/>
      <c r="M35" s="31">
        <f t="shared" si="2"/>
        <v>26946.217696695003</v>
      </c>
      <c r="N35" s="32"/>
      <c r="O35" s="50">
        <f t="shared" si="3"/>
        <v>0</v>
      </c>
      <c r="Q35" s="33">
        <v>0</v>
      </c>
      <c r="S35" s="28">
        <f t="shared" si="1"/>
        <v>3.75</v>
      </c>
      <c r="U35" s="34">
        <f>M35-'SJB-2'!M35</f>
        <v>0</v>
      </c>
      <c r="V35" s="33">
        <f t="shared" si="0"/>
        <v>0</v>
      </c>
    </row>
    <row r="36" spans="1:22">
      <c r="A36" s="6">
        <f>MAX(A$14:A35)+1</f>
        <v>21</v>
      </c>
      <c r="C36" s="36" t="s">
        <v>50</v>
      </c>
      <c r="E36" s="35" t="s">
        <v>25</v>
      </c>
      <c r="G36" s="30">
        <v>1</v>
      </c>
      <c r="I36" s="30">
        <f>'Exhibit RMP(WRG-3)'!E745/1000</f>
        <v>1371599.1</v>
      </c>
      <c r="K36" s="31">
        <f>('Exhibit RMP(WRG-3)'!K745)/1000</f>
        <v>59055.879000000001</v>
      </c>
      <c r="L36" s="32"/>
      <c r="M36" s="31">
        <f t="shared" si="2"/>
        <v>66878.553</v>
      </c>
      <c r="N36" s="32"/>
      <c r="O36" s="31">
        <f>ROUND(K36*Q36,3)</f>
        <v>7822.674</v>
      </c>
      <c r="Q36" s="33">
        <f>O61</f>
        <v>0.13246223160808848</v>
      </c>
      <c r="S36" s="28">
        <f t="shared" si="1"/>
        <v>4.88</v>
      </c>
      <c r="U36" s="34">
        <f>M36-'SJB-2'!M36</f>
        <v>-43.182000000000698</v>
      </c>
      <c r="V36" s="33">
        <f>O36/K36</f>
        <v>0.13246223970351875</v>
      </c>
    </row>
    <row r="37" spans="1:22">
      <c r="A37" s="6">
        <f>MAX(A$14:A36)+1</f>
        <v>22</v>
      </c>
      <c r="C37" s="36" t="s">
        <v>24</v>
      </c>
      <c r="E37" s="37" t="s">
        <v>25</v>
      </c>
      <c r="G37" s="38"/>
      <c r="I37" s="38" t="s">
        <v>25</v>
      </c>
      <c r="K37" s="39">
        <v>4490.4250999999995</v>
      </c>
      <c r="L37" s="32"/>
      <c r="M37" s="39">
        <f t="shared" si="2"/>
        <v>4490.4250999999995</v>
      </c>
      <c r="N37" s="32"/>
      <c r="O37" s="51">
        <f t="shared" si="3"/>
        <v>0</v>
      </c>
      <c r="Q37" s="41">
        <v>0</v>
      </c>
      <c r="S37" s="42"/>
      <c r="U37" s="34">
        <f>M37-'SJB-2'!M37</f>
        <v>0</v>
      </c>
      <c r="V37" s="33">
        <f t="shared" si="0"/>
        <v>0</v>
      </c>
    </row>
    <row r="38" spans="1:22">
      <c r="A38" s="6">
        <f>MAX(A$14:A37)+1</f>
        <v>23</v>
      </c>
      <c r="C38" s="15" t="s">
        <v>51</v>
      </c>
      <c r="G38" s="30">
        <f>SUM(G20:G22,G24:G26,G28:G29,G31:G37)</f>
        <v>97328.749998611107</v>
      </c>
      <c r="I38" s="30">
        <f>SUM(I20:I22,I24:I26,I28:I29,I31:I37)</f>
        <v>17006045.944200002</v>
      </c>
      <c r="K38" s="31">
        <f>SUM(K20:K22,K24:K26,K28:K29,K31:K37)</f>
        <v>1108965.1938091666</v>
      </c>
      <c r="L38" s="32">
        <f>SUM(L20:L22,L24:L26,L28:L29,L31:L37)</f>
        <v>0</v>
      </c>
      <c r="M38" s="31">
        <f>SUM(M20:M22,M24:M26,M28:M29,M31:M37)</f>
        <v>1208074.2998091665</v>
      </c>
      <c r="N38" s="32">
        <f>SUM(N20:N22,N24:N26,N28:N29,N31:N37)</f>
        <v>0</v>
      </c>
      <c r="O38" s="31">
        <f>SUM(O20:O22,O24:O26,O28:O29,O31:O37)</f>
        <v>99109.106</v>
      </c>
      <c r="Q38" s="44">
        <f>O38/K38</f>
        <v>8.9370799510462312E-2</v>
      </c>
      <c r="S38" s="28">
        <f>ROUND(100*M38/I38,2)</f>
        <v>7.1</v>
      </c>
      <c r="U38" s="34">
        <f>SUM(U23,U24,U27,U30:U37)</f>
        <v>-1.198000000031243</v>
      </c>
      <c r="V38" s="33">
        <f t="shared" si="0"/>
        <v>8.9370799510462312E-2</v>
      </c>
    </row>
    <row r="39" spans="1:22" ht="31.5">
      <c r="A39" s="6">
        <f>MAX(A$14:A38)+1</f>
        <v>24</v>
      </c>
      <c r="C39" s="52" t="s">
        <v>52</v>
      </c>
      <c r="G39" s="30">
        <f>G38-SUM(G34:G35,G37)</f>
        <v>97326.749998611107</v>
      </c>
      <c r="I39" s="30">
        <f>I38-SUM(I34:I35,I37)</f>
        <v>15744275.201450001</v>
      </c>
      <c r="K39" s="31">
        <f>K38-SUM(K34:K35,K37)</f>
        <v>1053303.716</v>
      </c>
      <c r="L39" s="32">
        <f>L38-SUM(L34:L37)</f>
        <v>0</v>
      </c>
      <c r="M39" s="31">
        <f>M38-SUM(M34:M35,M37)</f>
        <v>1152412.8219999999</v>
      </c>
      <c r="N39" s="32">
        <f>N38-SUM(N34:N37)</f>
        <v>0</v>
      </c>
      <c r="O39" s="31">
        <f>O38-SUM(O34:O35,O37)</f>
        <v>99109.106</v>
      </c>
      <c r="Q39" s="44">
        <f>O39/K39</f>
        <v>9.409356911449461E-2</v>
      </c>
      <c r="S39" s="28">
        <f>ROUND(100*M39/I39,2)</f>
        <v>7.32</v>
      </c>
      <c r="U39" s="34">
        <f>U38-U34-U37</f>
        <v>-1.198000000031243</v>
      </c>
      <c r="V39" s="33">
        <f t="shared" si="0"/>
        <v>9.409356911449461E-2</v>
      </c>
    </row>
    <row r="40" spans="1:22" ht="28.5" customHeight="1">
      <c r="C40" s="15" t="s">
        <v>53</v>
      </c>
      <c r="G40" s="30"/>
      <c r="I40" s="30"/>
      <c r="K40" s="31"/>
      <c r="L40" s="32"/>
      <c r="M40" s="31"/>
      <c r="N40" s="32"/>
      <c r="O40" s="31"/>
      <c r="Q40" s="44"/>
      <c r="U40" s="34"/>
      <c r="V40" s="33"/>
    </row>
    <row r="41" spans="1:22">
      <c r="A41" s="6">
        <f>MAX(A$14:A40)+1</f>
        <v>25</v>
      </c>
      <c r="C41" s="6" t="s">
        <v>54</v>
      </c>
      <c r="E41" s="6">
        <v>7</v>
      </c>
      <c r="G41" s="30">
        <v>7865</v>
      </c>
      <c r="I41" s="30">
        <f>'Exhibit RMP(WRG-3)'!E221/1000</f>
        <v>12321.574480000001</v>
      </c>
      <c r="K41" s="31">
        <f>('Exhibit RMP(WRG-3)'!K221)/1000</f>
        <v>2964.7280000000001</v>
      </c>
      <c r="L41" s="32"/>
      <c r="M41" s="31">
        <f t="shared" ref="M41:M49" si="4">K41+O41</f>
        <v>2964.7280000000001</v>
      </c>
      <c r="N41" s="32"/>
      <c r="O41" s="31">
        <f>ROUND(K41*Q41,3)</f>
        <v>0</v>
      </c>
      <c r="Q41" s="33">
        <f>O63</f>
        <v>0</v>
      </c>
      <c r="S41" s="28">
        <f t="shared" ref="S41:S48" si="5">ROUND(100*M41/I41,2)</f>
        <v>24.06</v>
      </c>
      <c r="U41" s="34">
        <f>M41-'SJB-2'!M41</f>
        <v>0</v>
      </c>
      <c r="V41" s="33">
        <f t="shared" si="0"/>
        <v>0</v>
      </c>
    </row>
    <row r="42" spans="1:22">
      <c r="A42" s="6">
        <f>MAX(A$14:A41)+1</f>
        <v>26</v>
      </c>
      <c r="C42" s="6" t="s">
        <v>55</v>
      </c>
      <c r="E42" s="6">
        <v>11</v>
      </c>
      <c r="G42" s="30">
        <f>'Exhibit RMP(WRG-3)'!E407</f>
        <v>834.33333333333337</v>
      </c>
      <c r="I42" s="30">
        <f>'Exhibit RMP(WRG-3)'!E409/1000</f>
        <v>17077.687000000002</v>
      </c>
      <c r="K42" s="31">
        <f>('Exhibit RMP(WRG-3)'!K409)/1000</f>
        <v>5089.2430000000004</v>
      </c>
      <c r="L42" s="32"/>
      <c r="M42" s="31">
        <f t="shared" si="4"/>
        <v>5089.2430000000004</v>
      </c>
      <c r="N42" s="32"/>
      <c r="O42" s="31">
        <f>ROUND(K42*Q42,3)</f>
        <v>0</v>
      </c>
      <c r="Q42" s="33">
        <f>Q41</f>
        <v>0</v>
      </c>
      <c r="S42" s="28">
        <f t="shared" si="5"/>
        <v>29.8</v>
      </c>
      <c r="U42" s="34">
        <f>M42-'SJB-2'!M42</f>
        <v>0</v>
      </c>
      <c r="V42" s="33">
        <f t="shared" si="0"/>
        <v>0</v>
      </c>
    </row>
    <row r="43" spans="1:22">
      <c r="A43" s="6">
        <f>MAX(A$14:A42)+1</f>
        <v>27</v>
      </c>
      <c r="C43" s="6" t="s">
        <v>56</v>
      </c>
      <c r="E43" s="6">
        <v>12</v>
      </c>
      <c r="G43" s="30">
        <f>'Exhibit RMP(WRG-3)'!E501</f>
        <v>781.66666666666674</v>
      </c>
      <c r="I43" s="53">
        <f>'Exhibit RMP(WRG-3)'!E503/1000</f>
        <v>55429.428999999996</v>
      </c>
      <c r="K43" s="31">
        <f>('Exhibit RMP(WRG-3)'!K503)/1000</f>
        <v>4058.8130000000001</v>
      </c>
      <c r="L43" s="32"/>
      <c r="M43" s="31">
        <f t="shared" si="4"/>
        <v>4058.8130000000001</v>
      </c>
      <c r="N43" s="32"/>
      <c r="O43" s="31">
        <f>ROUND(K43*Q43,3)</f>
        <v>0</v>
      </c>
      <c r="Q43" s="33">
        <f>Q41</f>
        <v>0</v>
      </c>
      <c r="S43" s="28">
        <f t="shared" si="5"/>
        <v>7.32</v>
      </c>
      <c r="U43" s="34">
        <f>M43-'SJB-2'!M43</f>
        <v>0</v>
      </c>
      <c r="V43" s="33">
        <f t="shared" si="0"/>
        <v>0</v>
      </c>
    </row>
    <row r="44" spans="1:22">
      <c r="A44" s="54">
        <f>MAX(A$14:A43)+1</f>
        <v>28</v>
      </c>
      <c r="B44" s="54"/>
      <c r="C44" s="54" t="s">
        <v>57</v>
      </c>
      <c r="D44" s="55"/>
      <c r="E44" s="54">
        <v>15</v>
      </c>
      <c r="F44" s="55"/>
      <c r="G44" s="56">
        <f>('Exhibit RMP(WRG-3)'!E509)/12</f>
        <v>538.91666666666663</v>
      </c>
      <c r="H44" s="55"/>
      <c r="I44" s="56">
        <f>('Exhibit RMP(WRG-3)'!E512)/1000</f>
        <v>15717.486000000001</v>
      </c>
      <c r="J44" s="55"/>
      <c r="K44" s="57">
        <f>('Exhibit RMP(WRG-3)'!K512)/1000</f>
        <v>1144.626</v>
      </c>
      <c r="L44" s="58"/>
      <c r="M44" s="57">
        <f t="shared" si="4"/>
        <v>1144.626</v>
      </c>
      <c r="N44" s="58"/>
      <c r="O44" s="57">
        <f>ROUND(K44*Q44,3)</f>
        <v>0</v>
      </c>
      <c r="P44" s="55"/>
      <c r="Q44" s="59">
        <f>Q41</f>
        <v>0</v>
      </c>
      <c r="R44" s="55"/>
      <c r="S44" s="60">
        <f t="shared" si="5"/>
        <v>7.28</v>
      </c>
      <c r="U44" s="34">
        <f>M44-'SJB-2'!M44</f>
        <v>0</v>
      </c>
      <c r="V44" s="33">
        <f t="shared" si="0"/>
        <v>0</v>
      </c>
    </row>
    <row r="45" spans="1:22">
      <c r="A45" s="6">
        <f>MAX(A$14:A44)+1</f>
        <v>29</v>
      </c>
      <c r="C45" s="6" t="s">
        <v>58</v>
      </c>
      <c r="E45" s="6">
        <v>15</v>
      </c>
      <c r="G45" s="47">
        <f>'Exhibit RMP(WRG-3)'!E515/12</f>
        <v>2478.6666666666665</v>
      </c>
      <c r="I45" s="47">
        <f>'Exhibit RMP(WRG-3)'!E518/1000</f>
        <v>5662.7629999999999</v>
      </c>
      <c r="K45" s="39">
        <f>('Exhibit RMP(WRG-3)'!K518)/1000</f>
        <v>584.89400000000001</v>
      </c>
      <c r="L45" s="32"/>
      <c r="M45" s="39">
        <f>K45+O45</f>
        <v>644.82399999999996</v>
      </c>
      <c r="N45" s="32"/>
      <c r="O45" s="39">
        <f>ROUND(K45*Q45,3)</f>
        <v>59.93</v>
      </c>
      <c r="Q45" s="41">
        <f>O60</f>
        <v>0.1024622316080885</v>
      </c>
      <c r="S45" s="42">
        <f>ROUND(100*M45/I45,2)</f>
        <v>11.39</v>
      </c>
      <c r="U45" s="34">
        <f>M45-'SJB-2'!M45</f>
        <v>-1.00000000009004E-3</v>
      </c>
      <c r="V45" s="33">
        <f t="shared" si="0"/>
        <v>0.10246301039162652</v>
      </c>
    </row>
    <row r="46" spans="1:22">
      <c r="A46" s="6">
        <f>MAX(A$14:A45)+1</f>
        <v>30</v>
      </c>
      <c r="C46" s="49" t="s">
        <v>59</v>
      </c>
      <c r="D46" s="61"/>
      <c r="F46" s="61"/>
      <c r="G46" s="30">
        <f>SUM(G41:G45)</f>
        <v>12498.583333333332</v>
      </c>
      <c r="H46" s="61"/>
      <c r="I46" s="30">
        <f>SUM(I41:I45)</f>
        <v>106208.93948</v>
      </c>
      <c r="J46" s="61"/>
      <c r="K46" s="31">
        <f>SUM(K41:K45)</f>
        <v>13842.304</v>
      </c>
      <c r="L46" s="31"/>
      <c r="M46" s="31">
        <f>SUM(M41:N45)</f>
        <v>13902.234</v>
      </c>
      <c r="N46" s="31"/>
      <c r="O46" s="31">
        <f>SUM(O41:P45)</f>
        <v>59.93</v>
      </c>
      <c r="P46" s="61"/>
      <c r="Q46" s="44">
        <f>O46/K46</f>
        <v>4.3294815660745497E-3</v>
      </c>
      <c r="R46" s="61"/>
      <c r="S46" s="28">
        <f t="shared" si="5"/>
        <v>13.09</v>
      </c>
      <c r="U46" s="34">
        <f>SUM(U41:U45)</f>
        <v>-1.00000000009004E-3</v>
      </c>
      <c r="V46" s="33">
        <f t="shared" si="0"/>
        <v>4.3294815660745497E-3</v>
      </c>
    </row>
    <row r="47" spans="1:22" ht="23.1" customHeight="1">
      <c r="A47" s="6">
        <f>MAX(A$14:A46)+1</f>
        <v>31</v>
      </c>
      <c r="C47" s="36" t="s">
        <v>60</v>
      </c>
      <c r="E47" s="35" t="s">
        <v>25</v>
      </c>
      <c r="G47" s="30">
        <v>5</v>
      </c>
      <c r="I47" s="30">
        <f>'Exhibit RMP(WRG-3)'!E787/1000</f>
        <v>7.9721299999999999</v>
      </c>
      <c r="K47" s="31">
        <f>'Exhibit RMP(WRG-3)'!K787/1000</f>
        <v>0.60099999999999998</v>
      </c>
      <c r="L47" s="32"/>
      <c r="M47" s="31">
        <f t="shared" si="4"/>
        <v>0.60099999999999998</v>
      </c>
      <c r="N47" s="32"/>
      <c r="O47" s="31">
        <f>ROUND(K47*Q47,3)</f>
        <v>0</v>
      </c>
      <c r="Q47" s="33">
        <v>0</v>
      </c>
      <c r="S47" s="28">
        <f t="shared" si="5"/>
        <v>7.54</v>
      </c>
      <c r="U47" s="34">
        <f>M47-'SJB-2'!M47</f>
        <v>0</v>
      </c>
      <c r="V47" s="33">
        <f t="shared" si="0"/>
        <v>0</v>
      </c>
    </row>
    <row r="48" spans="1:22">
      <c r="A48" s="6">
        <f>MAX(A$14:A47)+1</f>
        <v>32</v>
      </c>
      <c r="C48" s="62" t="s">
        <v>61</v>
      </c>
      <c r="E48" s="35" t="s">
        <v>25</v>
      </c>
      <c r="G48" s="30">
        <v>1</v>
      </c>
      <c r="I48" s="30">
        <f>'Exhibit RMP(WRG-3)'!E778/1000</f>
        <v>135.42099999999999</v>
      </c>
      <c r="K48" s="31">
        <f>'Exhibit RMP(WRG-3)'!K778/1000</f>
        <v>17.277000000000001</v>
      </c>
      <c r="L48" s="32"/>
      <c r="M48" s="31">
        <f t="shared" si="4"/>
        <v>17.277000000000001</v>
      </c>
      <c r="N48" s="32"/>
      <c r="O48" s="31">
        <f>ROUND(K48*Q48,3)</f>
        <v>0</v>
      </c>
      <c r="Q48" s="33">
        <v>0</v>
      </c>
      <c r="S48" s="28">
        <f t="shared" si="5"/>
        <v>12.76</v>
      </c>
      <c r="U48" s="34">
        <f>M48-'SJB-2'!M48</f>
        <v>0</v>
      </c>
      <c r="V48" s="33">
        <f t="shared" si="0"/>
        <v>0</v>
      </c>
    </row>
    <row r="49" spans="1:22">
      <c r="A49" s="6">
        <f>MAX(A$14:A48)+1</f>
        <v>33</v>
      </c>
      <c r="C49" s="36" t="s">
        <v>24</v>
      </c>
      <c r="D49" s="63"/>
      <c r="E49" s="37" t="s">
        <v>25</v>
      </c>
      <c r="F49" s="63"/>
      <c r="G49" s="64"/>
      <c r="H49" s="63"/>
      <c r="I49" s="64" t="s">
        <v>25</v>
      </c>
      <c r="J49" s="63"/>
      <c r="K49" s="39">
        <v>4.6616400000000002</v>
      </c>
      <c r="L49" s="32"/>
      <c r="M49" s="39">
        <f t="shared" si="4"/>
        <v>4.6616400000000002</v>
      </c>
      <c r="N49" s="32"/>
      <c r="O49" s="51">
        <f>ROUND(K49*Q49,3)</f>
        <v>0</v>
      </c>
      <c r="P49" s="63"/>
      <c r="Q49" s="41">
        <v>0</v>
      </c>
      <c r="R49" s="63"/>
      <c r="S49" s="42"/>
      <c r="U49" s="43">
        <f>M49-'SJB-2'!M49</f>
        <v>0</v>
      </c>
      <c r="V49" s="33">
        <f t="shared" si="0"/>
        <v>0</v>
      </c>
    </row>
    <row r="50" spans="1:22">
      <c r="A50" s="6">
        <f>MAX(A$14:A49)+1</f>
        <v>34</v>
      </c>
      <c r="C50" s="15" t="s">
        <v>62</v>
      </c>
      <c r="E50" s="54"/>
      <c r="G50" s="47">
        <f>SUM(G47:G49)+G46</f>
        <v>12504.583333333332</v>
      </c>
      <c r="I50" s="47">
        <f>SUM(I47:I49)+I46</f>
        <v>106352.33261</v>
      </c>
      <c r="K50" s="39">
        <f>SUM(K47:K49)+K46</f>
        <v>13864.843640000001</v>
      </c>
      <c r="L50" s="32"/>
      <c r="M50" s="65">
        <f>SUM(M46:M49)</f>
        <v>13924.773640000001</v>
      </c>
      <c r="N50" s="32"/>
      <c r="O50" s="65">
        <f>SUM(O46:O49)</f>
        <v>59.93</v>
      </c>
      <c r="Q50" s="48">
        <f>O50/K50</f>
        <v>4.322443264134784E-3</v>
      </c>
      <c r="S50" s="42">
        <f>ROUND(100*M50/I50,2)</f>
        <v>13.09</v>
      </c>
      <c r="U50" s="34">
        <f>SUM(U46:U49)</f>
        <v>-1.00000000009004E-3</v>
      </c>
      <c r="V50" s="33">
        <f t="shared" si="0"/>
        <v>4.322443264134784E-3</v>
      </c>
    </row>
    <row r="51" spans="1:22" ht="27.75" customHeight="1" thickBot="1">
      <c r="A51" s="6">
        <f>MAX(A$14:A50)+1</f>
        <v>35</v>
      </c>
      <c r="C51" s="15" t="s">
        <v>63</v>
      </c>
      <c r="E51" s="54"/>
      <c r="G51" s="66">
        <f>G50+G38+G18</f>
        <v>829772.99999861105</v>
      </c>
      <c r="I51" s="66">
        <f>I50+I38+I18</f>
        <v>23734642.546709999</v>
      </c>
      <c r="K51" s="487">
        <f>K50+K38+K18</f>
        <v>1772847.4974491666</v>
      </c>
      <c r="L51" s="32"/>
      <c r="M51" s="67">
        <f>M50+M38+M18</f>
        <v>1945114.8364491663</v>
      </c>
      <c r="N51" s="32"/>
      <c r="O51" s="67">
        <f>O50+O38+O18</f>
        <v>172267.33899999998</v>
      </c>
      <c r="Q51" s="68">
        <f>O51/K51</f>
        <v>9.7169857671268456E-2</v>
      </c>
      <c r="S51" s="69">
        <f>ROUND(100*M51/I51,2)</f>
        <v>8.1999999999999993</v>
      </c>
      <c r="U51" s="70">
        <f>U18+U38+U50</f>
        <v>-1.3560000000033483</v>
      </c>
      <c r="V51" s="33">
        <f t="shared" si="0"/>
        <v>9.7169857671268456E-2</v>
      </c>
    </row>
    <row r="52" spans="1:22" ht="39.75" customHeight="1" thickTop="1" thickBot="1">
      <c r="A52" s="6">
        <f>MAX(A$14:A51)+1</f>
        <v>36</v>
      </c>
      <c r="C52" s="71" t="s">
        <v>64</v>
      </c>
      <c r="E52" s="54"/>
      <c r="G52" s="66">
        <f>G46+G39+G18-G17</f>
        <v>829764.99999861105</v>
      </c>
      <c r="I52" s="66">
        <f>I46+I39+I18-I17</f>
        <v>22472728.410829999</v>
      </c>
      <c r="K52" s="67">
        <f>K46+K39+K18-K17</f>
        <v>1717126.919</v>
      </c>
      <c r="L52" s="32"/>
      <c r="M52" s="67">
        <f>M46+M39+M18-M17</f>
        <v>1889394.2579999997</v>
      </c>
      <c r="N52" s="32"/>
      <c r="O52" s="67">
        <f>O46+O39+O18-O17</f>
        <v>172267.33899999998</v>
      </c>
      <c r="Q52" s="68">
        <f>O52/K52</f>
        <v>0.10032300879676558</v>
      </c>
      <c r="S52" s="69">
        <f>ROUND(100*M52/I52,2)</f>
        <v>8.41</v>
      </c>
      <c r="U52" s="70">
        <f>U51-U17-U34-U37-U47-U48-U49</f>
        <v>-1.3560000000033483</v>
      </c>
      <c r="V52" s="33">
        <f t="shared" si="0"/>
        <v>0.10032300879676558</v>
      </c>
    </row>
    <row r="53" spans="1:22" ht="16.5" thickTop="1">
      <c r="C53" s="15"/>
      <c r="E53" s="54"/>
    </row>
    <row r="54" spans="1:22">
      <c r="I54" s="72"/>
      <c r="J54" s="73"/>
      <c r="K54" s="73"/>
      <c r="L54" s="73"/>
      <c r="M54" s="74" t="s">
        <v>65</v>
      </c>
      <c r="N54" s="73"/>
      <c r="O54" s="75">
        <v>172267.33900000012</v>
      </c>
      <c r="P54" s="73"/>
      <c r="Q54" s="76"/>
    </row>
    <row r="55" spans="1:22">
      <c r="I55" s="77"/>
      <c r="J55" s="55"/>
      <c r="K55" s="55"/>
      <c r="L55" s="55"/>
      <c r="M55" s="78" t="s">
        <v>66</v>
      </c>
      <c r="N55" s="55"/>
      <c r="O55" s="79">
        <f>O54/K51</f>
        <v>9.7169857671268539E-2</v>
      </c>
      <c r="P55" s="55"/>
      <c r="Q55" s="80"/>
    </row>
    <row r="56" spans="1:22">
      <c r="I56" s="77"/>
      <c r="J56" s="55"/>
      <c r="K56" s="55"/>
      <c r="L56" s="55"/>
      <c r="M56" s="78" t="s">
        <v>67</v>
      </c>
      <c r="N56" s="55"/>
      <c r="O56" s="79">
        <f>O54/K52</f>
        <v>0.10032300879676566</v>
      </c>
      <c r="P56" s="55"/>
      <c r="Q56" s="80"/>
    </row>
    <row r="57" spans="1:22">
      <c r="I57" s="77"/>
      <c r="J57" s="55"/>
      <c r="K57" s="55"/>
      <c r="L57" s="55"/>
      <c r="M57" s="78" t="s">
        <v>68</v>
      </c>
      <c r="N57" s="55"/>
      <c r="O57" s="79">
        <f>O54/(K52-(K46-K45))</f>
        <v>0.10110359865592272</v>
      </c>
      <c r="P57" s="55"/>
      <c r="Q57" s="81" t="s">
        <v>69</v>
      </c>
      <c r="U57" s="6">
        <f>O54-O52</f>
        <v>0</v>
      </c>
    </row>
    <row r="58" spans="1:22">
      <c r="I58" s="77"/>
      <c r="J58" s="55"/>
      <c r="K58" s="55"/>
      <c r="L58" s="55"/>
      <c r="M58" s="82" t="s">
        <v>70</v>
      </c>
      <c r="N58" s="55"/>
      <c r="O58" s="83">
        <f>'Baron Rate Spread'!$O$57+Q58</f>
        <v>0.11246223160808849</v>
      </c>
      <c r="P58" s="55"/>
      <c r="Q58" s="84">
        <v>1.1358632952165777E-2</v>
      </c>
      <c r="V58" s="478">
        <v>4.2570000000000004E-3</v>
      </c>
    </row>
    <row r="59" spans="1:22">
      <c r="I59" s="77"/>
      <c r="J59" s="55"/>
      <c r="K59" s="55"/>
      <c r="L59" s="55"/>
      <c r="M59" s="82" t="s">
        <v>71</v>
      </c>
      <c r="N59" s="55"/>
      <c r="O59" s="79">
        <f>'Baron Rate Spread'!$O$58+Q59</f>
        <v>7.2462231608088484E-2</v>
      </c>
      <c r="P59" s="55"/>
      <c r="Q59" s="85">
        <v>-0.04</v>
      </c>
      <c r="S59" s="86"/>
    </row>
    <row r="60" spans="1:22">
      <c r="I60" s="77"/>
      <c r="J60" s="55"/>
      <c r="K60" s="55"/>
      <c r="L60" s="55"/>
      <c r="M60" s="82" t="s">
        <v>72</v>
      </c>
      <c r="N60" s="55"/>
      <c r="O60" s="79">
        <f>'Baron Rate Spread'!$O$58+Q60</f>
        <v>0.1024622316080885</v>
      </c>
      <c r="P60" s="55"/>
      <c r="Q60" s="85">
        <v>-0.01</v>
      </c>
    </row>
    <row r="61" spans="1:22">
      <c r="I61" s="77"/>
      <c r="J61" s="55"/>
      <c r="K61" s="55"/>
      <c r="L61" s="55"/>
      <c r="M61" s="78" t="s">
        <v>73</v>
      </c>
      <c r="N61" s="55"/>
      <c r="O61" s="79">
        <f>'Baron Rate Spread'!$O$58+Q61</f>
        <v>0.13246223160808848</v>
      </c>
      <c r="P61" s="55"/>
      <c r="Q61" s="85">
        <v>0.02</v>
      </c>
    </row>
    <row r="62" spans="1:22">
      <c r="I62" s="77"/>
      <c r="J62" s="55"/>
      <c r="K62" s="55"/>
      <c r="L62" s="55"/>
      <c r="M62" s="78">
        <v>10</v>
      </c>
      <c r="N62" s="55"/>
      <c r="O62" s="79">
        <f>'Baron Rate Spread'!$O$58+Q62</f>
        <v>0.14246223160808849</v>
      </c>
      <c r="P62" s="55"/>
      <c r="Q62" s="85">
        <v>0.03</v>
      </c>
    </row>
    <row r="63" spans="1:22">
      <c r="I63" s="87"/>
      <c r="J63" s="88"/>
      <c r="K63" s="88"/>
      <c r="L63" s="88"/>
      <c r="M63" s="89" t="s">
        <v>74</v>
      </c>
      <c r="N63" s="88"/>
      <c r="O63" s="90">
        <v>0</v>
      </c>
      <c r="P63" s="88"/>
      <c r="Q63" s="91"/>
      <c r="S63" s="92"/>
    </row>
    <row r="64" spans="1:22">
      <c r="M64" s="93"/>
      <c r="O64" s="79"/>
      <c r="Q64" s="94"/>
    </row>
    <row r="65" spans="13:17">
      <c r="M65" s="93"/>
      <c r="O65" s="79"/>
      <c r="Q65" s="95"/>
    </row>
    <row r="66" spans="13:17">
      <c r="O66" s="33"/>
      <c r="Q66" s="96"/>
    </row>
    <row r="67" spans="13:17">
      <c r="O67" s="33"/>
    </row>
  </sheetData>
  <printOptions horizontalCentered="1"/>
  <pageMargins left="0" right="0" top="0.25" bottom="0.25" header="0.25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view="pageBreakPreview" zoomScale="60" workbookViewId="0">
      <selection activeCell="G31" sqref="G31"/>
    </sheetView>
  </sheetViews>
  <sheetFormatPr defaultColWidth="9" defaultRowHeight="15.75"/>
  <cols>
    <col min="1" max="1" width="5" style="318" customWidth="1"/>
    <col min="2" max="2" width="49.375" style="298" bestFit="1" customWidth="1"/>
    <col min="3" max="3" width="15.25" style="298" bestFit="1" customWidth="1"/>
    <col min="4" max="4" width="13.875" style="313" bestFit="1" customWidth="1"/>
    <col min="5" max="5" width="17" style="313" bestFit="1" customWidth="1"/>
    <col min="6" max="16384" width="9" style="298"/>
  </cols>
  <sheetData>
    <row r="1" spans="1:5" ht="18.75">
      <c r="A1" s="294"/>
      <c r="B1" s="295" t="s">
        <v>479</v>
      </c>
      <c r="C1" s="296"/>
      <c r="D1" s="297"/>
      <c r="E1" s="297"/>
    </row>
    <row r="2" spans="1:5" ht="18.75">
      <c r="A2" s="294"/>
      <c r="B2" s="295" t="s">
        <v>1</v>
      </c>
      <c r="C2" s="296"/>
      <c r="D2" s="297"/>
      <c r="E2" s="297"/>
    </row>
    <row r="3" spans="1:5" ht="18.75">
      <c r="A3" s="294"/>
      <c r="B3" s="295" t="s">
        <v>480</v>
      </c>
      <c r="C3" s="296"/>
      <c r="D3" s="297"/>
      <c r="E3" s="297"/>
    </row>
    <row r="4" spans="1:5" ht="18.75">
      <c r="A4" s="294"/>
      <c r="B4" s="295" t="s">
        <v>478</v>
      </c>
      <c r="C4" s="296"/>
      <c r="D4" s="297"/>
      <c r="E4" s="297"/>
    </row>
    <row r="5" spans="1:5" ht="18.75">
      <c r="A5" s="294"/>
      <c r="B5" s="295"/>
      <c r="C5" s="296"/>
      <c r="D5" s="299"/>
      <c r="E5" s="297"/>
    </row>
    <row r="6" spans="1:5" ht="18.75">
      <c r="A6" s="294"/>
      <c r="B6" s="299"/>
      <c r="C6" s="300" t="s">
        <v>481</v>
      </c>
      <c r="D6" s="301"/>
      <c r="E6" s="300"/>
    </row>
    <row r="7" spans="1:5" ht="18.75">
      <c r="A7" s="294"/>
      <c r="B7" s="299"/>
      <c r="C7" s="302" t="s">
        <v>482</v>
      </c>
      <c r="D7" s="303" t="s">
        <v>483</v>
      </c>
      <c r="E7" s="304" t="s">
        <v>484</v>
      </c>
    </row>
    <row r="8" spans="1:5" ht="18.75">
      <c r="A8" s="294"/>
      <c r="B8" s="299"/>
      <c r="C8" s="302" t="s">
        <v>485</v>
      </c>
      <c r="D8" s="302" t="s">
        <v>485</v>
      </c>
      <c r="E8" s="302" t="s">
        <v>485</v>
      </c>
    </row>
    <row r="9" spans="1:5" ht="18.75">
      <c r="A9" s="294"/>
      <c r="B9" s="305" t="s">
        <v>14</v>
      </c>
      <c r="C9" s="306" t="s">
        <v>486</v>
      </c>
      <c r="D9" s="307" t="s">
        <v>487</v>
      </c>
      <c r="E9" s="307" t="s">
        <v>488</v>
      </c>
    </row>
    <row r="10" spans="1:5" ht="18.75">
      <c r="A10" s="294" t="s">
        <v>489</v>
      </c>
      <c r="B10" s="308" t="s">
        <v>490</v>
      </c>
      <c r="C10" s="309">
        <v>0.62183222040187436</v>
      </c>
      <c r="D10" s="310">
        <v>0.62183222040187436</v>
      </c>
      <c r="E10" s="310">
        <v>0.62183222040187436</v>
      </c>
    </row>
    <row r="11" spans="1:5" ht="18.75">
      <c r="A11" s="294" t="s">
        <v>491</v>
      </c>
      <c r="B11" s="308" t="s">
        <v>492</v>
      </c>
      <c r="C11" s="309">
        <v>0.52396583873037594</v>
      </c>
      <c r="D11" s="310">
        <v>0.52396583873037594</v>
      </c>
      <c r="E11" s="310">
        <v>0.52396583873037594</v>
      </c>
    </row>
    <row r="12" spans="1:5" ht="18.75">
      <c r="A12" s="294" t="s">
        <v>493</v>
      </c>
      <c r="B12" s="308" t="s">
        <v>494</v>
      </c>
      <c r="C12" s="309">
        <v>3.5217198077977656</v>
      </c>
      <c r="D12" s="310"/>
      <c r="E12" s="310">
        <v>3.5217198077977656</v>
      </c>
    </row>
    <row r="13" spans="1:5" ht="18.75">
      <c r="A13" s="294" t="s">
        <v>495</v>
      </c>
      <c r="B13" s="308" t="s">
        <v>496</v>
      </c>
      <c r="C13" s="309">
        <v>0.21218931535526839</v>
      </c>
      <c r="D13" s="310">
        <v>0.21218931535526839</v>
      </c>
      <c r="E13" s="310">
        <v>0.21218931535526839</v>
      </c>
    </row>
    <row r="14" spans="1:5" s="313" customFormat="1" ht="18.75">
      <c r="A14" s="311" t="s">
        <v>497</v>
      </c>
      <c r="B14" s="312" t="s">
        <v>498</v>
      </c>
      <c r="C14" s="309">
        <v>0.17179924137269084</v>
      </c>
      <c r="D14" s="310"/>
      <c r="E14" s="310">
        <v>0.17179924137269084</v>
      </c>
    </row>
    <row r="15" spans="1:5" s="313" customFormat="1" ht="18.75">
      <c r="A15" s="311" t="s">
        <v>499</v>
      </c>
      <c r="B15" s="312" t="s">
        <v>500</v>
      </c>
      <c r="C15" s="309">
        <v>0.23335490213601939</v>
      </c>
      <c r="D15" s="310"/>
      <c r="E15" s="310">
        <v>0.23335490213601939</v>
      </c>
    </row>
    <row r="16" spans="1:5" ht="18.75">
      <c r="A16" s="294" t="s">
        <v>501</v>
      </c>
      <c r="B16" s="308" t="s">
        <v>502</v>
      </c>
      <c r="C16" s="309">
        <v>0.70141092507656078</v>
      </c>
      <c r="D16" s="310">
        <v>0.70141092507656078</v>
      </c>
      <c r="E16" s="310">
        <v>0.70141092507656078</v>
      </c>
    </row>
    <row r="17" spans="1:5" ht="18.75">
      <c r="A17" s="294" t="s">
        <v>503</v>
      </c>
      <c r="B17" s="308" t="s">
        <v>504</v>
      </c>
      <c r="C17" s="309">
        <v>-0.25179546407968195</v>
      </c>
      <c r="D17" s="310">
        <v>-0.25179546407968195</v>
      </c>
      <c r="E17" s="310">
        <v>-0.25179546407968195</v>
      </c>
    </row>
    <row r="18" spans="1:5" ht="18.75">
      <c r="A18" s="294" t="s">
        <v>505</v>
      </c>
      <c r="B18" s="308" t="s">
        <v>506</v>
      </c>
      <c r="C18" s="309">
        <v>0.39800559336760721</v>
      </c>
      <c r="D18" s="310">
        <v>0.39800559336760721</v>
      </c>
      <c r="E18" s="310">
        <v>0.39800559336760721</v>
      </c>
    </row>
    <row r="19" spans="1:5" ht="18.75">
      <c r="A19" s="294" t="s">
        <v>507</v>
      </c>
      <c r="B19" s="308" t="s">
        <v>508</v>
      </c>
      <c r="C19" s="309">
        <v>2.2546821342685326</v>
      </c>
      <c r="D19" s="310">
        <v>2.2546821342685326</v>
      </c>
      <c r="E19" s="310">
        <v>2.2546821342685326</v>
      </c>
    </row>
    <row r="20" spans="1:5" ht="18.75">
      <c r="A20" s="294" t="s">
        <v>509</v>
      </c>
      <c r="B20" s="308" t="s">
        <v>510</v>
      </c>
      <c r="C20" s="309">
        <v>-0.60829107132580151</v>
      </c>
      <c r="D20" s="310">
        <v>-0.60829107132580151</v>
      </c>
      <c r="E20" s="310">
        <v>-0.60829107132580151</v>
      </c>
    </row>
    <row r="21" spans="1:5" ht="18.75">
      <c r="A21" s="294" t="s">
        <v>511</v>
      </c>
      <c r="B21" s="308" t="s">
        <v>512</v>
      </c>
      <c r="C21" s="309">
        <v>3.2848916518247435</v>
      </c>
      <c r="D21" s="310"/>
      <c r="E21" s="310">
        <v>3.2848916518247435</v>
      </c>
    </row>
    <row r="22" spans="1:5" ht="18.75">
      <c r="A22" s="294" t="s">
        <v>513</v>
      </c>
      <c r="B22" s="308" t="s">
        <v>514</v>
      </c>
      <c r="C22" s="309">
        <v>0.53423810589920373</v>
      </c>
      <c r="D22" s="310"/>
      <c r="E22" s="310">
        <v>0.53423810589920373</v>
      </c>
    </row>
    <row r="23" spans="1:5" ht="18.75">
      <c r="A23" s="294" t="s">
        <v>515</v>
      </c>
      <c r="B23" s="308" t="s">
        <v>516</v>
      </c>
      <c r="C23" s="309">
        <v>0.64581512312409417</v>
      </c>
      <c r="D23" s="310"/>
      <c r="E23" s="310"/>
    </row>
    <row r="24" spans="1:5" ht="18.75">
      <c r="A24" s="294" t="s">
        <v>517</v>
      </c>
      <c r="B24" s="308" t="s">
        <v>518</v>
      </c>
      <c r="C24" s="309">
        <v>11.935486027944256</v>
      </c>
      <c r="D24" s="310"/>
      <c r="E24" s="310"/>
    </row>
    <row r="25" spans="1:5" ht="18.75">
      <c r="A25" s="294" t="s">
        <v>519</v>
      </c>
      <c r="B25" s="308" t="s">
        <v>520</v>
      </c>
      <c r="C25" s="309">
        <v>4.0981947868104749</v>
      </c>
      <c r="D25" s="310"/>
      <c r="E25" s="310"/>
    </row>
    <row r="26" spans="1:5" ht="18.75">
      <c r="A26" s="294" t="s">
        <v>521</v>
      </c>
      <c r="B26" s="308" t="s">
        <v>522</v>
      </c>
      <c r="C26" s="309">
        <v>0.35682827326759808</v>
      </c>
      <c r="D26" s="310"/>
      <c r="E26" s="310"/>
    </row>
    <row r="27" spans="1:5" ht="18.75">
      <c r="A27" s="294"/>
      <c r="B27" s="314"/>
      <c r="C27" s="309"/>
      <c r="D27" s="310"/>
      <c r="E27" s="310"/>
    </row>
    <row r="28" spans="1:5" ht="19.5" thickBot="1">
      <c r="A28" s="294" t="s">
        <v>523</v>
      </c>
      <c r="B28" s="315" t="s">
        <v>524</v>
      </c>
      <c r="C28" s="316">
        <f>SUM(C10:C27)</f>
        <v>28.634327411971583</v>
      </c>
      <c r="D28" s="316">
        <f>SUM(D10:D27)</f>
        <v>3.8519994917947358</v>
      </c>
      <c r="E28" s="316">
        <f>SUM(E10:E27)</f>
        <v>11.598003200825159</v>
      </c>
    </row>
    <row r="29" spans="1:5" ht="19.5" thickTop="1">
      <c r="A29" s="294"/>
      <c r="B29" s="314"/>
      <c r="C29" s="317"/>
      <c r="D29" s="317"/>
      <c r="E29" s="317"/>
    </row>
    <row r="30" spans="1:5">
      <c r="B30" s="319"/>
    </row>
  </sheetData>
  <printOptions horizontalCentered="1"/>
  <pageMargins left="0.5" right="0.5" top="1" bottom="0.5" header="0" footer="0"/>
  <pageSetup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W799"/>
  <sheetViews>
    <sheetView topLeftCell="A7" zoomScale="70" zoomScaleNormal="70" workbookViewId="0">
      <pane xSplit="1" ySplit="3" topLeftCell="B55" activePane="bottomRight" state="frozen"/>
      <selection activeCell="O6" sqref="O6"/>
      <selection pane="topRight" activeCell="O6" sqref="O6"/>
      <selection pane="bottomLeft" activeCell="O6" sqref="O6"/>
      <selection pane="bottomRight" activeCell="Q30" sqref="Q30"/>
    </sheetView>
  </sheetViews>
  <sheetFormatPr defaultColWidth="9" defaultRowHeight="15.75"/>
  <cols>
    <col min="1" max="1" width="33.25" style="332" customWidth="1"/>
    <col min="2" max="2" width="4.125" style="332" bestFit="1" customWidth="1"/>
    <col min="3" max="3" width="16.25" style="332" bestFit="1" customWidth="1"/>
    <col min="4" max="4" width="1" style="333" customWidth="1"/>
    <col min="5" max="5" width="16.25" style="332" bestFit="1" customWidth="1"/>
    <col min="6" max="6" width="1" style="333" customWidth="1"/>
    <col min="7" max="7" width="10" style="332" bestFit="1" customWidth="1"/>
    <col min="8" max="8" width="2.25" style="333" bestFit="1" customWidth="1"/>
    <col min="9" max="9" width="15.5" style="332" bestFit="1" customWidth="1"/>
    <col min="10" max="10" width="1.375" style="333" customWidth="1"/>
    <col min="11" max="11" width="15.5" style="332" bestFit="1" customWidth="1"/>
    <col min="12" max="12" width="1" style="333" customWidth="1"/>
    <col min="13" max="13" width="10" style="332" bestFit="1" customWidth="1"/>
    <col min="14" max="14" width="2.25" style="333" bestFit="1" customWidth="1"/>
    <col min="15" max="15" width="15.5" style="332" bestFit="1" customWidth="1"/>
    <col min="16" max="16" width="2.375" style="332" customWidth="1"/>
    <col min="17" max="17" width="18" style="332" customWidth="1"/>
    <col min="18" max="18" width="13.75" style="328" bestFit="1" customWidth="1"/>
    <col min="19" max="19" width="3.375" style="328" customWidth="1"/>
    <col min="20" max="20" width="9.75" style="328" bestFit="1" customWidth="1"/>
    <col min="21" max="21" width="8.75" style="328" bestFit="1" customWidth="1"/>
    <col min="22" max="22" width="7.25" style="328" bestFit="1" customWidth="1"/>
    <col min="23" max="23" width="9" style="328" bestFit="1" customWidth="1"/>
    <col min="24" max="24" width="6.75" style="328" bestFit="1" customWidth="1"/>
    <col min="25" max="16384" width="9" style="328"/>
  </cols>
  <sheetData>
    <row r="1" spans="1:23" ht="18.75">
      <c r="A1" s="320" t="s">
        <v>75</v>
      </c>
      <c r="B1" s="321"/>
      <c r="C1" s="321"/>
      <c r="D1" s="322"/>
      <c r="E1" s="321"/>
      <c r="F1" s="322"/>
      <c r="G1" s="321"/>
      <c r="H1" s="322"/>
      <c r="I1" s="321"/>
      <c r="J1" s="322"/>
      <c r="K1" s="321"/>
      <c r="L1" s="322"/>
      <c r="M1" s="321"/>
      <c r="N1" s="322"/>
      <c r="O1" s="323"/>
      <c r="P1" s="324"/>
      <c r="Q1" s="324"/>
      <c r="R1" s="325"/>
      <c r="S1" s="326"/>
      <c r="T1" s="327"/>
      <c r="U1" s="327"/>
      <c r="V1" s="327"/>
    </row>
    <row r="2" spans="1:23" ht="18.75">
      <c r="A2" s="320" t="s">
        <v>76</v>
      </c>
      <c r="B2" s="321"/>
      <c r="C2" s="321"/>
      <c r="D2" s="322"/>
      <c r="E2" s="321"/>
      <c r="F2" s="322"/>
      <c r="G2" s="321"/>
      <c r="H2" s="322"/>
      <c r="I2" s="321"/>
      <c r="J2" s="322"/>
      <c r="K2" s="321"/>
      <c r="L2" s="322"/>
      <c r="M2" s="321"/>
      <c r="N2" s="322"/>
      <c r="O2" s="323"/>
      <c r="P2" s="329"/>
      <c r="Q2" s="329"/>
      <c r="R2" s="325"/>
      <c r="S2" s="326"/>
      <c r="T2" s="327"/>
      <c r="U2" s="327"/>
      <c r="V2" s="327"/>
    </row>
    <row r="3" spans="1:23" ht="18.75">
      <c r="A3" s="320" t="s">
        <v>477</v>
      </c>
      <c r="B3" s="321"/>
      <c r="C3" s="321"/>
      <c r="D3" s="322"/>
      <c r="E3" s="321"/>
      <c r="F3" s="322"/>
      <c r="G3" s="321"/>
      <c r="H3" s="322"/>
      <c r="I3" s="321"/>
      <c r="J3" s="322"/>
      <c r="K3" s="321"/>
      <c r="L3" s="322"/>
      <c r="M3" s="321"/>
      <c r="N3" s="322"/>
      <c r="O3" s="323"/>
      <c r="P3" s="329"/>
      <c r="Q3" s="329"/>
      <c r="R3" s="325"/>
      <c r="S3" s="326"/>
      <c r="T3" s="327"/>
      <c r="U3" s="327"/>
      <c r="V3" s="327"/>
    </row>
    <row r="4" spans="1:23" ht="18.75">
      <c r="A4" s="320" t="s">
        <v>478</v>
      </c>
      <c r="B4" s="321"/>
      <c r="C4" s="321"/>
      <c r="D4" s="322"/>
      <c r="E4" s="321"/>
      <c r="F4" s="322"/>
      <c r="G4" s="321"/>
      <c r="H4" s="322"/>
      <c r="I4" s="321"/>
      <c r="J4" s="322"/>
      <c r="K4" s="321"/>
      <c r="L4" s="322"/>
      <c r="M4" s="321"/>
      <c r="N4" s="322"/>
      <c r="O4" s="323"/>
      <c r="P4" s="329"/>
      <c r="Q4" s="329"/>
      <c r="R4" s="330"/>
      <c r="S4" s="331"/>
      <c r="T4" s="327"/>
      <c r="U4" s="327"/>
      <c r="V4" s="327"/>
    </row>
    <row r="5" spans="1:23">
      <c r="C5" s="102"/>
      <c r="E5" s="102"/>
      <c r="P5" s="334"/>
      <c r="Q5" s="334"/>
      <c r="R5" s="334"/>
      <c r="S5" s="335"/>
    </row>
    <row r="6" spans="1:23" ht="32.25" customHeight="1">
      <c r="C6" s="336"/>
      <c r="E6" s="336"/>
      <c r="H6" s="329"/>
      <c r="I6" s="337"/>
      <c r="K6" s="337"/>
      <c r="N6" s="329"/>
      <c r="O6" s="337"/>
      <c r="P6" s="337"/>
    </row>
    <row r="7" spans="1:23">
      <c r="C7" s="338"/>
      <c r="E7" s="338"/>
      <c r="G7" s="337"/>
      <c r="H7" s="329"/>
      <c r="I7" s="337" t="s">
        <v>5</v>
      </c>
      <c r="K7" s="337" t="s">
        <v>77</v>
      </c>
      <c r="M7" s="337"/>
      <c r="N7" s="329"/>
      <c r="O7" s="337" t="s">
        <v>6</v>
      </c>
      <c r="P7" s="337"/>
      <c r="R7" s="339"/>
    </row>
    <row r="8" spans="1:23">
      <c r="C8" s="340" t="s">
        <v>78</v>
      </c>
      <c r="E8" s="340" t="s">
        <v>77</v>
      </c>
      <c r="G8" s="337" t="s">
        <v>5</v>
      </c>
      <c r="H8" s="329"/>
      <c r="I8" s="337" t="s">
        <v>79</v>
      </c>
      <c r="K8" s="337" t="s">
        <v>79</v>
      </c>
      <c r="M8" s="337" t="s">
        <v>6</v>
      </c>
      <c r="N8" s="329"/>
      <c r="O8" s="337" t="s">
        <v>79</v>
      </c>
      <c r="P8" s="337"/>
      <c r="Q8" s="341"/>
      <c r="R8" s="332"/>
    </row>
    <row r="9" spans="1:23">
      <c r="C9" s="342" t="s">
        <v>80</v>
      </c>
      <c r="E9" s="342" t="s">
        <v>81</v>
      </c>
      <c r="G9" s="343" t="s">
        <v>82</v>
      </c>
      <c r="H9" s="329"/>
      <c r="I9" s="344" t="s">
        <v>83</v>
      </c>
      <c r="K9" s="344" t="s">
        <v>83</v>
      </c>
      <c r="M9" s="344" t="s">
        <v>82</v>
      </c>
      <c r="N9" s="329"/>
      <c r="O9" s="344" t="s">
        <v>83</v>
      </c>
      <c r="P9" s="329"/>
      <c r="Q9" s="345"/>
      <c r="R9" s="346"/>
      <c r="S9" s="347"/>
    </row>
    <row r="10" spans="1:23">
      <c r="A10" s="348" t="s">
        <v>84</v>
      </c>
      <c r="C10" s="349"/>
      <c r="E10" s="102"/>
      <c r="Q10" s="350" t="s">
        <v>85</v>
      </c>
      <c r="R10" s="101"/>
      <c r="U10" s="351"/>
      <c r="V10" s="351"/>
      <c r="W10" s="351"/>
    </row>
    <row r="11" spans="1:23">
      <c r="A11" s="352" t="s">
        <v>86</v>
      </c>
      <c r="C11" s="102">
        <v>8079074.015400839</v>
      </c>
      <c r="E11" s="346">
        <v>8214896.8556569237</v>
      </c>
      <c r="G11" s="99"/>
      <c r="H11" s="353"/>
      <c r="I11" s="339"/>
      <c r="K11" s="339"/>
      <c r="M11" s="99"/>
      <c r="N11" s="353"/>
      <c r="O11" s="339"/>
      <c r="P11" s="339"/>
      <c r="Q11" s="354" t="s">
        <v>87</v>
      </c>
      <c r="R11" s="355">
        <f>O25+O42+O61</f>
        <v>723079359</v>
      </c>
      <c r="T11" s="356"/>
      <c r="U11" s="351"/>
      <c r="V11" s="351"/>
    </row>
    <row r="12" spans="1:23">
      <c r="A12" s="352" t="s">
        <v>88</v>
      </c>
      <c r="C12" s="102">
        <v>7940620.9272008315</v>
      </c>
      <c r="E12" s="357">
        <f>ROUND(C12/$C$11*$E$11,0)</f>
        <v>8074116</v>
      </c>
      <c r="G12" s="99">
        <v>4</v>
      </c>
      <c r="H12" s="353"/>
      <c r="I12" s="339">
        <f t="shared" ref="I12:I13" si="0">ROUND($G12*C12,0)</f>
        <v>31762484</v>
      </c>
      <c r="K12" s="339">
        <f t="shared" ref="K12:K13" si="1">ROUND($G12*E12,0)</f>
        <v>32296464</v>
      </c>
      <c r="M12" s="99">
        <v>10</v>
      </c>
      <c r="N12" s="353"/>
      <c r="O12" s="339">
        <f t="shared" ref="O12:O13" si="2">ROUND(M12*$E12,0)</f>
        <v>80741160</v>
      </c>
      <c r="P12" s="339"/>
      <c r="Q12" s="358" t="s">
        <v>89</v>
      </c>
      <c r="R12" s="359">
        <f>('Baron Rate Spread'!M15+'Baron Rate Spread'!M16)*1000</f>
        <v>723079201.99999988</v>
      </c>
      <c r="T12" s="356">
        <f t="shared" ref="T12:T20" si="3">M12/G12-1</f>
        <v>1.5</v>
      </c>
      <c r="U12" s="351"/>
      <c r="V12" s="351"/>
    </row>
    <row r="13" spans="1:23">
      <c r="A13" s="352" t="s">
        <v>90</v>
      </c>
      <c r="C13" s="102">
        <v>7455.5947000000097</v>
      </c>
      <c r="E13" s="357">
        <f>ROUND(C13/$C$11*$E$11,0)</f>
        <v>7581</v>
      </c>
      <c r="G13" s="99">
        <v>8</v>
      </c>
      <c r="H13" s="353"/>
      <c r="I13" s="339">
        <f t="shared" si="0"/>
        <v>59645</v>
      </c>
      <c r="K13" s="339">
        <f t="shared" si="1"/>
        <v>60648</v>
      </c>
      <c r="M13" s="99">
        <f>M12*2</f>
        <v>20</v>
      </c>
      <c r="N13" s="353"/>
      <c r="O13" s="339">
        <f t="shared" si="2"/>
        <v>151620</v>
      </c>
      <c r="P13" s="339"/>
      <c r="Q13" s="360" t="s">
        <v>91</v>
      </c>
      <c r="R13" s="361">
        <f>R12-R11</f>
        <v>-157.00000011920929</v>
      </c>
      <c r="T13" s="356">
        <f t="shared" si="3"/>
        <v>1.5</v>
      </c>
      <c r="U13" s="351"/>
      <c r="V13" s="351"/>
    </row>
    <row r="14" spans="1:23">
      <c r="A14" s="352" t="s">
        <v>92</v>
      </c>
      <c r="C14" s="357">
        <v>1255919054</v>
      </c>
      <c r="E14" s="346">
        <f>ROUND(C14/($C$25-$C$24)*$E$25,0)</f>
        <v>1248801465</v>
      </c>
      <c r="G14" s="362">
        <v>8.4003999999999994</v>
      </c>
      <c r="H14" s="363" t="s">
        <v>93</v>
      </c>
      <c r="I14" s="339">
        <f>ROUND($G14*C14/100,0)</f>
        <v>105502224</v>
      </c>
      <c r="K14" s="339">
        <f>ROUND($G14*E14/100,0)</f>
        <v>104904318</v>
      </c>
      <c r="M14" s="362">
        <f>ROUND(G14*(1+$R$16),4)</f>
        <v>8.6940000000000008</v>
      </c>
      <c r="N14" s="363" t="s">
        <v>93</v>
      </c>
      <c r="O14" s="339">
        <f>ROUND(M14*$E14/100,0)</f>
        <v>108570799</v>
      </c>
      <c r="P14" s="339"/>
      <c r="Q14" s="364" t="s">
        <v>94</v>
      </c>
      <c r="R14" s="398">
        <f>R11/(K25+K42+K61)-1</f>
        <v>0.11246247407033416</v>
      </c>
      <c r="T14" s="356">
        <f t="shared" si="3"/>
        <v>3.4950716632541567E-2</v>
      </c>
      <c r="U14" s="366"/>
      <c r="V14" s="367"/>
    </row>
    <row r="15" spans="1:23">
      <c r="A15" s="352" t="s">
        <v>95</v>
      </c>
      <c r="C15" s="357">
        <v>1040161014</v>
      </c>
      <c r="E15" s="346">
        <f>ROUND(C15/($C$25-$C$24)*$E$25,0)</f>
        <v>1034266177</v>
      </c>
      <c r="G15" s="362">
        <v>10.348100000000001</v>
      </c>
      <c r="H15" s="363" t="s">
        <v>93</v>
      </c>
      <c r="I15" s="339">
        <f>ROUND($G15*C15/100,0)</f>
        <v>107636902</v>
      </c>
      <c r="K15" s="339">
        <f>ROUND($G15*E15/100,0)</f>
        <v>107026898</v>
      </c>
      <c r="M15" s="362">
        <f>ROUND(G15*(1+$R$16),4)</f>
        <v>10.7098</v>
      </c>
      <c r="N15" s="363" t="s">
        <v>93</v>
      </c>
      <c r="O15" s="339">
        <f>ROUND(M15*$E15/100,0)</f>
        <v>110767839</v>
      </c>
      <c r="P15" s="339"/>
      <c r="Q15" s="368" t="s">
        <v>96</v>
      </c>
      <c r="R15" s="399">
        <f>R12/(K25+K42+K61)-1</f>
        <v>0.11246223252477439</v>
      </c>
      <c r="T15" s="356">
        <f t="shared" si="3"/>
        <v>3.4953276446883841E-2</v>
      </c>
      <c r="U15" s="366"/>
      <c r="V15" s="370"/>
    </row>
    <row r="16" spans="1:23">
      <c r="A16" s="352" t="s">
        <v>97</v>
      </c>
      <c r="C16" s="357">
        <v>588270360.73362422</v>
      </c>
      <c r="E16" s="346">
        <f>ROUND(C16/($C$25-$C$24)*$E$25,0)</f>
        <v>584936494</v>
      </c>
      <c r="G16" s="362">
        <v>12.870900000000001</v>
      </c>
      <c r="H16" s="363" t="s">
        <v>93</v>
      </c>
      <c r="I16" s="339">
        <f>ROUND($G16*C16/100,0)</f>
        <v>75715690</v>
      </c>
      <c r="K16" s="339">
        <f>ROUND($G16*E16/100,0)</f>
        <v>75286591</v>
      </c>
      <c r="M16" s="362">
        <f>ROUND(G16*(1+$R$16),4)</f>
        <v>13.3207</v>
      </c>
      <c r="N16" s="363" t="s">
        <v>93</v>
      </c>
      <c r="O16" s="339">
        <f>ROUND(M16*$E16/100,0)</f>
        <v>77917636</v>
      </c>
      <c r="P16" s="339"/>
      <c r="Q16" s="368" t="s">
        <v>98</v>
      </c>
      <c r="R16" s="489">
        <f>(R12-SUM(O12:O13,O18:O20,O29:O30,O35:O37,O46:O49,O54:O56))/SUM(K14:K17,((E22+E39+E58)*G14+(E23+E40+E59)*G17)/100,K31:K34,K50:K53)-1</f>
        <v>3.4950844737180908E-2</v>
      </c>
      <c r="T16" s="356">
        <f t="shared" si="3"/>
        <v>3.494705109976759E-2</v>
      </c>
      <c r="U16" s="371"/>
      <c r="V16" s="356"/>
    </row>
    <row r="17" spans="1:22">
      <c r="A17" s="352" t="s">
        <v>99</v>
      </c>
      <c r="C17" s="357">
        <v>3483130164.7703419</v>
      </c>
      <c r="E17" s="346">
        <f>ROUND(C17/($C$25-$C$24)*$E$25,0)</f>
        <v>3463390447</v>
      </c>
      <c r="G17" s="372">
        <v>8.7035</v>
      </c>
      <c r="H17" s="363" t="s">
        <v>93</v>
      </c>
      <c r="I17" s="339">
        <f>ROUND($G17*C17/100,0)</f>
        <v>303154234</v>
      </c>
      <c r="K17" s="339">
        <f>ROUND($G17*E17/100,0)</f>
        <v>301436188</v>
      </c>
      <c r="M17" s="372">
        <f>ROUND((R12-SUM(O12:O16,O18:O22,O29:O33,O35:O39,O46:O52,O54:O58))/SUM(E17,E23,E34,E40,E53,E59)*100,4)</f>
        <v>9.0076999999999998</v>
      </c>
      <c r="N17" s="363" t="s">
        <v>93</v>
      </c>
      <c r="O17" s="339">
        <f>ROUND(M17*$E17/100,0)</f>
        <v>311971821</v>
      </c>
      <c r="P17" s="339"/>
      <c r="Q17" s="368" t="s">
        <v>100</v>
      </c>
      <c r="R17" s="399">
        <f>SUM(O12:O13,O29:O30,O46:O47)/SUM(K12:K13,K29:K30,K46:K47)-1</f>
        <v>1.5</v>
      </c>
      <c r="T17" s="356">
        <f t="shared" si="3"/>
        <v>3.4951456310679641E-2</v>
      </c>
      <c r="U17" s="371"/>
      <c r="V17" s="373"/>
    </row>
    <row r="18" spans="1:22">
      <c r="A18" s="352" t="s">
        <v>101</v>
      </c>
      <c r="C18" s="102">
        <v>130806.51219998799</v>
      </c>
      <c r="E18" s="357">
        <f>ROUND(C18/$C$11*$E$11,0)</f>
        <v>133006</v>
      </c>
      <c r="G18" s="99">
        <v>7</v>
      </c>
      <c r="H18" s="353"/>
      <c r="I18" s="339">
        <f>ROUND($G18*C18,0)</f>
        <v>915646</v>
      </c>
      <c r="K18" s="339">
        <f>ROUND($G18*E18,0)</f>
        <v>931042</v>
      </c>
      <c r="M18" s="99">
        <f>M12</f>
        <v>10</v>
      </c>
      <c r="N18" s="353"/>
      <c r="O18" s="339">
        <f>ROUND(M18*$E18,0)</f>
        <v>1330060</v>
      </c>
      <c r="P18" s="339"/>
      <c r="Q18" s="368" t="s">
        <v>102</v>
      </c>
      <c r="R18" s="399">
        <f>O25/K25-1</f>
        <v>0.11196157753295899</v>
      </c>
      <c r="S18" s="351"/>
      <c r="T18" s="356">
        <f>M18/G18-1</f>
        <v>0.4285714285714286</v>
      </c>
      <c r="U18" s="371"/>
      <c r="V18" s="371"/>
    </row>
    <row r="19" spans="1:22">
      <c r="A19" s="352" t="s">
        <v>103</v>
      </c>
      <c r="C19" s="102">
        <v>190.9813</v>
      </c>
      <c r="E19" s="346">
        <f>E11-E12-E13-E18</f>
        <v>193.8556569237262</v>
      </c>
      <c r="G19" s="99">
        <v>14</v>
      </c>
      <c r="H19" s="374"/>
      <c r="I19" s="339">
        <f>ROUND($G19*C19,0)</f>
        <v>2674</v>
      </c>
      <c r="K19" s="339">
        <f>ROUND($G19*E19,0)</f>
        <v>2714</v>
      </c>
      <c r="M19" s="99">
        <f>M13</f>
        <v>20</v>
      </c>
      <c r="N19" s="374"/>
      <c r="O19" s="339">
        <f>ROUND(M19*$E19,0)</f>
        <v>3877</v>
      </c>
      <c r="P19" s="339"/>
      <c r="Q19" s="368" t="s">
        <v>104</v>
      </c>
      <c r="R19" s="399">
        <f>(O25)/(K25)-1</f>
        <v>0.11196157753295899</v>
      </c>
      <c r="T19" s="356">
        <f t="shared" si="3"/>
        <v>0.4285714285714286</v>
      </c>
      <c r="U19" s="371"/>
      <c r="V19" s="371"/>
    </row>
    <row r="20" spans="1:22">
      <c r="A20" s="352" t="s">
        <v>105</v>
      </c>
      <c r="C20" s="357">
        <v>0</v>
      </c>
      <c r="E20" s="346">
        <v>0</v>
      </c>
      <c r="G20" s="99">
        <v>84</v>
      </c>
      <c r="H20" s="374"/>
      <c r="I20" s="339">
        <f>ROUND($G20*C20,0)</f>
        <v>0</v>
      </c>
      <c r="K20" s="339">
        <f>ROUND($G20*E20,0)</f>
        <v>0</v>
      </c>
      <c r="M20" s="375">
        <f>M18*12</f>
        <v>120</v>
      </c>
      <c r="N20" s="374"/>
      <c r="O20" s="376">
        <f>ROUND(M20*$E20,0)</f>
        <v>0</v>
      </c>
      <c r="P20" s="339"/>
      <c r="Q20" s="364" t="s">
        <v>106</v>
      </c>
      <c r="R20" s="377">
        <f>(E25+E42)/(E11+E28)</f>
        <v>766.53412479096016</v>
      </c>
      <c r="T20" s="356">
        <f t="shared" si="3"/>
        <v>0.4285714285714286</v>
      </c>
      <c r="U20" s="371"/>
      <c r="V20" s="371"/>
    </row>
    <row r="21" spans="1:22">
      <c r="A21" s="378" t="s">
        <v>107</v>
      </c>
      <c r="C21" s="357">
        <f>SUM(C22:C23)</f>
        <v>1405899</v>
      </c>
      <c r="E21" s="357">
        <f>SUM(E22:E23)</f>
        <v>1397931.7133073807</v>
      </c>
      <c r="G21" s="372"/>
      <c r="H21" s="363"/>
      <c r="I21" s="376"/>
      <c r="K21" s="376"/>
      <c r="M21" s="372"/>
      <c r="N21" s="363"/>
      <c r="O21" s="376"/>
      <c r="P21" s="339"/>
      <c r="Q21" s="368" t="s">
        <v>108</v>
      </c>
      <c r="R21" s="379">
        <f>SUM(E14:E16,E22,E31:E33,E39)/(SUM(E11,E28)*5/12)</f>
        <v>833.10766861015759</v>
      </c>
      <c r="T21" s="333"/>
      <c r="U21" s="371"/>
      <c r="V21" s="356"/>
    </row>
    <row r="22" spans="1:22">
      <c r="A22" s="378" t="s">
        <v>109</v>
      </c>
      <c r="B22" s="333"/>
      <c r="C22" s="357">
        <v>622884</v>
      </c>
      <c r="E22" s="346">
        <f>ROUND(C22/($C$25-$C$24)*$E$25,0)</f>
        <v>619354</v>
      </c>
      <c r="G22" s="372"/>
      <c r="H22" s="363"/>
      <c r="I22" s="339"/>
      <c r="K22" s="339"/>
      <c r="M22" s="372">
        <f>M14</f>
        <v>8.6940000000000008</v>
      </c>
      <c r="N22" s="363" t="s">
        <v>93</v>
      </c>
      <c r="O22" s="339">
        <f>ROUND(M22*$E22/100,0)</f>
        <v>53847</v>
      </c>
      <c r="P22" s="376"/>
      <c r="Q22" s="380" t="s">
        <v>110</v>
      </c>
      <c r="R22" s="381">
        <f>SUM(E17,E23,E34,E40)/(SUM(E11,E28)*7/12)</f>
        <v>718.98159349153343</v>
      </c>
      <c r="U22" s="339"/>
    </row>
    <row r="23" spans="1:22">
      <c r="A23" s="378" t="s">
        <v>111</v>
      </c>
      <c r="B23" s="333"/>
      <c r="C23" s="357">
        <v>783015</v>
      </c>
      <c r="E23" s="357">
        <f>E25-SUM(E14:E17,E22:E22)</f>
        <v>778577.71330738068</v>
      </c>
      <c r="G23" s="372"/>
      <c r="H23" s="363"/>
      <c r="I23" s="339"/>
      <c r="K23" s="339"/>
      <c r="M23" s="372">
        <f>M17</f>
        <v>9.0076999999999998</v>
      </c>
      <c r="N23" s="363" t="s">
        <v>93</v>
      </c>
      <c r="O23" s="339">
        <f>ROUND(M23*$E23/100,0)</f>
        <v>70132</v>
      </c>
      <c r="P23" s="376"/>
      <c r="Q23" s="380" t="s">
        <v>69</v>
      </c>
      <c r="R23" s="382"/>
      <c r="S23" s="339"/>
    </row>
    <row r="24" spans="1:22">
      <c r="A24" s="352" t="s">
        <v>112</v>
      </c>
      <c r="C24" s="103">
        <v>6094066</v>
      </c>
      <c r="E24" s="103">
        <v>0</v>
      </c>
      <c r="I24" s="383">
        <v>24928.489999999998</v>
      </c>
      <c r="K24" s="383">
        <v>0</v>
      </c>
      <c r="O24" s="383">
        <v>0</v>
      </c>
      <c r="P24" s="376"/>
      <c r="S24" s="384"/>
      <c r="T24" s="384"/>
    </row>
    <row r="25" spans="1:22" s="351" customFormat="1" ht="16.5" thickBot="1">
      <c r="A25" s="352" t="s">
        <v>113</v>
      </c>
      <c r="B25" s="332"/>
      <c r="C25" s="385">
        <f>SUM(C14:C17,C21,C24)</f>
        <v>6374980558.5039663</v>
      </c>
      <c r="D25" s="333"/>
      <c r="E25" s="385">
        <v>6332792514.7133074</v>
      </c>
      <c r="F25" s="333"/>
      <c r="G25" s="386"/>
      <c r="H25" s="333"/>
      <c r="I25" s="387">
        <f>SUM(I12:I24)</f>
        <v>624774427.49000001</v>
      </c>
      <c r="J25" s="333"/>
      <c r="K25" s="387">
        <f>SUM(K12:K24)</f>
        <v>621944863</v>
      </c>
      <c r="L25" s="333"/>
      <c r="M25" s="386"/>
      <c r="N25" s="333"/>
      <c r="O25" s="387">
        <f>SUM(O12:O24)</f>
        <v>691578791</v>
      </c>
      <c r="P25" s="376"/>
      <c r="S25" s="384"/>
      <c r="T25" s="384"/>
    </row>
    <row r="26" spans="1:22" ht="16.5" thickTop="1">
      <c r="C26" s="388"/>
      <c r="E26" s="388"/>
      <c r="P26" s="376"/>
      <c r="U26" s="384"/>
      <c r="V26" s="384"/>
    </row>
    <row r="27" spans="1:22">
      <c r="A27" s="348" t="s">
        <v>114</v>
      </c>
      <c r="C27" s="102"/>
      <c r="E27" s="102"/>
      <c r="P27" s="376"/>
      <c r="U27" s="384"/>
      <c r="V27" s="384"/>
    </row>
    <row r="28" spans="1:22">
      <c r="A28" s="352" t="s">
        <v>86</v>
      </c>
      <c r="C28" s="102">
        <v>392708.15610001102</v>
      </c>
      <c r="E28" s="357">
        <v>420053.73642604146</v>
      </c>
      <c r="G28" s="99"/>
      <c r="H28" s="353"/>
      <c r="I28" s="339"/>
      <c r="K28" s="339"/>
      <c r="M28" s="99"/>
      <c r="N28" s="353"/>
      <c r="O28" s="339"/>
      <c r="T28" s="356"/>
    </row>
    <row r="29" spans="1:22">
      <c r="A29" s="352" t="s">
        <v>88</v>
      </c>
      <c r="C29" s="102">
        <v>390871.29630001105</v>
      </c>
      <c r="E29" s="357">
        <f>ROUND(C29/$C$28*$E$28,0)</f>
        <v>418089</v>
      </c>
      <c r="G29" s="99">
        <v>4</v>
      </c>
      <c r="H29" s="353"/>
      <c r="I29" s="339">
        <f>ROUND($G29*C29,0)</f>
        <v>1563485</v>
      </c>
      <c r="K29" s="339">
        <f>ROUND($G29*E29,0)</f>
        <v>1672356</v>
      </c>
      <c r="M29" s="99">
        <f t="shared" ref="M29:M34" si="4">M12</f>
        <v>10</v>
      </c>
      <c r="N29" s="353"/>
      <c r="O29" s="339">
        <f t="shared" ref="O29:O30" si="5">ROUND(M29*$E29,0)</f>
        <v>4180890</v>
      </c>
      <c r="T29" s="356">
        <f t="shared" ref="T29:T37" si="6">M29/G29-1</f>
        <v>1.5</v>
      </c>
    </row>
    <row r="30" spans="1:22">
      <c r="A30" s="352" t="s">
        <v>90</v>
      </c>
      <c r="C30" s="102">
        <v>224.0967</v>
      </c>
      <c r="E30" s="357">
        <f>ROUND(C30/$C$28*$E$28,0)</f>
        <v>240</v>
      </c>
      <c r="G30" s="99">
        <v>8</v>
      </c>
      <c r="H30" s="353"/>
      <c r="I30" s="339">
        <f>ROUND($G30*C30,0)</f>
        <v>1793</v>
      </c>
      <c r="K30" s="339">
        <f>ROUND($G30*E30,0)</f>
        <v>1920</v>
      </c>
      <c r="M30" s="99">
        <f t="shared" si="4"/>
        <v>20</v>
      </c>
      <c r="N30" s="353"/>
      <c r="O30" s="339">
        <f t="shared" si="5"/>
        <v>4800</v>
      </c>
      <c r="T30" s="356">
        <f t="shared" si="6"/>
        <v>1.5</v>
      </c>
    </row>
    <row r="31" spans="1:22">
      <c r="A31" s="352" t="s">
        <v>92</v>
      </c>
      <c r="C31" s="357">
        <v>63633614</v>
      </c>
      <c r="E31" s="346">
        <f>C31/($C$42-$C$41)*$E$42</f>
        <v>69051504.375377804</v>
      </c>
      <c r="G31" s="372">
        <v>8.4003999999999994</v>
      </c>
      <c r="H31" s="363" t="s">
        <v>93</v>
      </c>
      <c r="I31" s="339">
        <f>ROUND($G31*C31/100,0)</f>
        <v>5345478</v>
      </c>
      <c r="K31" s="339">
        <f>ROUND($G31*E31/100,0)</f>
        <v>5800603</v>
      </c>
      <c r="M31" s="372">
        <f t="shared" si="4"/>
        <v>8.6940000000000008</v>
      </c>
      <c r="N31" s="363" t="s">
        <v>93</v>
      </c>
      <c r="O31" s="339">
        <f>ROUND(M31*$E31/100,0)</f>
        <v>6003338</v>
      </c>
      <c r="T31" s="356">
        <f t="shared" si="6"/>
        <v>3.4950716632541567E-2</v>
      </c>
    </row>
    <row r="32" spans="1:22">
      <c r="A32" s="352" t="s">
        <v>95</v>
      </c>
      <c r="C32" s="357">
        <v>41970630</v>
      </c>
      <c r="E32" s="346">
        <f>C32/($C$42-$C$41)*$E$42</f>
        <v>45544091.540712476</v>
      </c>
      <c r="G32" s="372">
        <v>10.348100000000001</v>
      </c>
      <c r="H32" s="363" t="s">
        <v>93</v>
      </c>
      <c r="I32" s="339">
        <f>ROUND($G32*C32/100,0)</f>
        <v>4343163</v>
      </c>
      <c r="K32" s="339">
        <f>ROUND($G32*E32/100,0)</f>
        <v>4712948</v>
      </c>
      <c r="M32" s="372">
        <f t="shared" si="4"/>
        <v>10.7098</v>
      </c>
      <c r="N32" s="363" t="s">
        <v>93</v>
      </c>
      <c r="O32" s="339">
        <f>ROUND(M32*$E32/100,0)</f>
        <v>4877681</v>
      </c>
      <c r="P32" s="339"/>
      <c r="T32" s="356">
        <f t="shared" si="6"/>
        <v>3.4953276446883841E-2</v>
      </c>
    </row>
    <row r="33" spans="1:22">
      <c r="A33" s="352" t="s">
        <v>97</v>
      </c>
      <c r="C33" s="357">
        <v>13092173.597880283</v>
      </c>
      <c r="E33" s="346">
        <f>C33/($C$42-$C$41)*$E$42</f>
        <v>14206866.868778445</v>
      </c>
      <c r="G33" s="372">
        <v>12.870900000000001</v>
      </c>
      <c r="H33" s="363" t="s">
        <v>93</v>
      </c>
      <c r="I33" s="339">
        <f>ROUND($G33*C33/100,0)</f>
        <v>1685081</v>
      </c>
      <c r="K33" s="339">
        <f>ROUND($G33*E33/100,0)</f>
        <v>1828552</v>
      </c>
      <c r="M33" s="372">
        <f t="shared" si="4"/>
        <v>13.3207</v>
      </c>
      <c r="N33" s="363" t="s">
        <v>93</v>
      </c>
      <c r="O33" s="339">
        <f>ROUND(M33*$E33/100,0)</f>
        <v>1892454</v>
      </c>
      <c r="P33" s="339"/>
      <c r="T33" s="356">
        <f t="shared" si="6"/>
        <v>3.494705109976759E-2</v>
      </c>
      <c r="U33" s="384"/>
      <c r="V33" s="384"/>
    </row>
    <row r="34" spans="1:22">
      <c r="A34" s="352" t="s">
        <v>99</v>
      </c>
      <c r="C34" s="357">
        <v>145021382.16468287</v>
      </c>
      <c r="E34" s="346">
        <f>C34/($C$42-$C$41)*$E$42</f>
        <v>157368786.33151239</v>
      </c>
      <c r="G34" s="372">
        <v>8.7035</v>
      </c>
      <c r="H34" s="363" t="s">
        <v>93</v>
      </c>
      <c r="I34" s="339">
        <f>ROUND($G34*C34/100,0)</f>
        <v>12621936</v>
      </c>
      <c r="K34" s="339">
        <f>ROUND($G34*E34/100,0)</f>
        <v>13696592</v>
      </c>
      <c r="M34" s="372">
        <f t="shared" si="4"/>
        <v>9.0076999999999998</v>
      </c>
      <c r="N34" s="363" t="s">
        <v>93</v>
      </c>
      <c r="O34" s="339">
        <f>ROUND(M34*$E34/100,0)</f>
        <v>14175308</v>
      </c>
      <c r="P34" s="339"/>
      <c r="T34" s="356">
        <f t="shared" si="6"/>
        <v>3.4951456310679641E-2</v>
      </c>
      <c r="U34" s="384"/>
      <c r="V34" s="384"/>
    </row>
    <row r="35" spans="1:22">
      <c r="A35" s="352" t="s">
        <v>101</v>
      </c>
      <c r="C35" s="102">
        <v>1612.7630999999999</v>
      </c>
      <c r="E35" s="357">
        <f>E28-E29-E30-E36-E37</f>
        <v>1724.7364260414615</v>
      </c>
      <c r="G35" s="99">
        <v>7</v>
      </c>
      <c r="H35" s="353"/>
      <c r="I35" s="339">
        <f>ROUND($G35*C35,0)</f>
        <v>11289</v>
      </c>
      <c r="K35" s="339">
        <f>ROUND($G35*E35,0)</f>
        <v>12073</v>
      </c>
      <c r="M35" s="99">
        <f>M29</f>
        <v>10</v>
      </c>
      <c r="N35" s="353"/>
      <c r="O35" s="339">
        <f>ROUND(M35*$E35,0)</f>
        <v>17247</v>
      </c>
      <c r="P35" s="339"/>
      <c r="Q35" s="333"/>
      <c r="R35" s="371"/>
      <c r="S35" s="384"/>
      <c r="T35" s="356">
        <f t="shared" si="6"/>
        <v>0.4285714285714286</v>
      </c>
      <c r="U35" s="384"/>
      <c r="V35" s="384"/>
    </row>
    <row r="36" spans="1:22">
      <c r="A36" s="352" t="s">
        <v>103</v>
      </c>
      <c r="C36" s="102">
        <v>0</v>
      </c>
      <c r="E36" s="357">
        <f t="shared" ref="E36:E37" si="7">ROUND(C36/$C$28*$E$28,0)</f>
        <v>0</v>
      </c>
      <c r="G36" s="99">
        <v>14</v>
      </c>
      <c r="H36" s="353"/>
      <c r="I36" s="339">
        <f>ROUND($G36*C36,0)</f>
        <v>0</v>
      </c>
      <c r="K36" s="339">
        <f>ROUND($G36*E36,0)</f>
        <v>0</v>
      </c>
      <c r="M36" s="99">
        <f>M30</f>
        <v>20</v>
      </c>
      <c r="N36" s="374"/>
      <c r="O36" s="339">
        <f>ROUND(M36*$E36,0)</f>
        <v>0</v>
      </c>
      <c r="P36" s="339"/>
      <c r="R36" s="384"/>
      <c r="S36" s="384"/>
      <c r="T36" s="356">
        <f t="shared" si="6"/>
        <v>0.4285714285714286</v>
      </c>
      <c r="U36" s="384"/>
      <c r="V36" s="384"/>
    </row>
    <row r="37" spans="1:22">
      <c r="A37" s="352" t="s">
        <v>105</v>
      </c>
      <c r="C37" s="357">
        <v>0</v>
      </c>
      <c r="E37" s="357">
        <f t="shared" si="7"/>
        <v>0</v>
      </c>
      <c r="G37" s="99">
        <v>84</v>
      </c>
      <c r="H37" s="353"/>
      <c r="I37" s="339">
        <f>ROUND($G37*C37,0)</f>
        <v>0</v>
      </c>
      <c r="K37" s="339">
        <f>ROUND($G37*E37,0)</f>
        <v>0</v>
      </c>
      <c r="M37" s="375">
        <f>M35*12</f>
        <v>120</v>
      </c>
      <c r="N37" s="374"/>
      <c r="O37" s="376">
        <f>ROUND(M37*$E37,0)</f>
        <v>0</v>
      </c>
      <c r="P37" s="339"/>
      <c r="R37" s="384"/>
      <c r="S37" s="384"/>
      <c r="T37" s="356">
        <f t="shared" si="6"/>
        <v>0.4285714285714286</v>
      </c>
      <c r="U37" s="384"/>
      <c r="V37" s="384"/>
    </row>
    <row r="38" spans="1:22">
      <c r="A38" s="378" t="s">
        <v>107</v>
      </c>
      <c r="B38" s="333"/>
      <c r="C38" s="357">
        <f>SUM(C39:C40)</f>
        <v>18920</v>
      </c>
      <c r="E38" s="357">
        <f>SUM(E39:E40)</f>
        <v>20530.885811121731</v>
      </c>
      <c r="G38" s="389"/>
      <c r="H38" s="363"/>
      <c r="I38" s="376"/>
      <c r="K38" s="376"/>
      <c r="M38" s="372"/>
      <c r="N38" s="363"/>
      <c r="O38" s="376"/>
      <c r="P38" s="339"/>
      <c r="Q38" s="332" t="s">
        <v>94</v>
      </c>
      <c r="R38" s="390">
        <f>O42/K42-1</f>
        <v>0.12366057922216456</v>
      </c>
      <c r="S38" s="384"/>
      <c r="T38" s="384"/>
      <c r="U38" s="384"/>
      <c r="V38" s="384"/>
    </row>
    <row r="39" spans="1:22" s="351" customFormat="1">
      <c r="A39" s="378" t="s">
        <v>109</v>
      </c>
      <c r="B39" s="333"/>
      <c r="C39" s="357">
        <v>8167</v>
      </c>
      <c r="D39" s="333"/>
      <c r="E39" s="346">
        <f>C39/($C$42-$C$41)*$E$42</f>
        <v>8862.3543562009618</v>
      </c>
      <c r="F39" s="333"/>
      <c r="G39" s="389"/>
      <c r="H39" s="363"/>
      <c r="I39" s="339"/>
      <c r="J39" s="333"/>
      <c r="K39" s="339"/>
      <c r="L39" s="333"/>
      <c r="M39" s="372">
        <f>M31</f>
        <v>8.6940000000000008</v>
      </c>
      <c r="N39" s="363" t="s">
        <v>93</v>
      </c>
      <c r="O39" s="339">
        <f>ROUND(M39*$E39/100,0)</f>
        <v>770</v>
      </c>
      <c r="P39" s="376"/>
      <c r="Q39" s="332" t="s">
        <v>115</v>
      </c>
      <c r="R39" s="390">
        <f>(O42)/(K42)-1</f>
        <v>0.12366057922216456</v>
      </c>
      <c r="S39" s="363"/>
      <c r="T39" s="363"/>
      <c r="U39" s="363"/>
      <c r="V39" s="363"/>
    </row>
    <row r="40" spans="1:22" s="351" customFormat="1">
      <c r="A40" s="378" t="s">
        <v>111</v>
      </c>
      <c r="B40" s="332"/>
      <c r="C40" s="357">
        <v>10753</v>
      </c>
      <c r="D40" s="333"/>
      <c r="E40" s="357">
        <f>E42-SUM(E31:E34,E39:E39)</f>
        <v>11668.531454920769</v>
      </c>
      <c r="F40" s="333"/>
      <c r="G40" s="389"/>
      <c r="H40" s="363"/>
      <c r="I40" s="339"/>
      <c r="J40" s="333"/>
      <c r="K40" s="339"/>
      <c r="L40" s="333"/>
      <c r="M40" s="372">
        <f>M34</f>
        <v>9.0076999999999998</v>
      </c>
      <c r="N40" s="363" t="s">
        <v>93</v>
      </c>
      <c r="O40" s="339">
        <f>ROUND(M40*$E40/100,0)</f>
        <v>1051</v>
      </c>
      <c r="P40" s="376"/>
      <c r="Q40" s="332" t="s">
        <v>116</v>
      </c>
      <c r="R40" s="391">
        <f>E42/(E28)</f>
        <v>681.32182905265461</v>
      </c>
      <c r="S40" s="363"/>
      <c r="T40" s="363"/>
      <c r="U40" s="363"/>
      <c r="V40" s="363"/>
    </row>
    <row r="41" spans="1:22">
      <c r="A41" s="352" t="s">
        <v>112</v>
      </c>
      <c r="C41" s="103">
        <v>255836</v>
      </c>
      <c r="E41" s="103">
        <v>0</v>
      </c>
      <c r="I41" s="383">
        <v>1035</v>
      </c>
      <c r="K41" s="383">
        <v>0</v>
      </c>
      <c r="O41" s="383">
        <v>0</v>
      </c>
      <c r="P41" s="376"/>
      <c r="Q41" s="332" t="s">
        <v>117</v>
      </c>
      <c r="R41" s="391">
        <f>SUM(E31:E33,E39)/((E28)*5/12)</f>
        <v>735.97055215951184</v>
      </c>
      <c r="S41" s="384"/>
      <c r="T41" s="384"/>
      <c r="U41" s="384"/>
      <c r="V41" s="384"/>
    </row>
    <row r="42" spans="1:22" ht="16.5" thickBot="1">
      <c r="A42" s="352" t="s">
        <v>113</v>
      </c>
      <c r="C42" s="385">
        <f>SUM(C31:D33,C34,C38,C41)</f>
        <v>263992555.76256317</v>
      </c>
      <c r="E42" s="385">
        <v>286191780.00219226</v>
      </c>
      <c r="G42" s="386"/>
      <c r="I42" s="387">
        <f>SUM(I29:I41)</f>
        <v>25573260</v>
      </c>
      <c r="K42" s="387">
        <f>SUM(K29:K41)</f>
        <v>27725044</v>
      </c>
      <c r="M42" s="386"/>
      <c r="O42" s="387">
        <f>SUM(O29:O41)</f>
        <v>31153539</v>
      </c>
      <c r="P42" s="376"/>
      <c r="Q42" s="332" t="s">
        <v>118</v>
      </c>
      <c r="R42" s="391">
        <f>SUM(E34,E40)/((E28)*7/12)</f>
        <v>642.2870268334708</v>
      </c>
      <c r="S42" s="384"/>
      <c r="T42" s="384"/>
      <c r="U42" s="384"/>
      <c r="V42" s="384"/>
    </row>
    <row r="43" spans="1:22" ht="16.5" thickTop="1">
      <c r="C43" s="102"/>
      <c r="E43" s="102"/>
      <c r="S43" s="384"/>
      <c r="T43" s="384"/>
      <c r="U43" s="384"/>
      <c r="V43" s="384"/>
    </row>
    <row r="44" spans="1:22">
      <c r="A44" s="348" t="s">
        <v>119</v>
      </c>
      <c r="C44" s="102"/>
      <c r="E44" s="102"/>
      <c r="S44" s="384"/>
      <c r="T44" s="384"/>
      <c r="U44" s="384"/>
      <c r="V44" s="384"/>
    </row>
    <row r="45" spans="1:22">
      <c r="A45" s="352" t="s">
        <v>86</v>
      </c>
      <c r="C45" s="102">
        <v>4433.5748999999996</v>
      </c>
      <c r="E45" s="357">
        <v>4325.407917034714</v>
      </c>
      <c r="G45" s="99"/>
      <c r="H45" s="353"/>
      <c r="I45" s="339"/>
      <c r="K45" s="339"/>
      <c r="M45" s="99"/>
      <c r="N45" s="353"/>
      <c r="O45" s="339"/>
      <c r="P45" s="339"/>
      <c r="R45" s="356"/>
      <c r="S45" s="384"/>
      <c r="T45" s="356"/>
      <c r="U45" s="384"/>
      <c r="V45" s="384"/>
    </row>
    <row r="46" spans="1:22">
      <c r="A46" s="352" t="s">
        <v>88</v>
      </c>
      <c r="C46" s="102">
        <v>4345.9000999999989</v>
      </c>
      <c r="E46" s="357">
        <f>ROUND(C46/$C$45*$E$45,0)</f>
        <v>4240</v>
      </c>
      <c r="G46" s="99">
        <v>4</v>
      </c>
      <c r="H46" s="353"/>
      <c r="I46" s="339">
        <f t="shared" ref="I46:I47" si="8">ROUND($G46*C46,0)</f>
        <v>17384</v>
      </c>
      <c r="K46" s="339">
        <f t="shared" ref="K46:K47" si="9">ROUND($G46*E46,0)</f>
        <v>16960</v>
      </c>
      <c r="M46" s="99">
        <f t="shared" ref="M46:M47" si="10">M12</f>
        <v>10</v>
      </c>
      <c r="N46" s="353"/>
      <c r="O46" s="339">
        <f t="shared" ref="O46:O47" si="11">ROUND(M46*$E46,0)</f>
        <v>42400</v>
      </c>
      <c r="P46" s="339"/>
      <c r="R46" s="356"/>
      <c r="S46" s="384"/>
      <c r="T46" s="356">
        <f t="shared" ref="T46:T56" si="12">M46/G46-1</f>
        <v>1.5</v>
      </c>
      <c r="U46" s="384"/>
      <c r="V46" s="384"/>
    </row>
    <row r="47" spans="1:22">
      <c r="A47" s="352" t="s">
        <v>90</v>
      </c>
      <c r="C47" s="102">
        <v>0</v>
      </c>
      <c r="E47" s="357">
        <f>ROUND(C47/$C$45*$E$45,0)</f>
        <v>0</v>
      </c>
      <c r="G47" s="99">
        <v>8</v>
      </c>
      <c r="H47" s="353"/>
      <c r="I47" s="339">
        <f t="shared" si="8"/>
        <v>0</v>
      </c>
      <c r="K47" s="339">
        <f t="shared" si="9"/>
        <v>0</v>
      </c>
      <c r="M47" s="99">
        <f t="shared" si="10"/>
        <v>20</v>
      </c>
      <c r="N47" s="353"/>
      <c r="O47" s="339">
        <f t="shared" si="11"/>
        <v>0</v>
      </c>
      <c r="P47" s="339"/>
      <c r="R47" s="356"/>
      <c r="S47" s="384"/>
      <c r="T47" s="356">
        <f t="shared" si="12"/>
        <v>1.5</v>
      </c>
      <c r="U47" s="384"/>
      <c r="V47" s="384"/>
    </row>
    <row r="48" spans="1:22">
      <c r="A48" s="352" t="s">
        <v>120</v>
      </c>
      <c r="C48" s="102">
        <v>282773</v>
      </c>
      <c r="E48" s="357">
        <f>C48/($C$61-$C$60)*$E$61</f>
        <v>285070.90634845069</v>
      </c>
      <c r="G48" s="100">
        <v>4.13</v>
      </c>
      <c r="H48" s="363" t="s">
        <v>93</v>
      </c>
      <c r="I48" s="339">
        <f t="shared" ref="I48:I53" si="13">ROUND($G48*C48/100,0)</f>
        <v>11679</v>
      </c>
      <c r="K48" s="339">
        <f t="shared" ref="K48:K53" si="14">ROUND($G48*E48/100,0)</f>
        <v>11773</v>
      </c>
      <c r="M48" s="100">
        <f>ROUND(G48*Q48,4)</f>
        <v>4.2415000000000003</v>
      </c>
      <c r="N48" s="363" t="s">
        <v>93</v>
      </c>
      <c r="O48" s="339">
        <f t="shared" ref="O48:O53" si="15">ROUND(M48*$E48/100,0)</f>
        <v>12091</v>
      </c>
      <c r="P48" s="339"/>
      <c r="Q48" s="356">
        <f>1+2.7%</f>
        <v>1.0269999999999999</v>
      </c>
      <c r="S48" s="384"/>
      <c r="T48" s="356">
        <f t="shared" si="12"/>
        <v>2.6997578692494084E-2</v>
      </c>
      <c r="U48" s="384"/>
      <c r="V48" s="384"/>
    </row>
    <row r="49" spans="1:22">
      <c r="A49" s="352" t="s">
        <v>121</v>
      </c>
      <c r="C49" s="102">
        <v>1024734.3077848302</v>
      </c>
      <c r="E49" s="357">
        <f>C49/($C$61-$C$60)*$E$61</f>
        <v>1033061.6356108035</v>
      </c>
      <c r="G49" s="100">
        <v>-1.5487</v>
      </c>
      <c r="H49" s="363" t="s">
        <v>93</v>
      </c>
      <c r="I49" s="339">
        <f t="shared" si="13"/>
        <v>-15870</v>
      </c>
      <c r="K49" s="339">
        <f t="shared" si="14"/>
        <v>-15999</v>
      </c>
      <c r="M49" s="100">
        <f>ROUND(G49*Q49,4)</f>
        <v>-1.5905</v>
      </c>
      <c r="N49" s="363" t="s">
        <v>93</v>
      </c>
      <c r="O49" s="339">
        <f t="shared" si="15"/>
        <v>-16431</v>
      </c>
      <c r="P49" s="339"/>
      <c r="Q49" s="356">
        <f>Q48</f>
        <v>1.0269999999999999</v>
      </c>
      <c r="S49" s="384"/>
      <c r="T49" s="356">
        <f t="shared" si="12"/>
        <v>2.699037902757162E-2</v>
      </c>
      <c r="U49" s="384"/>
      <c r="V49" s="384"/>
    </row>
    <row r="50" spans="1:22">
      <c r="A50" s="352" t="s">
        <v>92</v>
      </c>
      <c r="C50" s="357">
        <v>677328</v>
      </c>
      <c r="E50" s="357">
        <f t="shared" ref="E50:E53" si="16">C50/($C$61-$C$60)*$E$61</f>
        <v>682832.18997281697</v>
      </c>
      <c r="G50" s="372">
        <v>8.4003999999999994</v>
      </c>
      <c r="H50" s="363" t="s">
        <v>93</v>
      </c>
      <c r="I50" s="339">
        <f t="shared" si="13"/>
        <v>56898</v>
      </c>
      <c r="K50" s="339">
        <f t="shared" si="14"/>
        <v>57361</v>
      </c>
      <c r="M50" s="372">
        <f t="shared" ref="M50:M56" si="17">M14</f>
        <v>8.6940000000000008</v>
      </c>
      <c r="N50" s="363" t="s">
        <v>93</v>
      </c>
      <c r="O50" s="339">
        <f t="shared" si="15"/>
        <v>59365</v>
      </c>
      <c r="P50" s="339"/>
      <c r="S50" s="384"/>
      <c r="T50" s="356">
        <f t="shared" si="12"/>
        <v>3.4950716632541567E-2</v>
      </c>
      <c r="U50" s="384"/>
      <c r="V50" s="392"/>
    </row>
    <row r="51" spans="1:22">
      <c r="A51" s="352" t="s">
        <v>95</v>
      </c>
      <c r="C51" s="357">
        <v>467042</v>
      </c>
      <c r="E51" s="357">
        <f t="shared" si="16"/>
        <v>470837.33681360341</v>
      </c>
      <c r="G51" s="372">
        <v>10.348100000000001</v>
      </c>
      <c r="H51" s="363" t="s">
        <v>93</v>
      </c>
      <c r="I51" s="339">
        <f t="shared" si="13"/>
        <v>48330</v>
      </c>
      <c r="K51" s="339">
        <f t="shared" si="14"/>
        <v>48723</v>
      </c>
      <c r="M51" s="372">
        <f t="shared" si="17"/>
        <v>10.7098</v>
      </c>
      <c r="N51" s="363" t="s">
        <v>93</v>
      </c>
      <c r="O51" s="339">
        <f t="shared" si="15"/>
        <v>50426</v>
      </c>
      <c r="P51" s="339"/>
      <c r="S51" s="384"/>
      <c r="T51" s="356">
        <f t="shared" si="12"/>
        <v>3.4953276446883841E-2</v>
      </c>
      <c r="U51" s="384"/>
      <c r="V51" s="392"/>
    </row>
    <row r="52" spans="1:22">
      <c r="A52" s="352" t="s">
        <v>97</v>
      </c>
      <c r="C52" s="357">
        <v>197673.30778483019</v>
      </c>
      <c r="E52" s="357">
        <f t="shared" si="16"/>
        <v>199279.66606117907</v>
      </c>
      <c r="G52" s="372">
        <v>12.870900000000001</v>
      </c>
      <c r="H52" s="363" t="s">
        <v>93</v>
      </c>
      <c r="I52" s="339">
        <f t="shared" si="13"/>
        <v>25442</v>
      </c>
      <c r="K52" s="339">
        <f t="shared" si="14"/>
        <v>25649</v>
      </c>
      <c r="M52" s="372">
        <f t="shared" si="17"/>
        <v>13.3207</v>
      </c>
      <c r="N52" s="363" t="s">
        <v>93</v>
      </c>
      <c r="O52" s="339">
        <f t="shared" si="15"/>
        <v>26545</v>
      </c>
      <c r="P52" s="339"/>
      <c r="R52" s="384"/>
      <c r="S52" s="384"/>
      <c r="T52" s="356">
        <f t="shared" si="12"/>
        <v>3.494705109976759E-2</v>
      </c>
      <c r="U52" s="384"/>
      <c r="V52" s="384"/>
    </row>
    <row r="53" spans="1:22">
      <c r="A53" s="352" t="s">
        <v>99</v>
      </c>
      <c r="C53" s="357">
        <v>1891076.7911389819</v>
      </c>
      <c r="E53" s="357">
        <f t="shared" si="16"/>
        <v>1906444.3027605512</v>
      </c>
      <c r="G53" s="372">
        <v>8.7035</v>
      </c>
      <c r="H53" s="363" t="s">
        <v>93</v>
      </c>
      <c r="I53" s="339">
        <f t="shared" si="13"/>
        <v>164590</v>
      </c>
      <c r="K53" s="339">
        <f t="shared" si="14"/>
        <v>165927</v>
      </c>
      <c r="M53" s="372">
        <f t="shared" si="17"/>
        <v>9.0076999999999998</v>
      </c>
      <c r="N53" s="363" t="s">
        <v>93</v>
      </c>
      <c r="O53" s="339">
        <f t="shared" si="15"/>
        <v>171727</v>
      </c>
      <c r="P53" s="339"/>
      <c r="R53" s="384"/>
      <c r="S53" s="363"/>
      <c r="T53" s="356">
        <f t="shared" si="12"/>
        <v>3.4951456310679641E-2</v>
      </c>
      <c r="U53" s="384"/>
      <c r="V53" s="384"/>
    </row>
    <row r="54" spans="1:22">
      <c r="A54" s="352" t="s">
        <v>101</v>
      </c>
      <c r="C54" s="102">
        <v>87.674800000000005</v>
      </c>
      <c r="E54" s="357">
        <f>E45-E46-E47-E55-E56</f>
        <v>85.407917034714046</v>
      </c>
      <c r="G54" s="99">
        <v>7</v>
      </c>
      <c r="H54" s="353"/>
      <c r="I54" s="339">
        <f>ROUND($G54*C54,0)</f>
        <v>614</v>
      </c>
      <c r="K54" s="339">
        <f>ROUND($G54*E54,0)</f>
        <v>598</v>
      </c>
      <c r="M54" s="99">
        <f t="shared" si="17"/>
        <v>10</v>
      </c>
      <c r="N54" s="353"/>
      <c r="O54" s="339">
        <f>ROUND(M54*$E54,0)</f>
        <v>854</v>
      </c>
      <c r="P54" s="339"/>
      <c r="R54" s="384"/>
      <c r="S54" s="363"/>
      <c r="T54" s="356">
        <f t="shared" si="12"/>
        <v>0.4285714285714286</v>
      </c>
      <c r="U54" s="384"/>
      <c r="V54" s="384"/>
    </row>
    <row r="55" spans="1:22" s="351" customFormat="1">
      <c r="A55" s="352" t="s">
        <v>103</v>
      </c>
      <c r="B55" s="332"/>
      <c r="C55" s="102">
        <v>0</v>
      </c>
      <c r="D55" s="333"/>
      <c r="E55" s="357">
        <f t="shared" ref="E55:E56" si="18">ROUND(C55/$C$45*$E$45,0)</f>
        <v>0</v>
      </c>
      <c r="F55" s="333"/>
      <c r="G55" s="99">
        <v>14</v>
      </c>
      <c r="H55" s="353"/>
      <c r="I55" s="339">
        <f>ROUND($G55*C55,0)</f>
        <v>0</v>
      </c>
      <c r="J55" s="333"/>
      <c r="K55" s="339">
        <f>ROUND($G55*E55,0)</f>
        <v>0</v>
      </c>
      <c r="L55" s="333"/>
      <c r="M55" s="99">
        <f t="shared" si="17"/>
        <v>20</v>
      </c>
      <c r="N55" s="353"/>
      <c r="O55" s="339">
        <f>ROUND(M55*$E55,0)</f>
        <v>0</v>
      </c>
      <c r="P55" s="376"/>
      <c r="Q55" s="332"/>
      <c r="R55" s="384"/>
      <c r="S55" s="363"/>
      <c r="T55" s="356">
        <f t="shared" si="12"/>
        <v>0.4285714285714286</v>
      </c>
      <c r="U55" s="363"/>
      <c r="V55" s="363"/>
    </row>
    <row r="56" spans="1:22" s="351" customFormat="1">
      <c r="A56" s="352" t="s">
        <v>105</v>
      </c>
      <c r="B56" s="332"/>
      <c r="C56" s="357">
        <v>0</v>
      </c>
      <c r="D56" s="333"/>
      <c r="E56" s="357">
        <f t="shared" si="18"/>
        <v>0</v>
      </c>
      <c r="F56" s="333"/>
      <c r="G56" s="99">
        <v>84</v>
      </c>
      <c r="H56" s="353"/>
      <c r="I56" s="339">
        <f>ROUND($G56*C56,0)</f>
        <v>0</v>
      </c>
      <c r="J56" s="333"/>
      <c r="K56" s="339">
        <f>ROUND($G56*E56,0)</f>
        <v>0</v>
      </c>
      <c r="L56" s="333"/>
      <c r="M56" s="99">
        <f t="shared" si="17"/>
        <v>120</v>
      </c>
      <c r="N56" s="353"/>
      <c r="O56" s="339">
        <f>ROUND(M56*$E56,0)</f>
        <v>0</v>
      </c>
      <c r="P56" s="376"/>
      <c r="Q56" s="332"/>
      <c r="R56" s="384"/>
      <c r="S56" s="384"/>
      <c r="T56" s="356">
        <f t="shared" si="12"/>
        <v>0.4285714285714286</v>
      </c>
      <c r="U56" s="363"/>
      <c r="V56" s="363"/>
    </row>
    <row r="57" spans="1:22" s="351" customFormat="1">
      <c r="A57" s="378" t="s">
        <v>107</v>
      </c>
      <c r="B57" s="333"/>
      <c r="C57" s="357">
        <f>SUM(C58:C59)</f>
        <v>577</v>
      </c>
      <c r="D57" s="333"/>
      <c r="E57" s="357">
        <f>SUM(E58:E59)</f>
        <v>581.68889166537042</v>
      </c>
      <c r="F57" s="333"/>
      <c r="G57" s="389"/>
      <c r="H57" s="363"/>
      <c r="I57" s="376"/>
      <c r="J57" s="333"/>
      <c r="K57" s="376"/>
      <c r="L57" s="333"/>
      <c r="M57" s="389"/>
      <c r="N57" s="363"/>
      <c r="O57" s="376"/>
      <c r="P57" s="376"/>
      <c r="Q57" s="332"/>
      <c r="R57" s="384"/>
      <c r="S57" s="384"/>
      <c r="T57" s="363"/>
      <c r="U57" s="363"/>
      <c r="V57" s="363"/>
    </row>
    <row r="58" spans="1:22">
      <c r="A58" s="378" t="s">
        <v>109</v>
      </c>
      <c r="B58" s="333"/>
      <c r="C58" s="357">
        <v>234</v>
      </c>
      <c r="E58" s="357">
        <f>C58/($C$61-$C$60)*$E$61</f>
        <v>235.90156091825406</v>
      </c>
      <c r="G58" s="389"/>
      <c r="H58" s="363"/>
      <c r="I58" s="339"/>
      <c r="K58" s="339"/>
      <c r="M58" s="389">
        <f>M14</f>
        <v>8.6940000000000008</v>
      </c>
      <c r="N58" s="363" t="s">
        <v>93</v>
      </c>
      <c r="O58" s="339">
        <f>ROUND(M58*$E58/100,0)</f>
        <v>21</v>
      </c>
      <c r="P58" s="376"/>
      <c r="Q58" s="328"/>
      <c r="S58" s="384"/>
    </row>
    <row r="59" spans="1:22">
      <c r="A59" s="378" t="s">
        <v>111</v>
      </c>
      <c r="C59" s="357">
        <v>343</v>
      </c>
      <c r="E59" s="357">
        <f>E61-SUM(E50:E53,E58:E58)</f>
        <v>345.78733074711636</v>
      </c>
      <c r="G59" s="389"/>
      <c r="H59" s="363"/>
      <c r="I59" s="339"/>
      <c r="K59" s="339"/>
      <c r="M59" s="389">
        <f>M17</f>
        <v>9.0076999999999998</v>
      </c>
      <c r="N59" s="363" t="s">
        <v>93</v>
      </c>
      <c r="O59" s="339">
        <f>ROUND(M59*$E59/100,0)</f>
        <v>31</v>
      </c>
      <c r="P59" s="376"/>
      <c r="Q59" s="332" t="s">
        <v>94</v>
      </c>
      <c r="R59" s="390">
        <f>O61/K61-1</f>
        <v>0.11587757884447192</v>
      </c>
      <c r="T59" s="384"/>
      <c r="U59" s="384"/>
      <c r="V59" s="384"/>
    </row>
    <row r="60" spans="1:22">
      <c r="A60" s="352" t="s">
        <v>112</v>
      </c>
      <c r="C60" s="103">
        <v>3098</v>
      </c>
      <c r="E60" s="103">
        <v>0</v>
      </c>
      <c r="I60" s="383">
        <v>12</v>
      </c>
      <c r="K60" s="383">
        <v>0</v>
      </c>
      <c r="O60" s="383">
        <v>0</v>
      </c>
      <c r="Q60" s="332" t="s">
        <v>115</v>
      </c>
      <c r="R60" s="390">
        <f>(O61)/(K61)-1</f>
        <v>0.11587757884447192</v>
      </c>
      <c r="T60" s="384"/>
      <c r="U60" s="384"/>
    </row>
    <row r="61" spans="1:22" ht="16.5" thickBot="1">
      <c r="A61" s="352" t="s">
        <v>113</v>
      </c>
      <c r="C61" s="385">
        <f>SUM(C50:C52,C53,C57,C60)</f>
        <v>3236795.0989238122</v>
      </c>
      <c r="E61" s="385">
        <v>3259975.1844998165</v>
      </c>
      <c r="G61" s="393"/>
      <c r="I61" s="394">
        <f>SUM(I46:I60)</f>
        <v>309079</v>
      </c>
      <c r="K61" s="394">
        <f>SUM(K46:K60)</f>
        <v>310992</v>
      </c>
      <c r="M61" s="393"/>
      <c r="O61" s="394">
        <f>SUM(O46:O60)</f>
        <v>347029</v>
      </c>
      <c r="Q61" s="332" t="s">
        <v>122</v>
      </c>
      <c r="R61" s="391">
        <f>E61/(E45)</f>
        <v>753.68040356635186</v>
      </c>
      <c r="S61" s="395"/>
      <c r="T61" s="384"/>
      <c r="U61" s="384"/>
    </row>
    <row r="62" spans="1:22" ht="16.5" thickTop="1">
      <c r="C62" s="102"/>
      <c r="E62" s="102"/>
      <c r="P62" s="339"/>
      <c r="R62" s="384"/>
      <c r="S62" s="395"/>
      <c r="T62" s="395"/>
      <c r="U62" s="339"/>
      <c r="V62" s="102"/>
    </row>
    <row r="63" spans="1:22">
      <c r="A63" s="348" t="s">
        <v>123</v>
      </c>
      <c r="C63" s="102"/>
      <c r="E63" s="102"/>
      <c r="P63" s="339"/>
      <c r="S63" s="395"/>
      <c r="V63" s="332"/>
    </row>
    <row r="64" spans="1:22">
      <c r="A64" s="352" t="s">
        <v>124</v>
      </c>
      <c r="C64" s="102">
        <f t="shared" ref="C64:C73" si="19">C76+C88+C100</f>
        <v>151410.19301851271</v>
      </c>
      <c r="E64" s="102">
        <f t="shared" ref="E64:E73" si="20">E76+E88+E100</f>
        <v>161759</v>
      </c>
      <c r="G64" s="99">
        <v>50</v>
      </c>
      <c r="H64" s="353"/>
      <c r="I64" s="339">
        <f>ROUND($G64*C64,0)</f>
        <v>7570510</v>
      </c>
      <c r="K64" s="339">
        <f>ROUND($G64*E64,0)</f>
        <v>8087950</v>
      </c>
      <c r="M64" s="99">
        <f>ROUND(G64*(1+R71),0)</f>
        <v>54</v>
      </c>
      <c r="N64" s="353"/>
      <c r="O64" s="339">
        <f>ROUND(M64*$E64,0)</f>
        <v>8734986</v>
      </c>
      <c r="P64" s="339"/>
      <c r="T64" s="356">
        <f t="shared" ref="T64:T67" si="21">M64/G64-1</f>
        <v>8.0000000000000071E-2</v>
      </c>
      <c r="V64" s="100"/>
    </row>
    <row r="65" spans="1:22">
      <c r="A65" s="352" t="s">
        <v>125</v>
      </c>
      <c r="C65" s="102">
        <f t="shared" si="19"/>
        <v>7099969.9663321152</v>
      </c>
      <c r="E65" s="102">
        <f t="shared" si="20"/>
        <v>7236066</v>
      </c>
      <c r="G65" s="99">
        <v>16.84</v>
      </c>
      <c r="H65" s="353"/>
      <c r="I65" s="339">
        <f>ROUND($G65*C65,0)</f>
        <v>119563494</v>
      </c>
      <c r="K65" s="339">
        <f>ROUND($G65*E65,0)</f>
        <v>121855351</v>
      </c>
      <c r="M65" s="99">
        <f>ROUND(G65*(1+$R$73),2)</f>
        <v>18.059999999999999</v>
      </c>
      <c r="N65" s="353"/>
      <c r="O65" s="339">
        <f>ROUND(M65*$E65,0)</f>
        <v>130683352</v>
      </c>
      <c r="P65" s="339"/>
      <c r="T65" s="356">
        <f t="shared" si="21"/>
        <v>7.2446555819477343E-2</v>
      </c>
      <c r="U65" s="339"/>
    </row>
    <row r="66" spans="1:22">
      <c r="A66" s="352" t="s">
        <v>126</v>
      </c>
      <c r="C66" s="102">
        <f t="shared" si="19"/>
        <v>8658903.6368118189</v>
      </c>
      <c r="E66" s="102">
        <f t="shared" si="20"/>
        <v>8823903</v>
      </c>
      <c r="G66" s="99">
        <v>13.52</v>
      </c>
      <c r="H66" s="353"/>
      <c r="I66" s="339">
        <f>ROUND($G66*C66,0)</f>
        <v>117068377</v>
      </c>
      <c r="K66" s="339">
        <f>ROUND($G66*E66,0)</f>
        <v>119299169</v>
      </c>
      <c r="M66" s="99">
        <f>ROUND(G66*(1+$R$73),2)</f>
        <v>14.5</v>
      </c>
      <c r="N66" s="353"/>
      <c r="O66" s="339">
        <f>ROUND(M66*$E66,0)</f>
        <v>127946594</v>
      </c>
      <c r="P66" s="339"/>
      <c r="Q66" s="99"/>
      <c r="R66" s="396"/>
      <c r="T66" s="356">
        <f t="shared" si="21"/>
        <v>7.2485207100591698E-2</v>
      </c>
      <c r="U66" s="339"/>
    </row>
    <row r="67" spans="1:22">
      <c r="A67" s="352" t="s">
        <v>127</v>
      </c>
      <c r="C67" s="102">
        <f t="shared" si="19"/>
        <v>607644.092907093</v>
      </c>
      <c r="E67" s="102">
        <f t="shared" si="20"/>
        <v>612787</v>
      </c>
      <c r="G67" s="99">
        <v>-0.87</v>
      </c>
      <c r="H67" s="353"/>
      <c r="I67" s="339">
        <f>ROUND($G67*C67,0)</f>
        <v>-528650</v>
      </c>
      <c r="K67" s="339">
        <f>ROUND($G67*E67,0)</f>
        <v>-533125</v>
      </c>
      <c r="M67" s="99">
        <f>ROUND(G67*(1+$R$73),2)</f>
        <v>-0.93</v>
      </c>
      <c r="N67" s="353"/>
      <c r="O67" s="339">
        <f>ROUND(M67*$E67,0)</f>
        <v>-569892</v>
      </c>
      <c r="P67" s="339"/>
      <c r="Q67" s="354" t="s">
        <v>87</v>
      </c>
      <c r="R67" s="355">
        <f>O73+O133+O145</f>
        <v>477487198</v>
      </c>
      <c r="T67" s="356">
        <f t="shared" si="21"/>
        <v>6.8965517241379448E-2</v>
      </c>
      <c r="U67" s="339"/>
      <c r="V67" s="102"/>
    </row>
    <row r="68" spans="1:22">
      <c r="A68" s="352" t="s">
        <v>128</v>
      </c>
      <c r="C68" s="102">
        <f t="shared" si="19"/>
        <v>5615771584.2236633</v>
      </c>
      <c r="E68" s="102">
        <f t="shared" si="20"/>
        <v>5746434278.8172226</v>
      </c>
      <c r="G68" s="100"/>
      <c r="H68" s="363"/>
      <c r="I68" s="339"/>
      <c r="K68" s="339"/>
      <c r="M68" s="100"/>
      <c r="N68" s="363"/>
      <c r="O68" s="339"/>
      <c r="P68" s="376"/>
      <c r="Q68" s="358" t="s">
        <v>89</v>
      </c>
      <c r="R68" s="359">
        <f>('Baron Rate Spread'!M20+'Baron Rate Spread'!M22)*1000</f>
        <v>477485645.99999994</v>
      </c>
      <c r="V68" s="102"/>
    </row>
    <row r="69" spans="1:22">
      <c r="A69" s="352" t="s">
        <v>129</v>
      </c>
      <c r="C69" s="102">
        <f t="shared" si="19"/>
        <v>2525878309.1825972</v>
      </c>
      <c r="E69" s="102">
        <f t="shared" si="20"/>
        <v>2584270137</v>
      </c>
      <c r="G69" s="397">
        <v>3.5438999999999998</v>
      </c>
      <c r="H69" s="363" t="s">
        <v>93</v>
      </c>
      <c r="I69" s="339">
        <f>ROUND($G69*C69/100,0)</f>
        <v>89514601</v>
      </c>
      <c r="K69" s="339">
        <f>ROUND($G69*E69/100,0)</f>
        <v>91583949</v>
      </c>
      <c r="M69" s="397">
        <f>ROUND(G69*(1+$R$73),4)</f>
        <v>3.8001999999999998</v>
      </c>
      <c r="N69" s="363" t="s">
        <v>93</v>
      </c>
      <c r="O69" s="339">
        <f>ROUND(M69*$E69/100,0)</f>
        <v>98207434</v>
      </c>
      <c r="P69" s="376"/>
      <c r="Q69" s="360" t="s">
        <v>91</v>
      </c>
      <c r="R69" s="361">
        <f>R68-R67</f>
        <v>-1552.0000000596046</v>
      </c>
      <c r="S69" s="384"/>
      <c r="T69" s="356">
        <f t="shared" ref="T69:T71" si="22">M69/G69-1</f>
        <v>7.2321453765625376E-2</v>
      </c>
      <c r="U69" s="339"/>
      <c r="V69" s="384"/>
    </row>
    <row r="70" spans="1:22">
      <c r="A70" s="352" t="s">
        <v>130</v>
      </c>
      <c r="C70" s="102">
        <f t="shared" si="19"/>
        <v>3089893275.0410662</v>
      </c>
      <c r="E70" s="102">
        <f t="shared" si="20"/>
        <v>3162164141.8172226</v>
      </c>
      <c r="G70" s="397">
        <v>3.2658999999999998</v>
      </c>
      <c r="H70" s="363" t="s">
        <v>93</v>
      </c>
      <c r="I70" s="339">
        <f>ROUND($G70*C70/100,0)</f>
        <v>100912824</v>
      </c>
      <c r="K70" s="339">
        <f>ROUND($G70*E70/100,0)</f>
        <v>103273119</v>
      </c>
      <c r="M70" s="397">
        <f>ROUND((R68-SUM(O64:O69,O71,O124:O129,O131,O136:O141,O143))/(E70+E130+E142)*100,4)+R546</f>
        <v>3.5009999999999999</v>
      </c>
      <c r="N70" s="363" t="s">
        <v>93</v>
      </c>
      <c r="O70" s="339">
        <f>ROUND(M70*$E70/100,0)</f>
        <v>110707367</v>
      </c>
      <c r="P70" s="376"/>
      <c r="Q70" s="364" t="s">
        <v>94</v>
      </c>
      <c r="R70" s="398">
        <f>R67/(K73+K133+K145)-1</f>
        <v>7.2465718023032588E-2</v>
      </c>
      <c r="T70" s="356">
        <f t="shared" si="22"/>
        <v>7.1986282494871379E-2</v>
      </c>
      <c r="V70" s="384"/>
    </row>
    <row r="71" spans="1:22">
      <c r="A71" s="352" t="s">
        <v>131</v>
      </c>
      <c r="C71" s="102">
        <f t="shared" si="19"/>
        <v>0</v>
      </c>
      <c r="E71" s="102">
        <f t="shared" si="20"/>
        <v>0</v>
      </c>
      <c r="G71" s="99">
        <v>600</v>
      </c>
      <c r="H71" s="353"/>
      <c r="I71" s="339">
        <f>ROUND($G71*C71,0)</f>
        <v>0</v>
      </c>
      <c r="K71" s="339">
        <f>ROUND($G71*E71,0)</f>
        <v>0</v>
      </c>
      <c r="M71" s="99">
        <f>M64*12</f>
        <v>648</v>
      </c>
      <c r="N71" s="353"/>
      <c r="O71" s="339">
        <f>ROUND(M71*$E71,0)</f>
        <v>0</v>
      </c>
      <c r="P71" s="376"/>
      <c r="Q71" s="368" t="s">
        <v>96</v>
      </c>
      <c r="R71" s="399">
        <f>R68/(K73+K133+K145)-1</f>
        <v>7.246223213524039E-2</v>
      </c>
      <c r="T71" s="356">
        <f t="shared" si="22"/>
        <v>8.0000000000000071E-2</v>
      </c>
      <c r="U71" s="384"/>
      <c r="V71" s="384"/>
    </row>
    <row r="72" spans="1:22">
      <c r="A72" s="352" t="s">
        <v>112</v>
      </c>
      <c r="C72" s="103">
        <f t="shared" si="19"/>
        <v>19661732</v>
      </c>
      <c r="E72" s="103">
        <f t="shared" si="20"/>
        <v>0</v>
      </c>
      <c r="I72" s="383">
        <f>I84+I96+I108</f>
        <v>664683.99000000034</v>
      </c>
      <c r="K72" s="383">
        <v>0</v>
      </c>
      <c r="O72" s="383">
        <v>0</v>
      </c>
      <c r="Q72" s="364" t="s">
        <v>100</v>
      </c>
      <c r="R72" s="365">
        <f>M64/G64-1</f>
        <v>8.0000000000000071E-2</v>
      </c>
    </row>
    <row r="73" spans="1:22" ht="16.5" thickBot="1">
      <c r="A73" s="352" t="s">
        <v>113</v>
      </c>
      <c r="C73" s="400">
        <f t="shared" si="19"/>
        <v>5635433316.2236633</v>
      </c>
      <c r="E73" s="400">
        <f t="shared" si="20"/>
        <v>5746434278.8172226</v>
      </c>
      <c r="G73" s="393"/>
      <c r="I73" s="394">
        <f>SUM(I64:I72)</f>
        <v>434765839.99000001</v>
      </c>
      <c r="K73" s="394">
        <f>SUM(K64:K72)</f>
        <v>443566413</v>
      </c>
      <c r="M73" s="393"/>
      <c r="O73" s="394">
        <f>SUM(O64:O72)</f>
        <v>475709841</v>
      </c>
      <c r="Q73" s="380" t="s">
        <v>132</v>
      </c>
      <c r="R73" s="401">
        <f>(R68-O64-O71-O124-O131-O136-O143)/SUM(K65:K70,K125:K130,K137:K142)-1</f>
        <v>7.232243004091865E-2</v>
      </c>
    </row>
    <row r="74" spans="1:22" ht="16.5" thickTop="1">
      <c r="C74" s="102"/>
      <c r="E74" s="102"/>
      <c r="P74" s="339"/>
    </row>
    <row r="75" spans="1:22">
      <c r="A75" s="348" t="s">
        <v>133</v>
      </c>
      <c r="C75" s="102"/>
      <c r="E75" s="102"/>
      <c r="P75" s="339"/>
    </row>
    <row r="76" spans="1:22">
      <c r="A76" s="352" t="s">
        <v>124</v>
      </c>
      <c r="C76" s="102">
        <v>137041.6409444387</v>
      </c>
      <c r="E76" s="102">
        <v>148651</v>
      </c>
      <c r="G76" s="375">
        <v>50</v>
      </c>
      <c r="H76" s="374"/>
      <c r="I76" s="339">
        <f>ROUND($G76*C76,0)</f>
        <v>6852082</v>
      </c>
      <c r="K76" s="339">
        <f>ROUND($G76*E76,0)</f>
        <v>7432550</v>
      </c>
      <c r="M76" s="375">
        <f>M64</f>
        <v>54</v>
      </c>
      <c r="N76" s="374"/>
      <c r="O76" s="339">
        <f>ROUND(M76*$E76,0)</f>
        <v>8027154</v>
      </c>
      <c r="P76" s="339"/>
      <c r="T76" s="356">
        <f t="shared" ref="T76:T79" si="23">M76/G76-1</f>
        <v>8.0000000000000071E-2</v>
      </c>
    </row>
    <row r="77" spans="1:22">
      <c r="A77" s="352" t="s">
        <v>125</v>
      </c>
      <c r="C77" s="102">
        <v>6120594.5136771677</v>
      </c>
      <c r="E77" s="102">
        <f>ROUND(E$85*C77/C$85,0)</f>
        <v>6277989</v>
      </c>
      <c r="G77" s="375">
        <v>16.84</v>
      </c>
      <c r="H77" s="374"/>
      <c r="I77" s="339">
        <f>ROUND($G77*C77,0)</f>
        <v>103070812</v>
      </c>
      <c r="K77" s="339">
        <f>ROUND($G77*E77,0)</f>
        <v>105721335</v>
      </c>
      <c r="M77" s="375">
        <f>M65</f>
        <v>18.059999999999999</v>
      </c>
      <c r="N77" s="374"/>
      <c r="O77" s="339">
        <f>ROUND(M77*$E77,0)</f>
        <v>113380481</v>
      </c>
      <c r="P77" s="339"/>
      <c r="T77" s="356">
        <f t="shared" si="23"/>
        <v>7.2446555819477343E-2</v>
      </c>
    </row>
    <row r="78" spans="1:22">
      <c r="A78" s="352" t="s">
        <v>126</v>
      </c>
      <c r="C78" s="102">
        <v>7443866.0386195444</v>
      </c>
      <c r="E78" s="102">
        <f>ROUND(E$85*C78/C$85,0)</f>
        <v>7635289</v>
      </c>
      <c r="G78" s="375">
        <v>13.52</v>
      </c>
      <c r="H78" s="374"/>
      <c r="I78" s="339">
        <f>ROUND($G78*C78,0)</f>
        <v>100641069</v>
      </c>
      <c r="K78" s="339">
        <f>ROUND($G78*E78,0)</f>
        <v>103229107</v>
      </c>
      <c r="M78" s="375">
        <f>M66</f>
        <v>14.5</v>
      </c>
      <c r="N78" s="374"/>
      <c r="O78" s="339">
        <f>ROUND(M78*$E78,0)</f>
        <v>110711691</v>
      </c>
      <c r="P78" s="339"/>
      <c r="T78" s="356">
        <f t="shared" si="23"/>
        <v>7.2485207100591698E-2</v>
      </c>
    </row>
    <row r="79" spans="1:22">
      <c r="A79" s="352" t="s">
        <v>127</v>
      </c>
      <c r="C79" s="102">
        <v>385524.77022976999</v>
      </c>
      <c r="E79" s="102">
        <f>ROUND(E$85*C79/C$85,0)</f>
        <v>395439</v>
      </c>
      <c r="G79" s="375">
        <v>-0.87</v>
      </c>
      <c r="H79" s="374"/>
      <c r="I79" s="339">
        <f>ROUND($G79*C79,0)</f>
        <v>-335407</v>
      </c>
      <c r="K79" s="339">
        <f>ROUND($G79*E79,0)</f>
        <v>-344032</v>
      </c>
      <c r="M79" s="375">
        <f>M67</f>
        <v>-0.93</v>
      </c>
      <c r="N79" s="374"/>
      <c r="O79" s="339">
        <f>ROUND(M79*$E79,0)</f>
        <v>-367758</v>
      </c>
      <c r="P79" s="339"/>
      <c r="S79" s="384"/>
      <c r="T79" s="356">
        <f t="shared" si="23"/>
        <v>6.8965517241379448E-2</v>
      </c>
    </row>
    <row r="80" spans="1:22">
      <c r="A80" s="352" t="s">
        <v>128</v>
      </c>
      <c r="C80" s="102">
        <f>SUM(C81:C82)</f>
        <v>4904805688.2861624</v>
      </c>
      <c r="E80" s="102">
        <f>SUM(E81:E82)</f>
        <v>5047246257.8172226</v>
      </c>
      <c r="G80" s="397"/>
      <c r="H80" s="363"/>
      <c r="I80" s="339"/>
      <c r="K80" s="339"/>
      <c r="M80" s="397"/>
      <c r="N80" s="363"/>
      <c r="O80" s="339"/>
      <c r="P80" s="376"/>
    </row>
    <row r="81" spans="1:22">
      <c r="A81" s="352" t="s">
        <v>134</v>
      </c>
      <c r="C81" s="102">
        <v>2197838930.2606196</v>
      </c>
      <c r="E81" s="102">
        <f>ROUND(E$85*C81/(C$85-C$84),0)</f>
        <v>2261666419</v>
      </c>
      <c r="G81" s="397">
        <v>3.5438999999999998</v>
      </c>
      <c r="H81" s="363" t="s">
        <v>93</v>
      </c>
      <c r="I81" s="339">
        <f>ROUND($G81*C81/100,0)</f>
        <v>77889214</v>
      </c>
      <c r="K81" s="339">
        <f>ROUND($G81*E81/100,0)</f>
        <v>80151196</v>
      </c>
      <c r="M81" s="397">
        <f>M69</f>
        <v>3.8001999999999998</v>
      </c>
      <c r="N81" s="363" t="s">
        <v>93</v>
      </c>
      <c r="O81" s="339">
        <f>ROUND(M81*$E81/100,0)</f>
        <v>85947847</v>
      </c>
      <c r="P81" s="376"/>
      <c r="T81" s="356">
        <f t="shared" ref="T81:T83" si="24">M81/G81-1</f>
        <v>7.2321453765625376E-2</v>
      </c>
      <c r="U81" s="384"/>
    </row>
    <row r="82" spans="1:22">
      <c r="A82" s="352" t="s">
        <v>135</v>
      </c>
      <c r="C82" s="102">
        <v>2706966758.0255427</v>
      </c>
      <c r="E82" s="102">
        <f>E85-E81</f>
        <v>2785579838.8172226</v>
      </c>
      <c r="G82" s="397">
        <v>3.2658999999999998</v>
      </c>
      <c r="H82" s="363" t="s">
        <v>93</v>
      </c>
      <c r="I82" s="339">
        <f>ROUND($G82*C82/100,0)</f>
        <v>88406827</v>
      </c>
      <c r="K82" s="339">
        <f>ROUND($G82*E82/100,0)</f>
        <v>90974252</v>
      </c>
      <c r="M82" s="397">
        <f>M70</f>
        <v>3.5009999999999999</v>
      </c>
      <c r="N82" s="363" t="s">
        <v>93</v>
      </c>
      <c r="O82" s="339">
        <f>ROUND(M82*$E82/100,0)</f>
        <v>97523150</v>
      </c>
      <c r="P82" s="376"/>
      <c r="Q82" s="99"/>
      <c r="T82" s="356">
        <f t="shared" si="24"/>
        <v>7.1986282494871379E-2</v>
      </c>
    </row>
    <row r="83" spans="1:22">
      <c r="A83" s="352" t="s">
        <v>131</v>
      </c>
      <c r="C83" s="357">
        <v>0</v>
      </c>
      <c r="E83" s="102">
        <f>ROUND(C83*E76/C76,0)</f>
        <v>0</v>
      </c>
      <c r="G83" s="375">
        <v>600</v>
      </c>
      <c r="H83" s="374"/>
      <c r="I83" s="339">
        <f>ROUND($G83*C83,0)</f>
        <v>0</v>
      </c>
      <c r="K83" s="339">
        <f>ROUND($G83*E83,0)</f>
        <v>0</v>
      </c>
      <c r="M83" s="375">
        <f>M71</f>
        <v>648</v>
      </c>
      <c r="N83" s="374"/>
      <c r="O83" s="339">
        <f>ROUND(M83*$E83,0)</f>
        <v>0</v>
      </c>
      <c r="P83" s="376"/>
      <c r="T83" s="356">
        <f t="shared" si="24"/>
        <v>8.0000000000000071E-2</v>
      </c>
      <c r="V83" s="384"/>
    </row>
    <row r="84" spans="1:22">
      <c r="A84" s="352" t="s">
        <v>112</v>
      </c>
      <c r="C84" s="103">
        <v>15901953</v>
      </c>
      <c r="E84" s="103">
        <v>0</v>
      </c>
      <c r="I84" s="383">
        <v>527357.09</v>
      </c>
      <c r="K84" s="383">
        <v>0</v>
      </c>
      <c r="O84" s="383">
        <v>0</v>
      </c>
    </row>
    <row r="85" spans="1:22" ht="16.5" thickBot="1">
      <c r="A85" s="352" t="s">
        <v>113</v>
      </c>
      <c r="C85" s="400">
        <f>SUM(C81:C82,C84)</f>
        <v>4920707641.2861624</v>
      </c>
      <c r="E85" s="400">
        <v>5047246257.8172226</v>
      </c>
      <c r="G85" s="393"/>
      <c r="I85" s="394">
        <f>SUM(I76:I84)</f>
        <v>377051954.08999997</v>
      </c>
      <c r="K85" s="394">
        <f>SUM(K76:K84)</f>
        <v>387164408</v>
      </c>
      <c r="M85" s="393"/>
      <c r="O85" s="394">
        <f>SUM(O76:O84)</f>
        <v>415222565</v>
      </c>
      <c r="Q85" s="332" t="s">
        <v>94</v>
      </c>
      <c r="R85" s="390">
        <f>O85/K85-1</f>
        <v>7.2470910084276197E-2</v>
      </c>
    </row>
    <row r="86" spans="1:22" ht="16.5" thickTop="1">
      <c r="P86" s="339"/>
    </row>
    <row r="87" spans="1:22">
      <c r="A87" s="348" t="s">
        <v>136</v>
      </c>
      <c r="C87" s="102"/>
      <c r="E87" s="102"/>
      <c r="P87" s="339"/>
    </row>
    <row r="88" spans="1:22">
      <c r="A88" s="352" t="s">
        <v>124</v>
      </c>
      <c r="C88" s="102">
        <v>14320.551925925864</v>
      </c>
      <c r="E88" s="102">
        <v>13060</v>
      </c>
      <c r="G88" s="375">
        <v>50</v>
      </c>
      <c r="H88" s="374"/>
      <c r="I88" s="339">
        <f>ROUND($G88*C88,0)</f>
        <v>716028</v>
      </c>
      <c r="K88" s="339">
        <f>ROUND($G88*E88,0)</f>
        <v>653000</v>
      </c>
      <c r="M88" s="375">
        <f>M64</f>
        <v>54</v>
      </c>
      <c r="N88" s="374"/>
      <c r="O88" s="339">
        <f>ROUND(M88*$E88,0)</f>
        <v>705240</v>
      </c>
      <c r="P88" s="339"/>
      <c r="T88" s="356">
        <f t="shared" ref="T88:T91" si="25">M88/G88-1</f>
        <v>8.0000000000000071E-2</v>
      </c>
    </row>
    <row r="89" spans="1:22">
      <c r="A89" s="352" t="s">
        <v>125</v>
      </c>
      <c r="C89" s="102">
        <v>976456.85507376934</v>
      </c>
      <c r="E89" s="102">
        <f>ROUND(C89/C$97*E$97,0)</f>
        <v>955147</v>
      </c>
      <c r="G89" s="375">
        <v>16.84</v>
      </c>
      <c r="H89" s="374"/>
      <c r="I89" s="339">
        <f>ROUND($G89*C89,0)</f>
        <v>16443533</v>
      </c>
      <c r="K89" s="339">
        <f>ROUND($G89*E89,0)</f>
        <v>16084675</v>
      </c>
      <c r="M89" s="375">
        <f>M65</f>
        <v>18.059999999999999</v>
      </c>
      <c r="N89" s="374"/>
      <c r="O89" s="339">
        <f>ROUND(M89*$E89,0)</f>
        <v>17249955</v>
      </c>
      <c r="P89" s="339"/>
      <c r="T89" s="356">
        <f t="shared" si="25"/>
        <v>7.2446555819477343E-2</v>
      </c>
    </row>
    <row r="90" spans="1:22">
      <c r="A90" s="352" t="s">
        <v>126</v>
      </c>
      <c r="C90" s="102">
        <v>1211421.1963845515</v>
      </c>
      <c r="E90" s="102">
        <f>ROUND(C90/C$97*E$97,0)</f>
        <v>1184983</v>
      </c>
      <c r="G90" s="375">
        <v>13.52</v>
      </c>
      <c r="H90" s="374"/>
      <c r="I90" s="339">
        <f>ROUND($G90*C90,0)</f>
        <v>16378415</v>
      </c>
      <c r="K90" s="339">
        <f>ROUND($G90*E90,0)</f>
        <v>16020970</v>
      </c>
      <c r="M90" s="375">
        <f>M66</f>
        <v>14.5</v>
      </c>
      <c r="N90" s="374"/>
      <c r="O90" s="339">
        <f>ROUND(M90*$E90,0)</f>
        <v>17182254</v>
      </c>
      <c r="P90" s="339"/>
      <c r="T90" s="356">
        <f t="shared" si="25"/>
        <v>7.2485207100591698E-2</v>
      </c>
    </row>
    <row r="91" spans="1:22">
      <c r="A91" s="352" t="s">
        <v>127</v>
      </c>
      <c r="C91" s="102">
        <v>219190.32267732301</v>
      </c>
      <c r="E91" s="102">
        <f>ROUND(C91/C$97*E$97,0)</f>
        <v>214407</v>
      </c>
      <c r="G91" s="375">
        <v>-0.87</v>
      </c>
      <c r="H91" s="374"/>
      <c r="I91" s="339">
        <f>ROUND($G91*C91,0)</f>
        <v>-190696</v>
      </c>
      <c r="K91" s="339">
        <f>ROUND($G91*E91,0)</f>
        <v>-186534</v>
      </c>
      <c r="M91" s="375">
        <f>M67</f>
        <v>-0.93</v>
      </c>
      <c r="N91" s="374"/>
      <c r="O91" s="339">
        <f>ROUND(M91*$E91,0)</f>
        <v>-199399</v>
      </c>
      <c r="P91" s="376"/>
      <c r="S91" s="384"/>
      <c r="T91" s="356">
        <f t="shared" si="25"/>
        <v>6.8965517241379448E-2</v>
      </c>
    </row>
    <row r="92" spans="1:22">
      <c r="A92" s="352" t="s">
        <v>128</v>
      </c>
      <c r="C92" s="102">
        <f>SUM(C93:C94)</f>
        <v>708615916.93750072</v>
      </c>
      <c r="E92" s="102">
        <f>E97</f>
        <v>696840193</v>
      </c>
      <c r="G92" s="397"/>
      <c r="H92" s="363"/>
      <c r="I92" s="339"/>
      <c r="K92" s="339"/>
      <c r="M92" s="397"/>
      <c r="N92" s="363"/>
      <c r="O92" s="339"/>
      <c r="P92" s="376"/>
    </row>
    <row r="93" spans="1:22">
      <c r="A93" s="352" t="s">
        <v>134</v>
      </c>
      <c r="C93" s="102">
        <v>327041327.92197752</v>
      </c>
      <c r="E93" s="102">
        <f>ROUND(C93/(C$97-C$96)*E$97,0)</f>
        <v>321606581</v>
      </c>
      <c r="G93" s="397">
        <v>3.5438999999999998</v>
      </c>
      <c r="H93" s="363" t="s">
        <v>93</v>
      </c>
      <c r="I93" s="339">
        <f>ROUND($G93*C93/100,0)</f>
        <v>11590018</v>
      </c>
      <c r="K93" s="339">
        <f>ROUND($G93*E93/100,0)</f>
        <v>11397416</v>
      </c>
      <c r="M93" s="397">
        <f>M69</f>
        <v>3.8001999999999998</v>
      </c>
      <c r="N93" s="363" t="s">
        <v>93</v>
      </c>
      <c r="O93" s="339">
        <f>ROUND(M93*$E93/100,0)</f>
        <v>12221693</v>
      </c>
      <c r="P93" s="376"/>
      <c r="R93" s="396"/>
      <c r="T93" s="356">
        <f t="shared" ref="T93:T95" si="26">M93/G93-1</f>
        <v>7.2321453765625376E-2</v>
      </c>
      <c r="U93" s="384"/>
    </row>
    <row r="94" spans="1:22">
      <c r="A94" s="352" t="s">
        <v>135</v>
      </c>
      <c r="C94" s="102">
        <v>381574589.0155232</v>
      </c>
      <c r="E94" s="102">
        <f>E92-E93</f>
        <v>375233612</v>
      </c>
      <c r="G94" s="397">
        <v>3.2658999999999998</v>
      </c>
      <c r="H94" s="363" t="s">
        <v>93</v>
      </c>
      <c r="I94" s="339">
        <f>ROUND($G94*C94/100,0)</f>
        <v>12461845</v>
      </c>
      <c r="K94" s="339">
        <f>ROUND($G94*E94/100,0)</f>
        <v>12254755</v>
      </c>
      <c r="M94" s="397">
        <f>M70</f>
        <v>3.5009999999999999</v>
      </c>
      <c r="N94" s="363" t="s">
        <v>93</v>
      </c>
      <c r="O94" s="339">
        <f>ROUND(M94*$E94/100,0)</f>
        <v>13136929</v>
      </c>
      <c r="P94" s="376"/>
      <c r="R94" s="396"/>
      <c r="T94" s="356">
        <f t="shared" si="26"/>
        <v>7.1986282494871379E-2</v>
      </c>
    </row>
    <row r="95" spans="1:22">
      <c r="A95" s="352" t="s">
        <v>131</v>
      </c>
      <c r="C95" s="357">
        <v>0</v>
      </c>
      <c r="E95" s="102">
        <f>ROUND(C95*E88/C88,0)</f>
        <v>0</v>
      </c>
      <c r="G95" s="375">
        <v>600</v>
      </c>
      <c r="H95" s="374"/>
      <c r="I95" s="339">
        <f>ROUND($G95*C95,0)</f>
        <v>0</v>
      </c>
      <c r="K95" s="339">
        <f>ROUND($G95*E95,0)</f>
        <v>0</v>
      </c>
      <c r="M95" s="375">
        <f>M83</f>
        <v>648</v>
      </c>
      <c r="N95" s="374"/>
      <c r="O95" s="339">
        <f>ROUND(M95*$E95,0)</f>
        <v>0</v>
      </c>
      <c r="P95" s="376"/>
      <c r="T95" s="356">
        <f t="shared" si="26"/>
        <v>8.0000000000000071E-2</v>
      </c>
      <c r="V95" s="384"/>
    </row>
    <row r="96" spans="1:22">
      <c r="A96" s="352" t="s">
        <v>112</v>
      </c>
      <c r="C96" s="103">
        <v>3771233</v>
      </c>
      <c r="E96" s="103">
        <v>0</v>
      </c>
      <c r="I96" s="383">
        <v>137818.90000000037</v>
      </c>
      <c r="K96" s="383">
        <v>0</v>
      </c>
      <c r="O96" s="383">
        <v>0</v>
      </c>
    </row>
    <row r="97" spans="1:22" ht="16.5" thickBot="1">
      <c r="A97" s="352" t="s">
        <v>113</v>
      </c>
      <c r="C97" s="400">
        <f>C92+C96</f>
        <v>712387149.93750072</v>
      </c>
      <c r="E97" s="400">
        <v>696840193</v>
      </c>
      <c r="G97" s="393"/>
      <c r="I97" s="394">
        <f>SUM(I88:I96)</f>
        <v>57536961.899999999</v>
      </c>
      <c r="K97" s="394">
        <f>SUM(K88:K96)</f>
        <v>56224282</v>
      </c>
      <c r="M97" s="393"/>
      <c r="O97" s="394">
        <f>SUM(O88:O96)</f>
        <v>60296672</v>
      </c>
      <c r="Q97" s="332" t="s">
        <v>94</v>
      </c>
      <c r="R97" s="390">
        <f>O97/K97-1</f>
        <v>7.2431160614910173E-2</v>
      </c>
    </row>
    <row r="98" spans="1:22" ht="16.5" thickTop="1">
      <c r="C98" s="102"/>
      <c r="E98" s="102"/>
      <c r="P98" s="339"/>
    </row>
    <row r="99" spans="1:22">
      <c r="A99" s="348" t="s">
        <v>137</v>
      </c>
      <c r="C99" s="102"/>
      <c r="E99" s="102"/>
      <c r="P99" s="339"/>
    </row>
    <row r="100" spans="1:22">
      <c r="A100" s="352" t="s">
        <v>124</v>
      </c>
      <c r="C100" s="102">
        <v>48.000148148148099</v>
      </c>
      <c r="E100" s="102">
        <v>48</v>
      </c>
      <c r="G100" s="375">
        <v>50</v>
      </c>
      <c r="H100" s="374"/>
      <c r="I100" s="339">
        <f>ROUND($G100*C100,0)</f>
        <v>2400</v>
      </c>
      <c r="K100" s="339">
        <f>ROUND($G100*E100,0)</f>
        <v>2400</v>
      </c>
      <c r="M100" s="375">
        <f>M64</f>
        <v>54</v>
      </c>
      <c r="N100" s="374"/>
      <c r="O100" s="339">
        <f>ROUND(M100*$E100,0)</f>
        <v>2592</v>
      </c>
      <c r="P100" s="339"/>
      <c r="T100" s="356">
        <f t="shared" ref="T100:T103" si="27">M100/G100-1</f>
        <v>8.0000000000000071E-2</v>
      </c>
    </row>
    <row r="101" spans="1:22">
      <c r="A101" s="352" t="s">
        <v>125</v>
      </c>
      <c r="C101" s="102">
        <v>2918.5975811778299</v>
      </c>
      <c r="E101" s="102">
        <f>ROUND(C101/C$109*E$109,0)</f>
        <v>2930</v>
      </c>
      <c r="G101" s="375">
        <v>16.84</v>
      </c>
      <c r="H101" s="374"/>
      <c r="I101" s="339">
        <f>ROUND($G101*C101,0)</f>
        <v>49149</v>
      </c>
      <c r="K101" s="339">
        <f>ROUND($G101*E101,0)</f>
        <v>49341</v>
      </c>
      <c r="M101" s="375">
        <f>M65</f>
        <v>18.059999999999999</v>
      </c>
      <c r="N101" s="374"/>
      <c r="O101" s="339">
        <f>ROUND(M101*$E101,0)</f>
        <v>52916</v>
      </c>
      <c r="P101" s="339"/>
      <c r="T101" s="356">
        <f t="shared" si="27"/>
        <v>7.2446555819477343E-2</v>
      </c>
    </row>
    <row r="102" spans="1:22">
      <c r="A102" s="352" t="s">
        <v>126</v>
      </c>
      <c r="C102" s="102">
        <v>3616.4018077239102</v>
      </c>
      <c r="E102" s="102">
        <f>ROUND(C102/C$109*E$109,0)</f>
        <v>3631</v>
      </c>
      <c r="G102" s="375">
        <v>13.52</v>
      </c>
      <c r="H102" s="374"/>
      <c r="I102" s="339">
        <f>ROUND($G102*C102,0)</f>
        <v>48894</v>
      </c>
      <c r="K102" s="339">
        <f>ROUND($G102*E102,0)</f>
        <v>49091</v>
      </c>
      <c r="M102" s="375">
        <f>M66</f>
        <v>14.5</v>
      </c>
      <c r="N102" s="374"/>
      <c r="O102" s="339">
        <f>ROUND(M102*$E102,0)</f>
        <v>52650</v>
      </c>
      <c r="P102" s="339"/>
      <c r="T102" s="356">
        <f t="shared" si="27"/>
        <v>7.2485207100591698E-2</v>
      </c>
    </row>
    <row r="103" spans="1:22">
      <c r="A103" s="352" t="s">
        <v>127</v>
      </c>
      <c r="C103" s="102">
        <v>2929</v>
      </c>
      <c r="E103" s="102">
        <f>ROUND(C103/C$109*E$109,0)</f>
        <v>2941</v>
      </c>
      <c r="G103" s="375">
        <v>-0.87</v>
      </c>
      <c r="H103" s="374"/>
      <c r="I103" s="339">
        <f>ROUND($G103*C103,0)</f>
        <v>-2548</v>
      </c>
      <c r="K103" s="339">
        <f>ROUND($G103*E103,0)</f>
        <v>-2559</v>
      </c>
      <c r="M103" s="375">
        <f>M67</f>
        <v>-0.93</v>
      </c>
      <c r="N103" s="374"/>
      <c r="O103" s="339">
        <f>ROUND(M103*$E103,0)</f>
        <v>-2735</v>
      </c>
      <c r="P103" s="376"/>
      <c r="S103" s="384"/>
      <c r="T103" s="356">
        <f t="shared" si="27"/>
        <v>6.8965517241379448E-2</v>
      </c>
    </row>
    <row r="104" spans="1:22">
      <c r="A104" s="352" t="s">
        <v>128</v>
      </c>
      <c r="C104" s="102">
        <f>SUM(C105:C106)</f>
        <v>2349979</v>
      </c>
      <c r="E104" s="102">
        <f>E109</f>
        <v>2347828</v>
      </c>
      <c r="G104" s="397"/>
      <c r="H104" s="363"/>
      <c r="I104" s="339"/>
      <c r="K104" s="339"/>
      <c r="M104" s="397"/>
      <c r="N104" s="363"/>
      <c r="O104" s="339"/>
      <c r="P104" s="376"/>
    </row>
    <row r="105" spans="1:22">
      <c r="A105" s="352" t="s">
        <v>134</v>
      </c>
      <c r="C105" s="102">
        <v>998051</v>
      </c>
      <c r="E105" s="102">
        <f>ROUND(C105/(C$109-C$108)*E$109,0)</f>
        <v>997137</v>
      </c>
      <c r="G105" s="397">
        <v>3.5438999999999998</v>
      </c>
      <c r="H105" s="363" t="s">
        <v>93</v>
      </c>
      <c r="I105" s="339">
        <f>ROUND($G105*C105/100,0)</f>
        <v>35370</v>
      </c>
      <c r="K105" s="339">
        <f>ROUND($G105*E105/100,0)</f>
        <v>35338</v>
      </c>
      <c r="M105" s="397">
        <f>M69</f>
        <v>3.8001999999999998</v>
      </c>
      <c r="N105" s="363" t="s">
        <v>93</v>
      </c>
      <c r="O105" s="339">
        <f>ROUND(M105*$E105/100,0)</f>
        <v>37893</v>
      </c>
      <c r="P105" s="376"/>
      <c r="R105" s="396"/>
      <c r="T105" s="356">
        <f t="shared" ref="T105:T107" si="28">M105/G105-1</f>
        <v>7.2321453765625376E-2</v>
      </c>
      <c r="U105" s="384"/>
    </row>
    <row r="106" spans="1:22">
      <c r="A106" s="352" t="s">
        <v>135</v>
      </c>
      <c r="C106" s="102">
        <v>1351928</v>
      </c>
      <c r="E106" s="102">
        <f>E104-E105</f>
        <v>1350691</v>
      </c>
      <c r="G106" s="397">
        <v>3.2658999999999998</v>
      </c>
      <c r="H106" s="363" t="s">
        <v>93</v>
      </c>
      <c r="I106" s="339">
        <f>ROUND($G106*C106/100,0)</f>
        <v>44153</v>
      </c>
      <c r="K106" s="339">
        <f>ROUND($G106*E106/100,0)</f>
        <v>44112</v>
      </c>
      <c r="M106" s="397">
        <f>M70</f>
        <v>3.5009999999999999</v>
      </c>
      <c r="N106" s="363" t="s">
        <v>93</v>
      </c>
      <c r="O106" s="339">
        <f>ROUND(M106*$E106/100,0)</f>
        <v>47288</v>
      </c>
      <c r="P106" s="376"/>
      <c r="R106" s="396"/>
      <c r="S106" s="395"/>
      <c r="T106" s="356">
        <f t="shared" si="28"/>
        <v>7.1986282494871379E-2</v>
      </c>
    </row>
    <row r="107" spans="1:22">
      <c r="A107" s="352" t="s">
        <v>131</v>
      </c>
      <c r="C107" s="357">
        <v>0</v>
      </c>
      <c r="E107" s="102">
        <f>ROUND(C107*E100/C100,0)</f>
        <v>0</v>
      </c>
      <c r="G107" s="375">
        <v>600</v>
      </c>
      <c r="H107" s="374"/>
      <c r="I107" s="339">
        <f>ROUND($G107*C107,0)</f>
        <v>0</v>
      </c>
      <c r="K107" s="339">
        <f>ROUND($G107*E107,0)</f>
        <v>0</v>
      </c>
      <c r="M107" s="375">
        <f>M83</f>
        <v>648</v>
      </c>
      <c r="N107" s="374"/>
      <c r="O107" s="339">
        <f>ROUND(M107*$E107,0)</f>
        <v>0</v>
      </c>
      <c r="P107" s="376"/>
      <c r="S107" s="395"/>
      <c r="T107" s="356">
        <f t="shared" si="28"/>
        <v>8.0000000000000071E-2</v>
      </c>
      <c r="V107" s="384"/>
    </row>
    <row r="108" spans="1:22">
      <c r="A108" s="352" t="s">
        <v>112</v>
      </c>
      <c r="C108" s="103">
        <v>-11454</v>
      </c>
      <c r="E108" s="103">
        <v>0</v>
      </c>
      <c r="I108" s="383">
        <v>-492</v>
      </c>
      <c r="K108" s="383">
        <v>0</v>
      </c>
      <c r="O108" s="383">
        <v>0</v>
      </c>
      <c r="S108" s="395"/>
      <c r="T108" s="395"/>
      <c r="U108" s="339"/>
    </row>
    <row r="109" spans="1:22" ht="16.5" thickBot="1">
      <c r="A109" s="352" t="s">
        <v>113</v>
      </c>
      <c r="C109" s="400">
        <f>C104+C108</f>
        <v>2338525</v>
      </c>
      <c r="E109" s="400">
        <v>2347828</v>
      </c>
      <c r="G109" s="393"/>
      <c r="I109" s="394">
        <f>SUM(I100:I108)</f>
        <v>176926</v>
      </c>
      <c r="K109" s="394">
        <f>SUM(K100:K108)</f>
        <v>177723</v>
      </c>
      <c r="M109" s="393"/>
      <c r="O109" s="394">
        <f>SUM(O100:O108)</f>
        <v>190604</v>
      </c>
      <c r="Q109" s="332" t="s">
        <v>94</v>
      </c>
      <c r="R109" s="390">
        <f>O109/K109-1</f>
        <v>7.2477957270584037E-2</v>
      </c>
      <c r="S109" s="395"/>
      <c r="T109" s="395"/>
      <c r="U109" s="339"/>
    </row>
    <row r="110" spans="1:22" ht="16.5" thickTop="1">
      <c r="P110" s="339"/>
      <c r="S110" s="395"/>
      <c r="T110" s="395"/>
      <c r="U110" s="339"/>
      <c r="V110" s="102"/>
    </row>
    <row r="111" spans="1:22">
      <c r="A111" s="348" t="s">
        <v>138</v>
      </c>
      <c r="C111" s="102"/>
      <c r="D111" s="374"/>
      <c r="E111" s="102"/>
      <c r="F111" s="374"/>
      <c r="J111" s="374"/>
      <c r="L111" s="374"/>
      <c r="P111" s="339"/>
    </row>
    <row r="112" spans="1:22">
      <c r="A112" s="352" t="s">
        <v>124</v>
      </c>
      <c r="C112" s="102">
        <f>C124+C136</f>
        <v>349.09844444444428</v>
      </c>
      <c r="E112" s="102">
        <f>E124+E136</f>
        <v>384</v>
      </c>
      <c r="G112" s="99">
        <v>50</v>
      </c>
      <c r="H112" s="353"/>
      <c r="I112" s="339">
        <f>ROUND($G112*C112,0)</f>
        <v>17455</v>
      </c>
      <c r="K112" s="339">
        <f>ROUND($G112*E112,0)</f>
        <v>19200</v>
      </c>
      <c r="M112" s="99">
        <f>M76</f>
        <v>54</v>
      </c>
      <c r="N112" s="353"/>
      <c r="O112" s="339">
        <f>ROUND(M112*$E112,0)</f>
        <v>20736</v>
      </c>
      <c r="P112" s="339"/>
      <c r="T112" s="356">
        <f t="shared" ref="T112:T115" si="29">M112/G112-1</f>
        <v>8.0000000000000071E-2</v>
      </c>
    </row>
    <row r="113" spans="1:22">
      <c r="A113" s="352" t="s">
        <v>139</v>
      </c>
      <c r="C113" s="102">
        <f t="shared" ref="C113:E120" si="30">C125+C137</f>
        <v>22359.796448767789</v>
      </c>
      <c r="E113" s="102">
        <f t="shared" si="30"/>
        <v>28701</v>
      </c>
      <c r="G113" s="99">
        <v>16.84</v>
      </c>
      <c r="H113" s="353"/>
      <c r="I113" s="339">
        <f>ROUND($G113*C113,0)</f>
        <v>376539</v>
      </c>
      <c r="K113" s="339">
        <f>ROUND($G113*E113,0)</f>
        <v>483325</v>
      </c>
      <c r="M113" s="99">
        <f t="shared" ref="M113:M115" si="31">M77</f>
        <v>18.059999999999999</v>
      </c>
      <c r="N113" s="353"/>
      <c r="O113" s="339">
        <f>ROUND(M113*$E113,0)</f>
        <v>518340</v>
      </c>
      <c r="P113" s="339"/>
      <c r="T113" s="356">
        <f>M113/G113-1</f>
        <v>7.2446555819477343E-2</v>
      </c>
    </row>
    <row r="114" spans="1:22">
      <c r="A114" s="352" t="s">
        <v>140</v>
      </c>
      <c r="C114" s="102">
        <f t="shared" si="30"/>
        <v>25472.966310599801</v>
      </c>
      <c r="E114" s="102">
        <f t="shared" si="30"/>
        <v>32100</v>
      </c>
      <c r="G114" s="99">
        <v>13.52</v>
      </c>
      <c r="H114" s="353"/>
      <c r="I114" s="339">
        <f>ROUND($G114*C114,0)</f>
        <v>344395</v>
      </c>
      <c r="K114" s="339">
        <f>ROUND($G114*E114,0)</f>
        <v>433992</v>
      </c>
      <c r="M114" s="99">
        <f t="shared" si="31"/>
        <v>14.5</v>
      </c>
      <c r="N114" s="353"/>
      <c r="O114" s="339">
        <f>ROUND(M114*$E114,0)</f>
        <v>465450</v>
      </c>
      <c r="P114" s="339"/>
      <c r="T114" s="356">
        <f t="shared" si="29"/>
        <v>7.2485207100591698E-2</v>
      </c>
    </row>
    <row r="115" spans="1:22">
      <c r="A115" s="352" t="s">
        <v>127</v>
      </c>
      <c r="C115" s="102">
        <f t="shared" si="30"/>
        <v>0</v>
      </c>
      <c r="E115" s="102">
        <f t="shared" si="30"/>
        <v>0</v>
      </c>
      <c r="G115" s="99">
        <v>-0.87</v>
      </c>
      <c r="H115" s="353"/>
      <c r="I115" s="339">
        <f>ROUND($G115*C115,0)</f>
        <v>0</v>
      </c>
      <c r="K115" s="339">
        <f>ROUND($G115*E115,0)</f>
        <v>0</v>
      </c>
      <c r="M115" s="99">
        <f t="shared" si="31"/>
        <v>-0.93</v>
      </c>
      <c r="N115" s="353"/>
      <c r="O115" s="339">
        <f>ROUND(M115*$E115,0)</f>
        <v>0</v>
      </c>
      <c r="P115" s="339"/>
      <c r="R115" s="396"/>
      <c r="S115" s="384"/>
      <c r="T115" s="356">
        <f t="shared" si="29"/>
        <v>6.8965517241379448E-2</v>
      </c>
    </row>
    <row r="116" spans="1:22">
      <c r="A116" s="352" t="s">
        <v>128</v>
      </c>
      <c r="C116" s="102">
        <f t="shared" si="30"/>
        <v>16559437.215690367</v>
      </c>
      <c r="E116" s="102">
        <f t="shared" si="30"/>
        <v>21133170</v>
      </c>
      <c r="G116" s="397"/>
      <c r="H116" s="363"/>
      <c r="I116" s="339"/>
      <c r="K116" s="339"/>
      <c r="M116" s="397"/>
      <c r="N116" s="363"/>
      <c r="O116" s="339"/>
      <c r="P116" s="376"/>
      <c r="R116" s="396"/>
    </row>
    <row r="117" spans="1:22">
      <c r="A117" s="352" t="s">
        <v>134</v>
      </c>
      <c r="C117" s="102">
        <f t="shared" si="30"/>
        <v>8567386.0243379921</v>
      </c>
      <c r="E117" s="102">
        <f t="shared" si="30"/>
        <v>11014981</v>
      </c>
      <c r="G117" s="397">
        <v>3.5438999999999998</v>
      </c>
      <c r="H117" s="363" t="s">
        <v>93</v>
      </c>
      <c r="I117" s="339">
        <f>ROUND($G117*C117/100,0)</f>
        <v>303620</v>
      </c>
      <c r="K117" s="339">
        <f>ROUND($G117*E117/100,0)</f>
        <v>390360</v>
      </c>
      <c r="M117" s="397">
        <f t="shared" ref="M117:M119" si="32">M81</f>
        <v>3.8001999999999998</v>
      </c>
      <c r="N117" s="363" t="s">
        <v>93</v>
      </c>
      <c r="O117" s="339">
        <f>ROUND(M117*$E117/100,0)</f>
        <v>418591</v>
      </c>
      <c r="P117" s="376"/>
      <c r="T117" s="356">
        <f t="shared" ref="T117:T119" si="33">M117/G117-1</f>
        <v>7.2321453765625376E-2</v>
      </c>
      <c r="U117" s="384"/>
    </row>
    <row r="118" spans="1:22">
      <c r="A118" s="352" t="s">
        <v>135</v>
      </c>
      <c r="C118" s="102">
        <f t="shared" si="30"/>
        <v>7992051.1913523739</v>
      </c>
      <c r="E118" s="102">
        <f t="shared" si="30"/>
        <v>10118189</v>
      </c>
      <c r="G118" s="397">
        <v>3.2658999999999998</v>
      </c>
      <c r="H118" s="363" t="s">
        <v>93</v>
      </c>
      <c r="I118" s="339">
        <f>ROUND($G118*C118/100,0)</f>
        <v>261012</v>
      </c>
      <c r="K118" s="339">
        <f>ROUND($G118*E118/100,0)</f>
        <v>330450</v>
      </c>
      <c r="M118" s="397">
        <f t="shared" si="32"/>
        <v>3.5009999999999999</v>
      </c>
      <c r="N118" s="363" t="s">
        <v>93</v>
      </c>
      <c r="O118" s="339">
        <f>ROUND(M118*$E118/100,0)</f>
        <v>354238</v>
      </c>
      <c r="P118" s="376"/>
      <c r="T118" s="356">
        <f t="shared" si="33"/>
        <v>7.1986282494871379E-2</v>
      </c>
    </row>
    <row r="119" spans="1:22">
      <c r="A119" s="352" t="s">
        <v>131</v>
      </c>
      <c r="C119" s="102">
        <f t="shared" si="30"/>
        <v>0</v>
      </c>
      <c r="D119" s="374"/>
      <c r="E119" s="102">
        <f t="shared" si="30"/>
        <v>0</v>
      </c>
      <c r="F119" s="374"/>
      <c r="G119" s="99">
        <v>600</v>
      </c>
      <c r="H119" s="353"/>
      <c r="I119" s="339">
        <f>ROUND($G119*C119,0)</f>
        <v>0</v>
      </c>
      <c r="J119" s="374"/>
      <c r="K119" s="339">
        <f>ROUND($G119*E119,0)</f>
        <v>0</v>
      </c>
      <c r="L119" s="374"/>
      <c r="M119" s="99">
        <f t="shared" si="32"/>
        <v>648</v>
      </c>
      <c r="N119" s="353"/>
      <c r="O119" s="339">
        <f>ROUND(M119*$E119,0)</f>
        <v>0</v>
      </c>
      <c r="P119" s="376"/>
      <c r="Q119" s="332" t="s">
        <v>94</v>
      </c>
      <c r="R119" s="390">
        <f>O121/K121-1</f>
        <v>7.2422642001246595E-2</v>
      </c>
      <c r="T119" s="356">
        <f t="shared" si="33"/>
        <v>8.0000000000000071E-2</v>
      </c>
      <c r="V119" s="384"/>
    </row>
    <row r="120" spans="1:22">
      <c r="A120" s="352" t="s">
        <v>112</v>
      </c>
      <c r="C120" s="103">
        <f t="shared" si="30"/>
        <v>69596</v>
      </c>
      <c r="E120" s="103">
        <f t="shared" si="30"/>
        <v>0</v>
      </c>
      <c r="I120" s="383">
        <f t="shared" ref="I120" si="34">I132+I144</f>
        <v>2414</v>
      </c>
      <c r="K120" s="383">
        <v>0</v>
      </c>
      <c r="O120" s="383">
        <v>0</v>
      </c>
      <c r="Q120" s="332" t="s">
        <v>115</v>
      </c>
      <c r="R120" s="402">
        <f>(O121)/(K121)-1</f>
        <v>7.2422642001246595E-2</v>
      </c>
    </row>
    <row r="121" spans="1:22" ht="16.5" thickBot="1">
      <c r="A121" s="352" t="s">
        <v>113</v>
      </c>
      <c r="C121" s="400">
        <f>C116+C120</f>
        <v>16629033.215690367</v>
      </c>
      <c r="E121" s="400">
        <f>E116+E120</f>
        <v>21133170</v>
      </c>
      <c r="G121" s="393"/>
      <c r="I121" s="394">
        <f>SUM(I112:I120)</f>
        <v>1305435</v>
      </c>
      <c r="K121" s="394">
        <f>SUM(K112:K120)</f>
        <v>1657327</v>
      </c>
      <c r="M121" s="393"/>
      <c r="O121" s="394">
        <f>SUM(O112:O120)</f>
        <v>1777355</v>
      </c>
      <c r="R121" s="384"/>
    </row>
    <row r="122" spans="1:22" ht="16.5" thickTop="1">
      <c r="C122" s="102"/>
      <c r="E122" s="102"/>
      <c r="P122" s="339"/>
    </row>
    <row r="123" spans="1:22">
      <c r="A123" s="348" t="s">
        <v>141</v>
      </c>
      <c r="C123" s="102"/>
      <c r="D123" s="374"/>
      <c r="E123" s="102"/>
      <c r="F123" s="374"/>
      <c r="J123" s="374"/>
      <c r="L123" s="374"/>
      <c r="P123" s="339"/>
    </row>
    <row r="124" spans="1:22">
      <c r="A124" s="352" t="s">
        <v>124</v>
      </c>
      <c r="C124" s="102">
        <v>253.099111111111</v>
      </c>
      <c r="E124" s="102">
        <v>288</v>
      </c>
      <c r="G124" s="99">
        <v>50</v>
      </c>
      <c r="H124" s="353"/>
      <c r="I124" s="339">
        <f>ROUND($G124*C124,0)</f>
        <v>12655</v>
      </c>
      <c r="K124" s="339">
        <f>ROUND($G124*E124,0)</f>
        <v>14400</v>
      </c>
      <c r="M124" s="99">
        <f>M64</f>
        <v>54</v>
      </c>
      <c r="N124" s="353"/>
      <c r="O124" s="339">
        <f>ROUND(M124*$E124,0)</f>
        <v>15552</v>
      </c>
      <c r="P124" s="339"/>
      <c r="T124" s="356">
        <f t="shared" ref="T124:T127" si="35">M124/G124-1</f>
        <v>8.0000000000000071E-2</v>
      </c>
    </row>
    <row r="125" spans="1:22">
      <c r="A125" s="352" t="s">
        <v>139</v>
      </c>
      <c r="C125" s="102">
        <v>12908.3245303112</v>
      </c>
      <c r="E125" s="102">
        <f>ROUND(C125*$E$133/$C$133,0)</f>
        <v>19643</v>
      </c>
      <c r="G125" s="99">
        <v>16.84</v>
      </c>
      <c r="H125" s="353"/>
      <c r="I125" s="339">
        <f>ROUND($G125*C125,0)</f>
        <v>217376</v>
      </c>
      <c r="K125" s="339">
        <f>ROUND($G125*E125,0)</f>
        <v>330788</v>
      </c>
      <c r="M125" s="99">
        <f>M65</f>
        <v>18.059999999999999</v>
      </c>
      <c r="N125" s="353"/>
      <c r="O125" s="339">
        <f>ROUND(M125*$E125,0)</f>
        <v>354753</v>
      </c>
      <c r="P125" s="339"/>
      <c r="T125" s="356">
        <f t="shared" si="35"/>
        <v>7.2446555819477343E-2</v>
      </c>
    </row>
    <row r="126" spans="1:22">
      <c r="A126" s="352" t="s">
        <v>140</v>
      </c>
      <c r="C126" s="102">
        <v>13645.438783894801</v>
      </c>
      <c r="E126" s="102">
        <f>ROUND(C126*$E$133/$C$133,0)</f>
        <v>20765</v>
      </c>
      <c r="G126" s="99">
        <v>13.52</v>
      </c>
      <c r="H126" s="353"/>
      <c r="I126" s="339">
        <f>ROUND($G126*C126,0)</f>
        <v>184486</v>
      </c>
      <c r="K126" s="339">
        <f>ROUND($G126*E126,0)</f>
        <v>280743</v>
      </c>
      <c r="M126" s="99">
        <f>M66</f>
        <v>14.5</v>
      </c>
      <c r="N126" s="353"/>
      <c r="O126" s="339">
        <f>ROUND(M126*$E126,0)</f>
        <v>301093</v>
      </c>
      <c r="P126" s="339"/>
      <c r="T126" s="356">
        <f t="shared" si="35"/>
        <v>7.2485207100591698E-2</v>
      </c>
    </row>
    <row r="127" spans="1:22">
      <c r="A127" s="352" t="s">
        <v>127</v>
      </c>
      <c r="C127" s="102">
        <v>0</v>
      </c>
      <c r="E127" s="102">
        <f>ROUND(C127*$E$133/$C$133,0)</f>
        <v>0</v>
      </c>
      <c r="G127" s="99">
        <v>-0.87</v>
      </c>
      <c r="H127" s="353"/>
      <c r="I127" s="339">
        <f>ROUND($G127*C127,0)</f>
        <v>0</v>
      </c>
      <c r="K127" s="339">
        <f>ROUND($G127*E127,0)</f>
        <v>0</v>
      </c>
      <c r="M127" s="99">
        <f>M67</f>
        <v>-0.93</v>
      </c>
      <c r="N127" s="353"/>
      <c r="O127" s="339">
        <f>ROUND(M127*$E127,0)</f>
        <v>0</v>
      </c>
      <c r="P127" s="339"/>
      <c r="R127" s="396"/>
      <c r="S127" s="384"/>
      <c r="T127" s="356">
        <f t="shared" si="35"/>
        <v>6.8965517241379448E-2</v>
      </c>
    </row>
    <row r="128" spans="1:22">
      <c r="A128" s="352" t="s">
        <v>128</v>
      </c>
      <c r="C128" s="102">
        <f>C129+C130</f>
        <v>9193471.8561682235</v>
      </c>
      <c r="E128" s="102">
        <f>SUM(E129:E130)</f>
        <v>14037527</v>
      </c>
      <c r="G128" s="397"/>
      <c r="H128" s="363"/>
      <c r="I128" s="339"/>
      <c r="K128" s="339"/>
      <c r="M128" s="397"/>
      <c r="N128" s="363"/>
      <c r="O128" s="339"/>
      <c r="P128" s="376"/>
      <c r="R128" s="396"/>
    </row>
    <row r="129" spans="1:22">
      <c r="A129" s="352" t="s">
        <v>134</v>
      </c>
      <c r="C129" s="102">
        <v>4900649.7801548373</v>
      </c>
      <c r="E129" s="102">
        <f>ROUND(C129*$E$133/($C$133-$C$132),0)</f>
        <v>7482810</v>
      </c>
      <c r="G129" s="397">
        <v>3.5438999999999998</v>
      </c>
      <c r="H129" s="363" t="s">
        <v>93</v>
      </c>
      <c r="I129" s="339">
        <f>ROUND($G129*C129/100,0)</f>
        <v>173674</v>
      </c>
      <c r="K129" s="339">
        <f>ROUND($G129*E129/100,0)</f>
        <v>265183</v>
      </c>
      <c r="M129" s="397">
        <f>M69</f>
        <v>3.8001999999999998</v>
      </c>
      <c r="N129" s="363" t="s">
        <v>93</v>
      </c>
      <c r="O129" s="339">
        <f>ROUND(M129*$E129/100,0)</f>
        <v>284362</v>
      </c>
      <c r="P129" s="376"/>
      <c r="T129" s="356">
        <f t="shared" ref="T129:T131" si="36">M129/G129-1</f>
        <v>7.2321453765625376E-2</v>
      </c>
      <c r="U129" s="384"/>
    </row>
    <row r="130" spans="1:22">
      <c r="A130" s="352" t="s">
        <v>135</v>
      </c>
      <c r="C130" s="102">
        <v>4292822.0760133862</v>
      </c>
      <c r="E130" s="102">
        <f>E133-E129</f>
        <v>6554717</v>
      </c>
      <c r="G130" s="397">
        <v>3.2658999999999998</v>
      </c>
      <c r="H130" s="363" t="s">
        <v>93</v>
      </c>
      <c r="I130" s="339">
        <f>ROUND($G130*C130/100,0)</f>
        <v>140199</v>
      </c>
      <c r="K130" s="339">
        <f>ROUND($G130*E130/100,0)</f>
        <v>214071</v>
      </c>
      <c r="M130" s="397">
        <f>M70</f>
        <v>3.5009999999999999</v>
      </c>
      <c r="N130" s="363" t="s">
        <v>93</v>
      </c>
      <c r="O130" s="339">
        <f>ROUND(M130*$E130/100,0)</f>
        <v>229481</v>
      </c>
      <c r="P130" s="376"/>
      <c r="T130" s="356">
        <f t="shared" si="36"/>
        <v>7.1986282494871379E-2</v>
      </c>
    </row>
    <row r="131" spans="1:22">
      <c r="A131" s="352" t="s">
        <v>131</v>
      </c>
      <c r="C131" s="102">
        <v>0</v>
      </c>
      <c r="D131" s="374"/>
      <c r="E131" s="102">
        <f>ROUND(C131*E124/C124,0)</f>
        <v>0</v>
      </c>
      <c r="F131" s="374"/>
      <c r="G131" s="99">
        <v>600</v>
      </c>
      <c r="H131" s="353"/>
      <c r="I131" s="339">
        <f>ROUND($G131*C131,0)</f>
        <v>0</v>
      </c>
      <c r="J131" s="374"/>
      <c r="K131" s="339">
        <f>ROUND($G131*E131,0)</f>
        <v>0</v>
      </c>
      <c r="L131" s="374"/>
      <c r="M131" s="99">
        <f>M71</f>
        <v>648</v>
      </c>
      <c r="N131" s="353"/>
      <c r="O131" s="339">
        <f>ROUND(M131*$E131,0)</f>
        <v>0</v>
      </c>
      <c r="P131" s="376"/>
      <c r="Q131" s="332" t="s">
        <v>94</v>
      </c>
      <c r="R131" s="390">
        <f>O133/K133-1</f>
        <v>7.2436741360043744E-2</v>
      </c>
      <c r="T131" s="356">
        <f t="shared" si="36"/>
        <v>8.0000000000000071E-2</v>
      </c>
      <c r="V131" s="384"/>
    </row>
    <row r="132" spans="1:22">
      <c r="A132" s="352" t="s">
        <v>112</v>
      </c>
      <c r="C132" s="103">
        <v>31312</v>
      </c>
      <c r="E132" s="103">
        <v>0</v>
      </c>
      <c r="I132" s="383">
        <v>1043</v>
      </c>
      <c r="K132" s="383">
        <v>0</v>
      </c>
      <c r="O132" s="383">
        <v>0</v>
      </c>
      <c r="Q132" s="332" t="s">
        <v>115</v>
      </c>
      <c r="R132" s="402">
        <f>(O133)/(K133)-1</f>
        <v>7.2436741360043744E-2</v>
      </c>
    </row>
    <row r="133" spans="1:22" ht="16.5" thickBot="1">
      <c r="A133" s="352" t="s">
        <v>113</v>
      </c>
      <c r="C133" s="400">
        <f>C128+C132</f>
        <v>9224783.8561682235</v>
      </c>
      <c r="E133" s="400">
        <v>14037527</v>
      </c>
      <c r="G133" s="393"/>
      <c r="I133" s="394">
        <f>SUM(I124:I132)</f>
        <v>729433</v>
      </c>
      <c r="K133" s="394">
        <f>SUM(K124:K132)</f>
        <v>1105185</v>
      </c>
      <c r="M133" s="393"/>
      <c r="O133" s="394">
        <f>SUM(O124:O132)</f>
        <v>1185241</v>
      </c>
      <c r="R133" s="384"/>
    </row>
    <row r="134" spans="1:22" ht="16.5" thickTop="1">
      <c r="C134" s="102"/>
      <c r="E134" s="102"/>
      <c r="P134" s="339"/>
    </row>
    <row r="135" spans="1:22">
      <c r="A135" s="348" t="s">
        <v>142</v>
      </c>
      <c r="C135" s="102"/>
      <c r="E135" s="102"/>
      <c r="P135" s="339"/>
    </row>
    <row r="136" spans="1:22">
      <c r="A136" s="403" t="s">
        <v>124</v>
      </c>
      <c r="C136" s="102">
        <v>95.999333333333297</v>
      </c>
      <c r="E136" s="102">
        <v>96</v>
      </c>
      <c r="G136" s="99">
        <v>50</v>
      </c>
      <c r="H136" s="353"/>
      <c r="I136" s="339">
        <f>ROUND($G136*C136,0)</f>
        <v>4800</v>
      </c>
      <c r="K136" s="339">
        <f>ROUND($G136*E136,0)</f>
        <v>4800</v>
      </c>
      <c r="M136" s="99">
        <f>M64</f>
        <v>54</v>
      </c>
      <c r="N136" s="353"/>
      <c r="O136" s="339">
        <f>ROUND(M136*$E136,0)</f>
        <v>5184</v>
      </c>
      <c r="P136" s="339"/>
      <c r="T136" s="356">
        <f t="shared" ref="T136:T139" si="37">M136/G136-1</f>
        <v>8.0000000000000071E-2</v>
      </c>
    </row>
    <row r="137" spans="1:22">
      <c r="A137" s="352" t="s">
        <v>139</v>
      </c>
      <c r="C137" s="102">
        <v>9451.4719184565893</v>
      </c>
      <c r="E137" s="102">
        <f>ROUND(C137*$E$145/$C$145,0)</f>
        <v>9058</v>
      </c>
      <c r="G137" s="99">
        <v>16.84</v>
      </c>
      <c r="H137" s="353"/>
      <c r="I137" s="339">
        <f>ROUND($G137*C137,0)</f>
        <v>159163</v>
      </c>
      <c r="K137" s="339">
        <f>ROUND($G137*E137,0)</f>
        <v>152537</v>
      </c>
      <c r="M137" s="99">
        <f>M65</f>
        <v>18.059999999999999</v>
      </c>
      <c r="N137" s="353"/>
      <c r="O137" s="339">
        <f>ROUND(M137*$E137,0)</f>
        <v>163587</v>
      </c>
      <c r="P137" s="339"/>
      <c r="T137" s="356">
        <f t="shared" si="37"/>
        <v>7.2446555819477343E-2</v>
      </c>
    </row>
    <row r="138" spans="1:22">
      <c r="A138" s="352" t="s">
        <v>140</v>
      </c>
      <c r="C138" s="102">
        <v>11827.527526705</v>
      </c>
      <c r="E138" s="102">
        <f>ROUND(C138*$E$145/$C$145,0)</f>
        <v>11335</v>
      </c>
      <c r="G138" s="99">
        <v>13.52</v>
      </c>
      <c r="H138" s="353"/>
      <c r="I138" s="339">
        <f>ROUND($G138*C138,0)</f>
        <v>159908</v>
      </c>
      <c r="K138" s="339">
        <f>ROUND($G138*E138,0)</f>
        <v>153249</v>
      </c>
      <c r="M138" s="99">
        <f>M66</f>
        <v>14.5</v>
      </c>
      <c r="N138" s="353"/>
      <c r="O138" s="339">
        <f>ROUND(M138*$E138,0)</f>
        <v>164358</v>
      </c>
      <c r="P138" s="339"/>
      <c r="T138" s="356">
        <f t="shared" si="37"/>
        <v>7.2485207100591698E-2</v>
      </c>
    </row>
    <row r="139" spans="1:22">
      <c r="A139" s="352" t="s">
        <v>127</v>
      </c>
      <c r="C139" s="102">
        <v>0</v>
      </c>
      <c r="E139" s="102">
        <f>ROUND(C139*$E$145/$C$145,0)</f>
        <v>0</v>
      </c>
      <c r="G139" s="99">
        <v>-0.87</v>
      </c>
      <c r="H139" s="353"/>
      <c r="I139" s="339">
        <f>ROUND($G139*C139,0)</f>
        <v>0</v>
      </c>
      <c r="K139" s="339">
        <f>ROUND($G139*E139,0)</f>
        <v>0</v>
      </c>
      <c r="M139" s="99">
        <f>M67</f>
        <v>-0.93</v>
      </c>
      <c r="N139" s="353"/>
      <c r="O139" s="339">
        <f>ROUND(M139*$E139,0)</f>
        <v>0</v>
      </c>
      <c r="P139" s="339"/>
      <c r="R139" s="396"/>
      <c r="S139" s="384"/>
      <c r="T139" s="356">
        <f t="shared" si="37"/>
        <v>6.8965517241379448E-2</v>
      </c>
    </row>
    <row r="140" spans="1:22">
      <c r="A140" s="352" t="s">
        <v>128</v>
      </c>
      <c r="C140" s="102">
        <f>C141+C142</f>
        <v>7365965.3595221424</v>
      </c>
      <c r="E140" s="102">
        <f>SUM(E141:E142)</f>
        <v>7095643</v>
      </c>
      <c r="G140" s="397"/>
      <c r="H140" s="363"/>
      <c r="I140" s="339"/>
      <c r="K140" s="339"/>
      <c r="M140" s="397"/>
      <c r="N140" s="363"/>
      <c r="O140" s="339"/>
      <c r="P140" s="376"/>
      <c r="R140" s="396"/>
    </row>
    <row r="141" spans="1:22">
      <c r="A141" s="352" t="s">
        <v>134</v>
      </c>
      <c r="C141" s="102">
        <v>3666736.2441831548</v>
      </c>
      <c r="E141" s="102">
        <f>ROUND(C141*$E$145/($C$145-$C$144),0)</f>
        <v>3532171</v>
      </c>
      <c r="G141" s="397">
        <v>3.5438999999999998</v>
      </c>
      <c r="H141" s="363" t="s">
        <v>93</v>
      </c>
      <c r="I141" s="339">
        <f>ROUND($G141*C141/100,0)</f>
        <v>129945</v>
      </c>
      <c r="K141" s="339">
        <f>ROUND($G141*E141/100,0)</f>
        <v>125177</v>
      </c>
      <c r="M141" s="397">
        <f>M69</f>
        <v>3.8001999999999998</v>
      </c>
      <c r="N141" s="363" t="s">
        <v>93</v>
      </c>
      <c r="O141" s="339">
        <f>ROUND(M141*$E141/100,0)</f>
        <v>134230</v>
      </c>
      <c r="P141" s="376"/>
      <c r="T141" s="356">
        <f t="shared" ref="T141:T143" si="38">M141/G141-1</f>
        <v>7.2321453765625376E-2</v>
      </c>
      <c r="U141" s="384"/>
    </row>
    <row r="142" spans="1:22">
      <c r="A142" s="352" t="s">
        <v>135</v>
      </c>
      <c r="C142" s="102">
        <v>3699229.1153389877</v>
      </c>
      <c r="E142" s="102">
        <f>E145-E141</f>
        <v>3563472</v>
      </c>
      <c r="G142" s="397">
        <v>3.2658999999999998</v>
      </c>
      <c r="H142" s="363" t="s">
        <v>93</v>
      </c>
      <c r="I142" s="339">
        <f>ROUND($G142*C142/100,0)</f>
        <v>120813</v>
      </c>
      <c r="K142" s="339">
        <f>ROUND($G142*E142/100,0)</f>
        <v>116379</v>
      </c>
      <c r="M142" s="397">
        <f>M70</f>
        <v>3.5009999999999999</v>
      </c>
      <c r="N142" s="363" t="s">
        <v>93</v>
      </c>
      <c r="O142" s="339">
        <f>ROUND(M142*$E142/100,0)</f>
        <v>124757</v>
      </c>
      <c r="P142" s="376"/>
      <c r="T142" s="356">
        <f t="shared" si="38"/>
        <v>7.1986282494871379E-2</v>
      </c>
    </row>
    <row r="143" spans="1:22">
      <c r="A143" s="352" t="s">
        <v>131</v>
      </c>
      <c r="C143" s="102">
        <v>0</v>
      </c>
      <c r="D143" s="374"/>
      <c r="E143" s="102">
        <f>ROUND(C143*E136/C136,0)</f>
        <v>0</v>
      </c>
      <c r="F143" s="374"/>
      <c r="G143" s="99">
        <v>600</v>
      </c>
      <c r="H143" s="353"/>
      <c r="I143" s="339">
        <f>ROUND($G143*C143,0)</f>
        <v>0</v>
      </c>
      <c r="J143" s="374"/>
      <c r="K143" s="339">
        <f>ROUND($G143*E143,0)</f>
        <v>0</v>
      </c>
      <c r="L143" s="374"/>
      <c r="M143" s="99">
        <f>M71</f>
        <v>648</v>
      </c>
      <c r="N143" s="353"/>
      <c r="O143" s="339">
        <f>ROUND(M143*$E143,0)</f>
        <v>0</v>
      </c>
      <c r="P143" s="376"/>
      <c r="Q143" s="332" t="s">
        <v>94</v>
      </c>
      <c r="R143" s="390">
        <f>O145/K145-1</f>
        <v>7.239804253253701E-2</v>
      </c>
      <c r="S143" s="392"/>
      <c r="T143" s="356">
        <f t="shared" si="38"/>
        <v>8.0000000000000071E-2</v>
      </c>
      <c r="V143" s="384"/>
    </row>
    <row r="144" spans="1:22">
      <c r="A144" s="352" t="s">
        <v>112</v>
      </c>
      <c r="C144" s="103">
        <v>38284</v>
      </c>
      <c r="E144" s="103">
        <v>0</v>
      </c>
      <c r="I144" s="383">
        <v>1371</v>
      </c>
      <c r="K144" s="383">
        <v>0</v>
      </c>
      <c r="O144" s="383">
        <v>0</v>
      </c>
      <c r="Q144" s="332" t="s">
        <v>115</v>
      </c>
      <c r="R144" s="402">
        <f>(O145)/(K145)-1</f>
        <v>7.239804253253701E-2</v>
      </c>
      <c r="S144" s="392"/>
    </row>
    <row r="145" spans="1:22" ht="16.5" thickBot="1">
      <c r="A145" s="352" t="s">
        <v>113</v>
      </c>
      <c r="C145" s="400">
        <f>C140+C144</f>
        <v>7404249.3595221424</v>
      </c>
      <c r="E145" s="400">
        <v>7095643</v>
      </c>
      <c r="G145" s="393"/>
      <c r="I145" s="394">
        <f>SUM(I136:I144)</f>
        <v>576000</v>
      </c>
      <c r="K145" s="394">
        <f>SUM(K136:K144)</f>
        <v>552142</v>
      </c>
      <c r="M145" s="393"/>
      <c r="O145" s="394">
        <f>SUM(O136:O144)</f>
        <v>592116</v>
      </c>
      <c r="R145" s="384"/>
      <c r="S145" s="392"/>
      <c r="T145" s="392"/>
    </row>
    <row r="146" spans="1:22" ht="16.5" thickTop="1">
      <c r="C146" s="102"/>
      <c r="E146" s="102"/>
      <c r="P146" s="339"/>
      <c r="Q146" s="347"/>
      <c r="R146" s="404"/>
      <c r="S146" s="392"/>
      <c r="T146" s="392"/>
    </row>
    <row r="147" spans="1:22">
      <c r="A147" s="348" t="s">
        <v>143</v>
      </c>
      <c r="C147" s="102"/>
      <c r="E147" s="102"/>
      <c r="G147" s="397"/>
      <c r="H147" s="405"/>
      <c r="M147" s="397"/>
      <c r="N147" s="405"/>
      <c r="P147" s="339"/>
      <c r="S147" s="395"/>
      <c r="T147" s="395"/>
      <c r="U147" s="339"/>
      <c r="V147" s="102"/>
    </row>
    <row r="148" spans="1:22">
      <c r="A148" s="352" t="s">
        <v>124</v>
      </c>
      <c r="C148" s="102">
        <f t="shared" ref="C148:C157" si="39">C160+C172</f>
        <v>24431.249555555718</v>
      </c>
      <c r="E148" s="102">
        <f t="shared" ref="E148:E157" si="40">E160+E172</f>
        <v>28731</v>
      </c>
      <c r="G148" s="99">
        <v>50</v>
      </c>
      <c r="H148" s="353"/>
      <c r="I148" s="339">
        <f>ROUND($G148*C148,0)</f>
        <v>1221562</v>
      </c>
      <c r="K148" s="339">
        <f>ROUND($G148*E148,0)</f>
        <v>1436550</v>
      </c>
      <c r="M148" s="99">
        <f>M64</f>
        <v>54</v>
      </c>
      <c r="N148" s="353"/>
      <c r="O148" s="339">
        <f>ROUND(M148*$E148,0)</f>
        <v>1551474</v>
      </c>
      <c r="P148" s="339"/>
      <c r="Q148" s="354" t="s">
        <v>87</v>
      </c>
      <c r="R148" s="355">
        <f>O157</f>
        <v>32022723</v>
      </c>
      <c r="T148" s="356">
        <f t="shared" ref="T148:T155" si="41">M148/G148-1</f>
        <v>8.0000000000000071E-2</v>
      </c>
      <c r="U148" s="339"/>
      <c r="V148" s="102"/>
    </row>
    <row r="149" spans="1:22">
      <c r="A149" s="352" t="s">
        <v>144</v>
      </c>
      <c r="C149" s="102">
        <f t="shared" si="39"/>
        <v>803968.42713110382</v>
      </c>
      <c r="D149" s="374"/>
      <c r="E149" s="102">
        <f t="shared" si="40"/>
        <v>861704</v>
      </c>
      <c r="F149" s="374"/>
      <c r="G149" s="99">
        <v>5.96</v>
      </c>
      <c r="H149" s="353"/>
      <c r="I149" s="339">
        <f>ROUND($G149*C149,0)</f>
        <v>4791652</v>
      </c>
      <c r="J149" s="374"/>
      <c r="K149" s="339">
        <f>ROUND($G149*E149,0)</f>
        <v>5135756</v>
      </c>
      <c r="L149" s="374"/>
      <c r="M149" s="99">
        <f>ROUND(G149*(1+$R$153),2)</f>
        <v>6.39</v>
      </c>
      <c r="N149" s="353"/>
      <c r="O149" s="339">
        <f>ROUND(M149*$E149,0)</f>
        <v>5506289</v>
      </c>
      <c r="P149" s="339"/>
      <c r="Q149" s="358" t="s">
        <v>89</v>
      </c>
      <c r="R149" s="359">
        <f>'Baron Rate Spread'!M21*1000</f>
        <v>32022707</v>
      </c>
      <c r="T149" s="356">
        <f t="shared" si="41"/>
        <v>7.2147651006711389E-2</v>
      </c>
      <c r="U149" s="339"/>
      <c r="V149" s="102"/>
    </row>
    <row r="150" spans="1:22">
      <c r="A150" s="352" t="s">
        <v>145</v>
      </c>
      <c r="C150" s="102">
        <f t="shared" si="39"/>
        <v>969678.15111111081</v>
      </c>
      <c r="D150" s="374"/>
      <c r="E150" s="102">
        <f t="shared" si="40"/>
        <v>1039237</v>
      </c>
      <c r="F150" s="374"/>
      <c r="G150" s="99">
        <v>5</v>
      </c>
      <c r="H150" s="353"/>
      <c r="I150" s="339">
        <f>ROUND($G150*C150,0)</f>
        <v>4848391</v>
      </c>
      <c r="J150" s="374"/>
      <c r="K150" s="339">
        <f>ROUND($G150*E150,0)</f>
        <v>5196185</v>
      </c>
      <c r="L150" s="374"/>
      <c r="M150" s="99">
        <f>ROUND(G150*(1+$R$153),2)</f>
        <v>5.36</v>
      </c>
      <c r="N150" s="353"/>
      <c r="O150" s="339">
        <f>ROUND(M150*$E150,0)</f>
        <v>5570310</v>
      </c>
      <c r="P150" s="339"/>
      <c r="Q150" s="360" t="s">
        <v>91</v>
      </c>
      <c r="R150" s="361">
        <f>R149-R148</f>
        <v>-16</v>
      </c>
      <c r="T150" s="356">
        <f t="shared" si="41"/>
        <v>7.2000000000000064E-2</v>
      </c>
      <c r="V150" s="102"/>
    </row>
    <row r="151" spans="1:22">
      <c r="A151" s="352" t="s">
        <v>127</v>
      </c>
      <c r="C151" s="102">
        <f t="shared" si="39"/>
        <v>31407.78</v>
      </c>
      <c r="D151" s="374"/>
      <c r="E151" s="102">
        <f t="shared" si="40"/>
        <v>32411</v>
      </c>
      <c r="F151" s="374"/>
      <c r="G151" s="99">
        <v>-0.56000000000000005</v>
      </c>
      <c r="H151" s="353"/>
      <c r="I151" s="339">
        <f>ROUND($G151*C151,0)</f>
        <v>-17588</v>
      </c>
      <c r="J151" s="374"/>
      <c r="K151" s="339">
        <f>ROUND($G151*E151,0)</f>
        <v>-18150</v>
      </c>
      <c r="L151" s="374"/>
      <c r="M151" s="99">
        <f>ROUND(G151*(1+$R$153),2)</f>
        <v>-0.6</v>
      </c>
      <c r="N151" s="353"/>
      <c r="O151" s="339">
        <f>ROUND(M151*$E151,0)</f>
        <v>-19447</v>
      </c>
      <c r="P151" s="339"/>
      <c r="Q151" s="364" t="s">
        <v>94</v>
      </c>
      <c r="R151" s="398">
        <f>R148/K157-1</f>
        <v>7.2462780383557357E-2</v>
      </c>
      <c r="T151" s="356">
        <f t="shared" si="41"/>
        <v>7.1428571428571397E-2</v>
      </c>
      <c r="U151" s="339"/>
      <c r="V151" s="102"/>
    </row>
    <row r="152" spans="1:22">
      <c r="A152" s="352" t="s">
        <v>120</v>
      </c>
      <c r="C152" s="102">
        <f t="shared" si="39"/>
        <v>54550040</v>
      </c>
      <c r="D152" s="374"/>
      <c r="E152" s="102">
        <f t="shared" si="40"/>
        <v>57731948</v>
      </c>
      <c r="F152" s="374"/>
      <c r="G152" s="100">
        <v>10.905099999999999</v>
      </c>
      <c r="H152" s="363" t="s">
        <v>93</v>
      </c>
      <c r="I152" s="339">
        <f>ROUND($G152*C152/100,0)</f>
        <v>5948736</v>
      </c>
      <c r="J152" s="374"/>
      <c r="K152" s="339">
        <f>ROUND($G152*E152/100,0)</f>
        <v>6295727</v>
      </c>
      <c r="L152" s="374"/>
      <c r="M152" s="100">
        <f>ROUND(G152*(1+$R$153),4)</f>
        <v>11.6912</v>
      </c>
      <c r="N152" s="363" t="s">
        <v>93</v>
      </c>
      <c r="O152" s="339">
        <f>ROUND(M152*$E152/100,0)</f>
        <v>6749558</v>
      </c>
      <c r="P152" s="376"/>
      <c r="Q152" s="368" t="s">
        <v>96</v>
      </c>
      <c r="R152" s="399">
        <f>R149/K157-1</f>
        <v>7.2462244532671471E-2</v>
      </c>
      <c r="T152" s="356">
        <f t="shared" si="41"/>
        <v>7.2085537959303503E-2</v>
      </c>
      <c r="U152" s="339"/>
      <c r="V152" s="102"/>
    </row>
    <row r="153" spans="1:22">
      <c r="A153" s="352" t="s">
        <v>121</v>
      </c>
      <c r="C153" s="102">
        <f t="shared" si="39"/>
        <v>54418517.572399944</v>
      </c>
      <c r="D153" s="374"/>
      <c r="E153" s="102">
        <f t="shared" si="40"/>
        <v>58399436</v>
      </c>
      <c r="F153" s="374"/>
      <c r="G153" s="100">
        <v>3.2831999999999999</v>
      </c>
      <c r="H153" s="363" t="s">
        <v>93</v>
      </c>
      <c r="I153" s="339">
        <f>ROUND($G153*C153/100,0)</f>
        <v>1786669</v>
      </c>
      <c r="J153" s="374"/>
      <c r="K153" s="339">
        <f>ROUND($G153*E153/100,0)</f>
        <v>1917370</v>
      </c>
      <c r="L153" s="374"/>
      <c r="M153" s="100">
        <f>ROUND(G153*(1+$R$153),4)</f>
        <v>3.5198999999999998</v>
      </c>
      <c r="N153" s="363" t="s">
        <v>93</v>
      </c>
      <c r="O153" s="339">
        <f>ROUND(M153*$E153/100,0)</f>
        <v>2055602</v>
      </c>
      <c r="P153" s="376"/>
      <c r="Q153" s="380" t="s">
        <v>132</v>
      </c>
      <c r="R153" s="401">
        <f>(R149-O148)/(K157-K148)-1</f>
        <v>7.2081266030651792E-2</v>
      </c>
      <c r="T153" s="356">
        <f t="shared" si="41"/>
        <v>7.2094298245614086E-2</v>
      </c>
      <c r="V153" s="384"/>
    </row>
    <row r="154" spans="1:22">
      <c r="A154" s="352" t="s">
        <v>146</v>
      </c>
      <c r="C154" s="102">
        <f t="shared" si="39"/>
        <v>79604921</v>
      </c>
      <c r="D154" s="374"/>
      <c r="E154" s="102">
        <f t="shared" si="40"/>
        <v>85611702</v>
      </c>
      <c r="F154" s="374"/>
      <c r="G154" s="100">
        <v>9.1155000000000008</v>
      </c>
      <c r="H154" s="363" t="s">
        <v>93</v>
      </c>
      <c r="I154" s="339">
        <f>ROUND($G154*C154/100,0)</f>
        <v>7256387</v>
      </c>
      <c r="J154" s="374"/>
      <c r="K154" s="339">
        <f>ROUND($G154*E154/100,0)</f>
        <v>7803935</v>
      </c>
      <c r="L154" s="374"/>
      <c r="M154" s="100">
        <f>ROUND(G154*(1+$R$153),4)</f>
        <v>9.7726000000000006</v>
      </c>
      <c r="N154" s="363" t="s">
        <v>93</v>
      </c>
      <c r="O154" s="339">
        <f>ROUND(M154*$E154/100,0)</f>
        <v>8366489</v>
      </c>
      <c r="P154" s="376"/>
      <c r="Q154" s="364" t="s">
        <v>115</v>
      </c>
      <c r="R154" s="398">
        <f>(O157)/(K157)-1</f>
        <v>7.2462780383557357E-2</v>
      </c>
      <c r="T154" s="356">
        <f t="shared" si="41"/>
        <v>7.2086007350117942E-2</v>
      </c>
      <c r="U154" s="339"/>
      <c r="V154" s="384"/>
    </row>
    <row r="155" spans="1:22">
      <c r="A155" s="352" t="s">
        <v>147</v>
      </c>
      <c r="C155" s="102">
        <f t="shared" si="39"/>
        <v>69871529.583329797</v>
      </c>
      <c r="D155" s="374"/>
      <c r="E155" s="102">
        <f t="shared" si="40"/>
        <v>75991996</v>
      </c>
      <c r="F155" s="374"/>
      <c r="G155" s="100">
        <v>2.7524999999999999</v>
      </c>
      <c r="H155" s="363" t="s">
        <v>93</v>
      </c>
      <c r="I155" s="339">
        <f>ROUND($G155*C155/100,0)</f>
        <v>1923214</v>
      </c>
      <c r="J155" s="374"/>
      <c r="K155" s="339">
        <f>ROUND($G155*E155/100,0)</f>
        <v>2091680</v>
      </c>
      <c r="L155" s="374"/>
      <c r="M155" s="100">
        <f>ROUND((R149-SUM(O148:O154))/E155*100,4)</f>
        <v>2.9508999999999999</v>
      </c>
      <c r="N155" s="363" t="s">
        <v>93</v>
      </c>
      <c r="O155" s="339">
        <f>ROUND(M155*$E155/100,0)</f>
        <v>2242448</v>
      </c>
      <c r="P155" s="376"/>
      <c r="Q155" s="364" t="s">
        <v>148</v>
      </c>
      <c r="R155" s="365">
        <f>E152/(E152+E153)</f>
        <v>0.49712615153195799</v>
      </c>
      <c r="T155" s="356">
        <f t="shared" si="41"/>
        <v>7.2079927338782879E-2</v>
      </c>
      <c r="V155" s="384"/>
    </row>
    <row r="156" spans="1:22">
      <c r="A156" s="352" t="s">
        <v>112</v>
      </c>
      <c r="C156" s="103">
        <f t="shared" si="39"/>
        <v>961821</v>
      </c>
      <c r="E156" s="103">
        <f t="shared" si="40"/>
        <v>0</v>
      </c>
      <c r="I156" s="383">
        <f>I168+I180</f>
        <v>45268</v>
      </c>
      <c r="K156" s="383">
        <f>K168+K180</f>
        <v>0</v>
      </c>
      <c r="O156" s="383">
        <v>0</v>
      </c>
      <c r="Q156" s="368" t="s">
        <v>149</v>
      </c>
      <c r="R156" s="369">
        <f>E154/(E154+E155)</f>
        <v>0.52976326073924374</v>
      </c>
      <c r="V156" s="384"/>
    </row>
    <row r="157" spans="1:22" ht="16.5" thickBot="1">
      <c r="A157" s="352" t="s">
        <v>113</v>
      </c>
      <c r="C157" s="400">
        <f t="shared" si="39"/>
        <v>259406829.15572977</v>
      </c>
      <c r="E157" s="400">
        <f t="shared" si="40"/>
        <v>277735082</v>
      </c>
      <c r="G157" s="393"/>
      <c r="I157" s="394">
        <f>SUM(I148:I156)</f>
        <v>27804291</v>
      </c>
      <c r="K157" s="394">
        <f>SUM(K148:K156)</f>
        <v>29859053</v>
      </c>
      <c r="M157" s="393"/>
      <c r="O157" s="394">
        <f>SUM(O148:O156)</f>
        <v>32022723</v>
      </c>
      <c r="Q157" s="380" t="s">
        <v>122</v>
      </c>
      <c r="R157" s="406">
        <f>E157/E148</f>
        <v>9666.7391319480703</v>
      </c>
    </row>
    <row r="158" spans="1:22" ht="16.5" thickTop="1">
      <c r="C158" s="102"/>
      <c r="E158" s="102"/>
      <c r="P158" s="339"/>
    </row>
    <row r="159" spans="1:22">
      <c r="A159" s="348" t="s">
        <v>150</v>
      </c>
      <c r="C159" s="102"/>
      <c r="E159" s="102"/>
      <c r="G159" s="397"/>
      <c r="H159" s="405"/>
      <c r="M159" s="397"/>
      <c r="N159" s="405"/>
      <c r="P159" s="339"/>
    </row>
    <row r="160" spans="1:22">
      <c r="A160" s="352" t="s">
        <v>124</v>
      </c>
      <c r="C160" s="102">
        <v>21401.650740740901</v>
      </c>
      <c r="E160" s="102">
        <v>25557</v>
      </c>
      <c r="G160" s="375">
        <v>50</v>
      </c>
      <c r="H160" s="374"/>
      <c r="I160" s="339">
        <f>ROUND($G160*C160,0)</f>
        <v>1070083</v>
      </c>
      <c r="K160" s="339">
        <f>ROUND($G160*E160,0)</f>
        <v>1277850</v>
      </c>
      <c r="M160" s="375">
        <f t="shared" ref="M160:M167" si="42">M148</f>
        <v>54</v>
      </c>
      <c r="N160" s="374"/>
      <c r="O160" s="339">
        <f>ROUND(M160*$E160,0)</f>
        <v>1380078</v>
      </c>
      <c r="P160" s="339"/>
      <c r="T160" s="356">
        <f t="shared" ref="T160:T167" si="43">M160/G160-1</f>
        <v>8.0000000000000071E-2</v>
      </c>
    </row>
    <row r="161" spans="1:22">
      <c r="A161" s="352" t="s">
        <v>144</v>
      </c>
      <c r="C161" s="102">
        <v>630828.76285472047</v>
      </c>
      <c r="E161" s="102">
        <f>ROUND(C161*$E$169/$C$169,0)</f>
        <v>699705</v>
      </c>
      <c r="G161" s="375">
        <v>5.96</v>
      </c>
      <c r="H161" s="374"/>
      <c r="I161" s="339">
        <f>ROUND($G161*C161,0)</f>
        <v>3759739</v>
      </c>
      <c r="K161" s="339">
        <f>ROUND($G161*E161,0)</f>
        <v>4170242</v>
      </c>
      <c r="M161" s="375">
        <f t="shared" si="42"/>
        <v>6.39</v>
      </c>
      <c r="N161" s="374"/>
      <c r="O161" s="339">
        <f>ROUND(M161*$E161,0)</f>
        <v>4471115</v>
      </c>
      <c r="P161" s="339"/>
      <c r="T161" s="356">
        <f t="shared" si="43"/>
        <v>7.2147651006711389E-2</v>
      </c>
    </row>
    <row r="162" spans="1:22">
      <c r="A162" s="352" t="s">
        <v>145</v>
      </c>
      <c r="C162" s="102">
        <v>760410.38888888876</v>
      </c>
      <c r="E162" s="102">
        <f>ROUND(C162*$E$169/$C$169,0)</f>
        <v>843434</v>
      </c>
      <c r="G162" s="375">
        <v>5</v>
      </c>
      <c r="H162" s="374"/>
      <c r="I162" s="339">
        <f>ROUND($G162*C162,0)</f>
        <v>3802052</v>
      </c>
      <c r="K162" s="339">
        <f>ROUND($G162*E162,0)</f>
        <v>4217170</v>
      </c>
      <c r="M162" s="375">
        <f t="shared" si="42"/>
        <v>5.36</v>
      </c>
      <c r="N162" s="374"/>
      <c r="O162" s="339">
        <f>ROUND(M162*$E162,0)</f>
        <v>4520806</v>
      </c>
      <c r="P162" s="339"/>
      <c r="T162" s="356">
        <f t="shared" si="43"/>
        <v>7.2000000000000064E-2</v>
      </c>
    </row>
    <row r="163" spans="1:22">
      <c r="A163" s="352" t="s">
        <v>127</v>
      </c>
      <c r="C163" s="102">
        <v>17430</v>
      </c>
      <c r="E163" s="102">
        <f>ROUND(C163*$E$169/$C$169,0)</f>
        <v>19333</v>
      </c>
      <c r="G163" s="375">
        <v>-0.56000000000000005</v>
      </c>
      <c r="H163" s="374"/>
      <c r="I163" s="339">
        <f>ROUND($G163*C163,0)</f>
        <v>-9761</v>
      </c>
      <c r="K163" s="339">
        <f>ROUND($G163*E163,0)</f>
        <v>-10826</v>
      </c>
      <c r="M163" s="375">
        <f t="shared" si="42"/>
        <v>-0.6</v>
      </c>
      <c r="N163" s="374"/>
      <c r="O163" s="339">
        <f>ROUND(M163*$E163,0)</f>
        <v>-11600</v>
      </c>
      <c r="P163" s="339"/>
      <c r="S163" s="384"/>
      <c r="T163" s="356">
        <f t="shared" si="43"/>
        <v>7.1428571428571397E-2</v>
      </c>
    </row>
    <row r="164" spans="1:22">
      <c r="A164" s="352" t="s">
        <v>120</v>
      </c>
      <c r="C164" s="102">
        <v>37294946</v>
      </c>
      <c r="E164" s="102">
        <f>ROUND(C164*($E$169-$E$168)/($C$169-$C$168),0)</f>
        <v>41504261</v>
      </c>
      <c r="G164" s="407">
        <v>10.905099999999999</v>
      </c>
      <c r="H164" s="363" t="s">
        <v>93</v>
      </c>
      <c r="I164" s="339">
        <f>ROUND($G164*C164/100,0)</f>
        <v>4067051</v>
      </c>
      <c r="K164" s="339">
        <f>ROUND($G164*E164/100,0)</f>
        <v>4526081</v>
      </c>
      <c r="M164" s="407">
        <f t="shared" si="42"/>
        <v>11.6912</v>
      </c>
      <c r="N164" s="363" t="s">
        <v>93</v>
      </c>
      <c r="O164" s="339">
        <f>ROUND(M164*$E164/100,0)</f>
        <v>4852346</v>
      </c>
      <c r="P164" s="376"/>
      <c r="T164" s="356">
        <f t="shared" si="43"/>
        <v>7.2085537959303503E-2</v>
      </c>
    </row>
    <row r="165" spans="1:22">
      <c r="A165" s="352" t="s">
        <v>121</v>
      </c>
      <c r="C165" s="102">
        <v>41883950.206693761</v>
      </c>
      <c r="D165" s="374"/>
      <c r="E165" s="102">
        <f>ROUND(C165*($E$169-$E$168)/($C$169-$C$168),0)</f>
        <v>46611205</v>
      </c>
      <c r="F165" s="374"/>
      <c r="G165" s="407">
        <v>3.2831999999999999</v>
      </c>
      <c r="H165" s="363" t="s">
        <v>93</v>
      </c>
      <c r="I165" s="339">
        <f>ROUND($G165*C165/100,0)</f>
        <v>1375134</v>
      </c>
      <c r="J165" s="374"/>
      <c r="K165" s="339">
        <f>ROUND($G165*E165/100,0)</f>
        <v>1530339</v>
      </c>
      <c r="L165" s="374"/>
      <c r="M165" s="407">
        <f t="shared" si="42"/>
        <v>3.5198999999999998</v>
      </c>
      <c r="N165" s="363" t="s">
        <v>93</v>
      </c>
      <c r="O165" s="339">
        <f>ROUND(M165*$E165/100,0)</f>
        <v>1640668</v>
      </c>
      <c r="P165" s="376"/>
      <c r="T165" s="356">
        <f t="shared" si="43"/>
        <v>7.2094298245614086E-2</v>
      </c>
      <c r="U165" s="384"/>
    </row>
    <row r="166" spans="1:22">
      <c r="A166" s="352" t="s">
        <v>146</v>
      </c>
      <c r="C166" s="102">
        <v>62332660</v>
      </c>
      <c r="E166" s="102">
        <f>ROUND(C166*($E$169-$E$168)/($C$169-$C$168),0)</f>
        <v>69367870</v>
      </c>
      <c r="G166" s="407">
        <v>9.1155000000000008</v>
      </c>
      <c r="H166" s="363" t="s">
        <v>93</v>
      </c>
      <c r="I166" s="339">
        <f>ROUND($G166*C166/100,0)</f>
        <v>5681934</v>
      </c>
      <c r="K166" s="339">
        <f>ROUND($G166*E166/100,0)</f>
        <v>6323228</v>
      </c>
      <c r="M166" s="407">
        <f t="shared" si="42"/>
        <v>9.7726000000000006</v>
      </c>
      <c r="N166" s="363" t="s">
        <v>93</v>
      </c>
      <c r="O166" s="339">
        <f>ROUND(M166*$E166/100,0)</f>
        <v>6779044</v>
      </c>
      <c r="P166" s="376"/>
      <c r="T166" s="356">
        <f t="shared" si="43"/>
        <v>7.2086007350117942E-2</v>
      </c>
    </row>
    <row r="167" spans="1:22">
      <c r="A167" s="352" t="s">
        <v>147</v>
      </c>
      <c r="C167" s="102">
        <v>59630564.51926738</v>
      </c>
      <c r="D167" s="374"/>
      <c r="E167" s="102">
        <f>E169-E164-E165-E166</f>
        <v>66360801</v>
      </c>
      <c r="F167" s="374"/>
      <c r="G167" s="407">
        <v>2.7524999999999999</v>
      </c>
      <c r="H167" s="363" t="s">
        <v>93</v>
      </c>
      <c r="I167" s="339">
        <f>ROUND($G167*C167/100,0)</f>
        <v>1641331</v>
      </c>
      <c r="J167" s="374"/>
      <c r="K167" s="339">
        <f>ROUND($G167*E167/100,0)</f>
        <v>1826581</v>
      </c>
      <c r="L167" s="374"/>
      <c r="M167" s="407">
        <f t="shared" si="42"/>
        <v>2.9508999999999999</v>
      </c>
      <c r="N167" s="363" t="s">
        <v>93</v>
      </c>
      <c r="O167" s="339">
        <f>ROUND(M167*$E167/100,0)</f>
        <v>1958241</v>
      </c>
      <c r="P167" s="376"/>
      <c r="Q167" s="332" t="s">
        <v>94</v>
      </c>
      <c r="R167" s="390">
        <f>O169/K169-1</f>
        <v>7.2505648941469047E-2</v>
      </c>
      <c r="T167" s="356">
        <f t="shared" si="43"/>
        <v>7.2079927338782879E-2</v>
      </c>
      <c r="V167" s="384"/>
    </row>
    <row r="168" spans="1:22">
      <c r="A168" s="352" t="s">
        <v>112</v>
      </c>
      <c r="C168" s="103">
        <v>667764</v>
      </c>
      <c r="E168" s="103">
        <v>0</v>
      </c>
      <c r="I168" s="383">
        <v>30388</v>
      </c>
      <c r="K168" s="383">
        <v>0</v>
      </c>
      <c r="O168" s="383">
        <v>0</v>
      </c>
      <c r="Q168" s="332" t="s">
        <v>115</v>
      </c>
      <c r="R168" s="402">
        <f>(O169)/(K169)-1</f>
        <v>7.2505648941469047E-2</v>
      </c>
    </row>
    <row r="169" spans="1:22" ht="16.5" thickBot="1">
      <c r="A169" s="352" t="s">
        <v>113</v>
      </c>
      <c r="C169" s="400">
        <f>C164+C165+C168+C166+C167</f>
        <v>201809884.72596115</v>
      </c>
      <c r="E169" s="400">
        <v>223844137</v>
      </c>
      <c r="G169" s="393"/>
      <c r="I169" s="394">
        <f>SUM(I160:I168)</f>
        <v>21417951</v>
      </c>
      <c r="K169" s="394">
        <f>SUM(K160:K168)</f>
        <v>23860665</v>
      </c>
      <c r="M169" s="393"/>
      <c r="O169" s="394">
        <f>SUM(O160:O168)</f>
        <v>25590698</v>
      </c>
      <c r="R169" s="384"/>
    </row>
    <row r="170" spans="1:22" ht="16.5" thickTop="1">
      <c r="C170" s="102"/>
      <c r="E170" s="102"/>
      <c r="P170" s="339"/>
    </row>
    <row r="171" spans="1:22">
      <c r="A171" s="348" t="s">
        <v>151</v>
      </c>
      <c r="C171" s="102"/>
      <c r="E171" s="102"/>
      <c r="G171" s="397"/>
      <c r="H171" s="405"/>
      <c r="M171" s="397"/>
      <c r="N171" s="405"/>
      <c r="P171" s="339"/>
    </row>
    <row r="172" spans="1:22">
      <c r="A172" s="352" t="s">
        <v>124</v>
      </c>
      <c r="C172" s="102">
        <v>3029.5988148148163</v>
      </c>
      <c r="E172" s="102">
        <v>3174</v>
      </c>
      <c r="G172" s="375">
        <v>50</v>
      </c>
      <c r="H172" s="374"/>
      <c r="I172" s="339">
        <f>ROUND($G172*C172,0)</f>
        <v>151480</v>
      </c>
      <c r="K172" s="339">
        <f>ROUND($G172*E172,0)</f>
        <v>158700</v>
      </c>
      <c r="M172" s="375">
        <f t="shared" ref="M172:M179" si="44">M148</f>
        <v>54</v>
      </c>
      <c r="N172" s="374"/>
      <c r="O172" s="339">
        <f>ROUND(M172*$E172,0)</f>
        <v>171396</v>
      </c>
      <c r="P172" s="339"/>
      <c r="T172" s="356">
        <f t="shared" ref="T172:T179" si="45">M172/G172-1</f>
        <v>8.0000000000000071E-2</v>
      </c>
    </row>
    <row r="173" spans="1:22">
      <c r="A173" s="352" t="s">
        <v>144</v>
      </c>
      <c r="C173" s="102">
        <v>173139.66427638329</v>
      </c>
      <c r="E173" s="102">
        <f>ROUND(C173*$E$181/$C$181,0)</f>
        <v>161999</v>
      </c>
      <c r="G173" s="375">
        <v>5.96</v>
      </c>
      <c r="H173" s="374"/>
      <c r="I173" s="339">
        <f>ROUND($G173*C173,0)</f>
        <v>1031912</v>
      </c>
      <c r="K173" s="339">
        <f>ROUND($G173*E173,0)</f>
        <v>965514</v>
      </c>
      <c r="M173" s="375">
        <f t="shared" si="44"/>
        <v>6.39</v>
      </c>
      <c r="N173" s="374"/>
      <c r="O173" s="339">
        <f>ROUND(M173*$E173,0)</f>
        <v>1035174</v>
      </c>
      <c r="P173" s="339"/>
      <c r="T173" s="356">
        <f t="shared" si="45"/>
        <v>7.2147651006711389E-2</v>
      </c>
    </row>
    <row r="174" spans="1:22">
      <c r="A174" s="352" t="s">
        <v>145</v>
      </c>
      <c r="C174" s="102">
        <v>209267.76222222199</v>
      </c>
      <c r="E174" s="102">
        <f>ROUND(C174*$E$181/$C$181,0)</f>
        <v>195803</v>
      </c>
      <c r="G174" s="375">
        <v>5</v>
      </c>
      <c r="H174" s="374"/>
      <c r="I174" s="339">
        <f>ROUND($G174*C174,0)</f>
        <v>1046339</v>
      </c>
      <c r="K174" s="339">
        <f>ROUND($G174*E174,0)</f>
        <v>979015</v>
      </c>
      <c r="M174" s="375">
        <f t="shared" si="44"/>
        <v>5.36</v>
      </c>
      <c r="N174" s="374"/>
      <c r="O174" s="339">
        <f>ROUND(M174*$E174,0)</f>
        <v>1049504</v>
      </c>
      <c r="P174" s="339"/>
      <c r="T174" s="356">
        <f t="shared" si="45"/>
        <v>7.2000000000000064E-2</v>
      </c>
    </row>
    <row r="175" spans="1:22">
      <c r="A175" s="352" t="s">
        <v>127</v>
      </c>
      <c r="C175" s="102">
        <v>13977.78</v>
      </c>
      <c r="D175" s="374"/>
      <c r="E175" s="102">
        <f>ROUND(C175*$E$181/$C$181,0)</f>
        <v>13078</v>
      </c>
      <c r="F175" s="374"/>
      <c r="G175" s="375">
        <v>-0.56000000000000005</v>
      </c>
      <c r="H175" s="374"/>
      <c r="I175" s="339">
        <f>ROUND($G175*C175,0)</f>
        <v>-7828</v>
      </c>
      <c r="J175" s="374"/>
      <c r="K175" s="339">
        <f>ROUND($G175*E175,0)</f>
        <v>-7324</v>
      </c>
      <c r="L175" s="374"/>
      <c r="M175" s="375">
        <f t="shared" si="44"/>
        <v>-0.6</v>
      </c>
      <c r="N175" s="374"/>
      <c r="O175" s="339">
        <f>ROUND(M175*$E175,0)</f>
        <v>-7847</v>
      </c>
      <c r="P175" s="339"/>
      <c r="S175" s="384"/>
      <c r="T175" s="356">
        <f t="shared" si="45"/>
        <v>7.1428571428571397E-2</v>
      </c>
    </row>
    <row r="176" spans="1:22">
      <c r="A176" s="352" t="s">
        <v>120</v>
      </c>
      <c r="C176" s="102">
        <v>17255094</v>
      </c>
      <c r="D176" s="374"/>
      <c r="E176" s="102">
        <f>ROUND(C176*($E$181-$E$180)/($C$181-$C$180),0)</f>
        <v>16227687</v>
      </c>
      <c r="F176" s="374"/>
      <c r="G176" s="407">
        <v>10.905099999999999</v>
      </c>
      <c r="H176" s="363" t="s">
        <v>93</v>
      </c>
      <c r="I176" s="339">
        <f>ROUND($G176*C176/100,0)</f>
        <v>1881685</v>
      </c>
      <c r="J176" s="374"/>
      <c r="K176" s="339">
        <f>ROUND($G176*E176/100,0)</f>
        <v>1769645</v>
      </c>
      <c r="L176" s="374"/>
      <c r="M176" s="407">
        <f t="shared" si="44"/>
        <v>11.6912</v>
      </c>
      <c r="N176" s="363" t="s">
        <v>93</v>
      </c>
      <c r="O176" s="339">
        <f>ROUND(M176*$E176/100,0)</f>
        <v>1897211</v>
      </c>
      <c r="P176" s="376"/>
      <c r="T176" s="356">
        <f t="shared" si="45"/>
        <v>7.2085537959303503E-2</v>
      </c>
    </row>
    <row r="177" spans="1:22">
      <c r="A177" s="352" t="s">
        <v>121</v>
      </c>
      <c r="C177" s="102">
        <v>12534567.365706181</v>
      </c>
      <c r="D177" s="374"/>
      <c r="E177" s="102">
        <f>ROUND(C177*($E$181-$E$180)/($C$181-$C$180),0)</f>
        <v>11788231</v>
      </c>
      <c r="F177" s="374"/>
      <c r="G177" s="407">
        <v>3.2831999999999999</v>
      </c>
      <c r="H177" s="363" t="s">
        <v>93</v>
      </c>
      <c r="I177" s="339">
        <f>ROUND($G177*C177/100,0)</f>
        <v>411535</v>
      </c>
      <c r="J177" s="374"/>
      <c r="K177" s="339">
        <f>ROUND($G177*E177/100,0)</f>
        <v>387031</v>
      </c>
      <c r="L177" s="374"/>
      <c r="M177" s="407">
        <f t="shared" si="44"/>
        <v>3.5198999999999998</v>
      </c>
      <c r="N177" s="363" t="s">
        <v>93</v>
      </c>
      <c r="O177" s="339">
        <f>ROUND(M177*$E177/100,0)</f>
        <v>414934</v>
      </c>
      <c r="P177" s="376"/>
      <c r="T177" s="356">
        <f t="shared" si="45"/>
        <v>7.2094298245614086E-2</v>
      </c>
      <c r="U177" s="384"/>
    </row>
    <row r="178" spans="1:22">
      <c r="A178" s="352" t="s">
        <v>146</v>
      </c>
      <c r="C178" s="102">
        <v>17272261</v>
      </c>
      <c r="D178" s="374"/>
      <c r="E178" s="102">
        <f>ROUND(C178*($E$181-$E$180)/($C$181-$C$180),0)</f>
        <v>16243832</v>
      </c>
      <c r="F178" s="374"/>
      <c r="G178" s="407">
        <v>9.1155000000000008</v>
      </c>
      <c r="H178" s="363" t="s">
        <v>93</v>
      </c>
      <c r="I178" s="339">
        <f>ROUND($G178*C178/100,0)</f>
        <v>1574453</v>
      </c>
      <c r="J178" s="374"/>
      <c r="K178" s="339">
        <f>ROUND($G178*E178/100,0)</f>
        <v>1480707</v>
      </c>
      <c r="L178" s="374"/>
      <c r="M178" s="407">
        <f t="shared" si="44"/>
        <v>9.7726000000000006</v>
      </c>
      <c r="N178" s="363" t="s">
        <v>93</v>
      </c>
      <c r="O178" s="339">
        <f>ROUND(M178*$E178/100,0)</f>
        <v>1587445</v>
      </c>
      <c r="P178" s="376"/>
      <c r="T178" s="356">
        <f t="shared" si="45"/>
        <v>7.2086007350117942E-2</v>
      </c>
    </row>
    <row r="179" spans="1:22">
      <c r="A179" s="352" t="s">
        <v>147</v>
      </c>
      <c r="C179" s="102">
        <v>10240965.064062424</v>
      </c>
      <c r="D179" s="374"/>
      <c r="E179" s="102">
        <f>E181-E176-E177-E178</f>
        <v>9631195</v>
      </c>
      <c r="F179" s="374"/>
      <c r="G179" s="407">
        <v>2.7524999999999999</v>
      </c>
      <c r="H179" s="363" t="s">
        <v>93</v>
      </c>
      <c r="I179" s="339">
        <f>ROUND($G179*C179/100,0)</f>
        <v>281883</v>
      </c>
      <c r="J179" s="374"/>
      <c r="K179" s="339">
        <f>ROUND($G179*E179/100,0)</f>
        <v>265099</v>
      </c>
      <c r="L179" s="374"/>
      <c r="M179" s="407">
        <f t="shared" si="44"/>
        <v>2.9508999999999999</v>
      </c>
      <c r="N179" s="363" t="s">
        <v>93</v>
      </c>
      <c r="O179" s="339">
        <f>ROUND(M179*$E179/100,0)</f>
        <v>284207</v>
      </c>
      <c r="P179" s="376"/>
      <c r="Q179" s="332" t="s">
        <v>94</v>
      </c>
      <c r="R179" s="390">
        <f>O181/K181-1</f>
        <v>7.2292267904688456E-2</v>
      </c>
      <c r="T179" s="356">
        <f t="shared" si="45"/>
        <v>7.2079927338782879E-2</v>
      </c>
      <c r="V179" s="384"/>
    </row>
    <row r="180" spans="1:22">
      <c r="A180" s="352" t="s">
        <v>112</v>
      </c>
      <c r="C180" s="103">
        <v>294057</v>
      </c>
      <c r="E180" s="103">
        <v>0</v>
      </c>
      <c r="I180" s="383">
        <v>14880</v>
      </c>
      <c r="K180" s="383">
        <v>0</v>
      </c>
      <c r="O180" s="383">
        <v>0</v>
      </c>
      <c r="Q180" s="332" t="s">
        <v>115</v>
      </c>
      <c r="R180" s="402">
        <f>(O181)/(K181)-1</f>
        <v>7.2292267904688456E-2</v>
      </c>
    </row>
    <row r="181" spans="1:22" ht="16.5" thickBot="1">
      <c r="A181" s="352" t="s">
        <v>113</v>
      </c>
      <c r="C181" s="400">
        <f>C176+C177+C180+C178+C179</f>
        <v>57596944.429768607</v>
      </c>
      <c r="D181" s="374"/>
      <c r="E181" s="400">
        <v>53890945</v>
      </c>
      <c r="F181" s="374"/>
      <c r="G181" s="393"/>
      <c r="I181" s="394">
        <f>SUM(I172:I180)</f>
        <v>6386339</v>
      </c>
      <c r="K181" s="394">
        <f>SUM(K172:K180)</f>
        <v>5998387</v>
      </c>
      <c r="L181" s="374"/>
      <c r="M181" s="393"/>
      <c r="O181" s="394">
        <f>SUM(O172:O180)</f>
        <v>6432024</v>
      </c>
      <c r="R181" s="384"/>
    </row>
    <row r="182" spans="1:22" ht="16.5" thickTop="1">
      <c r="D182" s="374"/>
      <c r="F182" s="374"/>
      <c r="J182" s="374"/>
      <c r="L182" s="374"/>
      <c r="P182" s="339"/>
    </row>
    <row r="183" spans="1:22">
      <c r="A183" s="348" t="s">
        <v>152</v>
      </c>
      <c r="C183" s="102"/>
      <c r="E183" s="102"/>
      <c r="P183" s="339"/>
      <c r="R183" s="332"/>
      <c r="S183" s="392"/>
      <c r="T183" s="392"/>
    </row>
    <row r="184" spans="1:22">
      <c r="A184" s="408" t="s">
        <v>153</v>
      </c>
      <c r="C184" s="102"/>
      <c r="E184" s="102"/>
      <c r="I184" s="339"/>
      <c r="K184" s="339"/>
      <c r="O184" s="339"/>
      <c r="P184" s="339"/>
      <c r="Q184" s="99"/>
      <c r="R184" s="99"/>
      <c r="S184" s="392"/>
      <c r="T184" s="392"/>
    </row>
    <row r="185" spans="1:22">
      <c r="A185" s="352" t="s">
        <v>154</v>
      </c>
      <c r="B185" s="332">
        <v>29</v>
      </c>
      <c r="C185" s="102">
        <v>24</v>
      </c>
      <c r="E185" s="102">
        <f>ROUND(C185*$E$218/$C$218,0)</f>
        <v>23</v>
      </c>
      <c r="G185" s="99">
        <v>5.68</v>
      </c>
      <c r="H185" s="353"/>
      <c r="I185" s="339">
        <f>ROUND(G185*$C185,0)</f>
        <v>136</v>
      </c>
      <c r="K185" s="339">
        <f>ROUND(G185*$E185,0)</f>
        <v>131</v>
      </c>
      <c r="M185" s="99">
        <f>ROUND(G185*(1+R$217),2)</f>
        <v>5.68</v>
      </c>
      <c r="N185" s="353"/>
      <c r="O185" s="375">
        <f>ROUND(M185*$E185,0)</f>
        <v>131</v>
      </c>
      <c r="P185" s="339"/>
      <c r="Q185" s="99"/>
      <c r="R185" s="99"/>
      <c r="S185" s="392"/>
      <c r="T185" s="356">
        <f t="shared" ref="T185:T200" si="46">M185/G185-1</f>
        <v>0</v>
      </c>
    </row>
    <row r="186" spans="1:22">
      <c r="A186" s="352" t="s">
        <v>155</v>
      </c>
      <c r="B186" s="332">
        <v>1</v>
      </c>
      <c r="C186" s="102">
        <v>46731.085643869221</v>
      </c>
      <c r="E186" s="102">
        <f>ROUND(C186*$E$218/$C$218,0)</f>
        <v>44936</v>
      </c>
      <c r="G186" s="99">
        <v>16.38</v>
      </c>
      <c r="H186" s="353"/>
      <c r="I186" s="339">
        <f>ROUND(G186*$C186,0)</f>
        <v>765455</v>
      </c>
      <c r="K186" s="339">
        <f>ROUND(G186*$E186,0)</f>
        <v>736052</v>
      </c>
      <c r="M186" s="99">
        <f t="shared" ref="M186:M216" si="47">ROUND(G186*(1+R$217),2)</f>
        <v>16.38</v>
      </c>
      <c r="N186" s="353"/>
      <c r="O186" s="339">
        <f>ROUND(M186*$E186,0)</f>
        <v>736052</v>
      </c>
      <c r="P186" s="339"/>
      <c r="Q186" s="99"/>
      <c r="R186" s="99"/>
      <c r="S186" s="392"/>
      <c r="T186" s="356">
        <f t="shared" si="46"/>
        <v>0</v>
      </c>
    </row>
    <row r="187" spans="1:22">
      <c r="A187" s="352" t="s">
        <v>156</v>
      </c>
      <c r="B187" s="332">
        <v>28</v>
      </c>
      <c r="C187" s="102">
        <v>276</v>
      </c>
      <c r="E187" s="102">
        <f>ROUND(C187*$E$218/$C$218,0)</f>
        <v>265</v>
      </c>
      <c r="G187" s="99">
        <v>8.0500000000000007</v>
      </c>
      <c r="H187" s="353"/>
      <c r="I187" s="339">
        <f>ROUND(G187*$C187,0)</f>
        <v>2222</v>
      </c>
      <c r="K187" s="339">
        <f>ROUND(G187*$E187,0)</f>
        <v>2133</v>
      </c>
      <c r="M187" s="99">
        <f t="shared" si="47"/>
        <v>8.0500000000000007</v>
      </c>
      <c r="N187" s="353"/>
      <c r="O187" s="339">
        <f>ROUND(M187*$E187,0)</f>
        <v>2133</v>
      </c>
      <c r="P187" s="339"/>
      <c r="R187" s="332"/>
      <c r="S187" s="392"/>
      <c r="T187" s="356">
        <f t="shared" si="46"/>
        <v>0</v>
      </c>
    </row>
    <row r="188" spans="1:22">
      <c r="A188" s="352" t="s">
        <v>157</v>
      </c>
      <c r="B188" s="332">
        <v>2</v>
      </c>
      <c r="C188" s="102">
        <v>12006.937806257065</v>
      </c>
      <c r="E188" s="102">
        <f>ROUND(C188*$E$218/$C$218,0)</f>
        <v>11546</v>
      </c>
      <c r="G188" s="99">
        <v>26.78</v>
      </c>
      <c r="H188" s="353"/>
      <c r="I188" s="339">
        <f>ROUND(G188*$C188,0)</f>
        <v>321546</v>
      </c>
      <c r="K188" s="339">
        <f>ROUND(G188*$E188,0)</f>
        <v>309202</v>
      </c>
      <c r="M188" s="99">
        <f t="shared" si="47"/>
        <v>26.78</v>
      </c>
      <c r="N188" s="353"/>
      <c r="O188" s="339">
        <f>ROUND(M188*$E188,0)</f>
        <v>309202</v>
      </c>
      <c r="P188" s="339"/>
      <c r="Q188" s="99"/>
      <c r="R188" s="99"/>
      <c r="S188" s="392"/>
      <c r="T188" s="356">
        <f t="shared" si="46"/>
        <v>0</v>
      </c>
    </row>
    <row r="189" spans="1:22">
      <c r="A189" s="408" t="s">
        <v>158</v>
      </c>
      <c r="C189" s="102"/>
      <c r="E189" s="102"/>
      <c r="I189" s="339"/>
      <c r="K189" s="339"/>
      <c r="O189" s="339"/>
      <c r="P189" s="339"/>
      <c r="Q189" s="99"/>
      <c r="R189" s="99"/>
      <c r="S189" s="392"/>
      <c r="T189" s="356"/>
    </row>
    <row r="190" spans="1:22">
      <c r="A190" s="352" t="s">
        <v>159</v>
      </c>
      <c r="B190" s="332">
        <v>3</v>
      </c>
      <c r="C190" s="102">
        <v>3626.8001383125898</v>
      </c>
      <c r="E190" s="102">
        <f t="shared" ref="E190:E200" si="48">ROUND(C190*$E$218/$C$218,0)</f>
        <v>3488</v>
      </c>
      <c r="G190" s="99">
        <v>14.6</v>
      </c>
      <c r="H190" s="353"/>
      <c r="I190" s="339">
        <f t="shared" ref="I190:I200" si="49">ROUND(G190*$C190,0)</f>
        <v>52951</v>
      </c>
      <c r="K190" s="339">
        <f t="shared" ref="K190:K200" si="50">ROUND(G190*$E190,0)</f>
        <v>50925</v>
      </c>
      <c r="M190" s="99">
        <f t="shared" si="47"/>
        <v>14.6</v>
      </c>
      <c r="N190" s="353"/>
      <c r="O190" s="339">
        <f t="shared" ref="O190:O200" si="51">ROUND(M190*$E190,0)</f>
        <v>50925</v>
      </c>
      <c r="P190" s="339"/>
      <c r="Q190" s="99"/>
      <c r="R190" s="99"/>
      <c r="S190" s="392"/>
      <c r="T190" s="356">
        <f t="shared" si="46"/>
        <v>0</v>
      </c>
    </row>
    <row r="191" spans="1:22">
      <c r="A191" s="352" t="s">
        <v>160</v>
      </c>
      <c r="B191" s="332">
        <v>4</v>
      </c>
      <c r="C191" s="102">
        <v>1816.872112211217</v>
      </c>
      <c r="E191" s="102">
        <f t="shared" si="48"/>
        <v>1747</v>
      </c>
      <c r="G191" s="99">
        <v>12.23</v>
      </c>
      <c r="H191" s="353"/>
      <c r="I191" s="339">
        <f t="shared" si="49"/>
        <v>22220</v>
      </c>
      <c r="K191" s="339">
        <f t="shared" si="50"/>
        <v>21366</v>
      </c>
      <c r="M191" s="99">
        <f t="shared" si="47"/>
        <v>12.23</v>
      </c>
      <c r="N191" s="353"/>
      <c r="O191" s="339">
        <f t="shared" si="51"/>
        <v>21366</v>
      </c>
      <c r="P191" s="339"/>
      <c r="Q191" s="99"/>
      <c r="R191" s="99"/>
      <c r="S191" s="392"/>
      <c r="T191" s="356">
        <f t="shared" si="46"/>
        <v>0</v>
      </c>
    </row>
    <row r="192" spans="1:22">
      <c r="A192" s="352" t="s">
        <v>161</v>
      </c>
      <c r="B192" s="332">
        <v>5</v>
      </c>
      <c r="C192" s="102">
        <v>23973.750163078941</v>
      </c>
      <c r="E192" s="102">
        <f t="shared" si="48"/>
        <v>23053</v>
      </c>
      <c r="G192" s="99">
        <v>15.47</v>
      </c>
      <c r="H192" s="353"/>
      <c r="I192" s="339">
        <f t="shared" si="49"/>
        <v>370874</v>
      </c>
      <c r="K192" s="339">
        <f t="shared" si="50"/>
        <v>356630</v>
      </c>
      <c r="M192" s="99">
        <f t="shared" si="47"/>
        <v>15.47</v>
      </c>
      <c r="N192" s="353"/>
      <c r="O192" s="339">
        <f t="shared" si="51"/>
        <v>356630</v>
      </c>
      <c r="P192" s="339"/>
      <c r="Q192" s="99"/>
      <c r="R192" s="99"/>
      <c r="S192" s="392"/>
      <c r="T192" s="356">
        <f t="shared" si="46"/>
        <v>0</v>
      </c>
    </row>
    <row r="193" spans="1:20">
      <c r="A193" s="352" t="s">
        <v>162</v>
      </c>
      <c r="B193" s="332">
        <v>6</v>
      </c>
      <c r="C193" s="102">
        <v>23242.024260803628</v>
      </c>
      <c r="E193" s="102">
        <f t="shared" si="48"/>
        <v>22349</v>
      </c>
      <c r="G193" s="99">
        <v>13.31</v>
      </c>
      <c r="H193" s="353"/>
      <c r="I193" s="339">
        <f t="shared" si="49"/>
        <v>309351</v>
      </c>
      <c r="K193" s="339">
        <f t="shared" si="50"/>
        <v>297465</v>
      </c>
      <c r="M193" s="99">
        <f t="shared" si="47"/>
        <v>13.31</v>
      </c>
      <c r="N193" s="353"/>
      <c r="O193" s="339">
        <f t="shared" si="51"/>
        <v>297465</v>
      </c>
      <c r="P193" s="339"/>
      <c r="Q193" s="99"/>
      <c r="R193" s="99"/>
      <c r="S193" s="392"/>
      <c r="T193" s="356">
        <f t="shared" si="46"/>
        <v>0</v>
      </c>
    </row>
    <row r="194" spans="1:20">
      <c r="A194" s="352" t="s">
        <v>163</v>
      </c>
      <c r="B194" s="332">
        <v>7</v>
      </c>
      <c r="C194" s="102">
        <v>2713.9030082987542</v>
      </c>
      <c r="E194" s="102">
        <f t="shared" si="48"/>
        <v>2610</v>
      </c>
      <c r="G194" s="99">
        <v>19.46</v>
      </c>
      <c r="H194" s="353"/>
      <c r="I194" s="339">
        <f t="shared" si="49"/>
        <v>52813</v>
      </c>
      <c r="K194" s="339">
        <f t="shared" si="50"/>
        <v>50791</v>
      </c>
      <c r="M194" s="99">
        <f t="shared" si="47"/>
        <v>19.46</v>
      </c>
      <c r="N194" s="353"/>
      <c r="O194" s="339">
        <f t="shared" si="51"/>
        <v>50791</v>
      </c>
      <c r="P194" s="339"/>
      <c r="Q194" s="99"/>
      <c r="R194" s="99"/>
      <c r="S194" s="392"/>
      <c r="T194" s="356">
        <f t="shared" si="46"/>
        <v>0</v>
      </c>
    </row>
    <row r="195" spans="1:20">
      <c r="A195" s="352" t="s">
        <v>164</v>
      </c>
      <c r="B195" s="332">
        <v>8</v>
      </c>
      <c r="C195" s="102">
        <v>2746.4602239245751</v>
      </c>
      <c r="E195" s="102">
        <f t="shared" si="48"/>
        <v>2641</v>
      </c>
      <c r="G195" s="99">
        <v>17.13</v>
      </c>
      <c r="H195" s="353"/>
      <c r="I195" s="339">
        <f t="shared" si="49"/>
        <v>47047</v>
      </c>
      <c r="K195" s="339">
        <f t="shared" si="50"/>
        <v>45240</v>
      </c>
      <c r="M195" s="99">
        <f t="shared" si="47"/>
        <v>17.13</v>
      </c>
      <c r="N195" s="353"/>
      <c r="O195" s="339">
        <f t="shared" si="51"/>
        <v>45240</v>
      </c>
      <c r="P195" s="339"/>
      <c r="Q195" s="99"/>
      <c r="R195" s="99"/>
      <c r="S195" s="392"/>
      <c r="T195" s="356">
        <f t="shared" si="46"/>
        <v>0</v>
      </c>
    </row>
    <row r="196" spans="1:20">
      <c r="A196" s="352" t="s">
        <v>165</v>
      </c>
      <c r="B196" s="332">
        <v>9</v>
      </c>
      <c r="C196" s="102">
        <v>122.66650694777189</v>
      </c>
      <c r="E196" s="102">
        <f t="shared" si="48"/>
        <v>118</v>
      </c>
      <c r="G196" s="99">
        <v>21.07</v>
      </c>
      <c r="H196" s="353"/>
      <c r="I196" s="339">
        <f t="shared" si="49"/>
        <v>2585</v>
      </c>
      <c r="K196" s="339">
        <f t="shared" si="50"/>
        <v>2486</v>
      </c>
      <c r="M196" s="99">
        <f t="shared" si="47"/>
        <v>21.07</v>
      </c>
      <c r="N196" s="353"/>
      <c r="O196" s="339">
        <f t="shared" si="51"/>
        <v>2486</v>
      </c>
      <c r="P196" s="339"/>
      <c r="Q196" s="99"/>
      <c r="R196" s="99"/>
      <c r="S196" s="392"/>
      <c r="T196" s="356">
        <f t="shared" si="46"/>
        <v>0</v>
      </c>
    </row>
    <row r="197" spans="1:20">
      <c r="A197" s="352" t="s">
        <v>166</v>
      </c>
      <c r="B197" s="332">
        <v>10</v>
      </c>
      <c r="C197" s="102">
        <v>3360.826964362388</v>
      </c>
      <c r="E197" s="102">
        <f t="shared" si="48"/>
        <v>3232</v>
      </c>
      <c r="G197" s="99">
        <v>23.51</v>
      </c>
      <c r="H197" s="353"/>
      <c r="I197" s="339">
        <f t="shared" si="49"/>
        <v>79013</v>
      </c>
      <c r="K197" s="339">
        <f t="shared" si="50"/>
        <v>75984</v>
      </c>
      <c r="M197" s="99">
        <f t="shared" si="47"/>
        <v>23.51</v>
      </c>
      <c r="N197" s="353"/>
      <c r="O197" s="339">
        <f t="shared" si="51"/>
        <v>75984</v>
      </c>
      <c r="P197" s="339"/>
      <c r="Q197" s="99"/>
      <c r="R197" s="99"/>
      <c r="S197" s="392"/>
      <c r="T197" s="356">
        <f t="shared" si="46"/>
        <v>0</v>
      </c>
    </row>
    <row r="198" spans="1:20">
      <c r="A198" s="352" t="s">
        <v>167</v>
      </c>
      <c r="B198" s="332">
        <v>11</v>
      </c>
      <c r="C198" s="102">
        <v>3302.06609605326</v>
      </c>
      <c r="E198" s="102">
        <f t="shared" si="48"/>
        <v>3175</v>
      </c>
      <c r="G198" s="99">
        <v>21.23</v>
      </c>
      <c r="H198" s="353"/>
      <c r="I198" s="339">
        <f t="shared" si="49"/>
        <v>70103</v>
      </c>
      <c r="K198" s="339">
        <f t="shared" si="50"/>
        <v>67405</v>
      </c>
      <c r="M198" s="99">
        <f t="shared" si="47"/>
        <v>21.23</v>
      </c>
      <c r="N198" s="353"/>
      <c r="O198" s="339">
        <f t="shared" si="51"/>
        <v>67405</v>
      </c>
      <c r="P198" s="339"/>
      <c r="Q198" s="99"/>
      <c r="R198" s="99"/>
      <c r="S198" s="392"/>
      <c r="T198" s="356">
        <f t="shared" si="46"/>
        <v>0</v>
      </c>
    </row>
    <row r="199" spans="1:20">
      <c r="A199" s="352" t="s">
        <v>168</v>
      </c>
      <c r="B199" s="332">
        <v>12</v>
      </c>
      <c r="C199" s="102">
        <v>1212</v>
      </c>
      <c r="E199" s="102">
        <f t="shared" si="48"/>
        <v>1165</v>
      </c>
      <c r="G199" s="99">
        <v>28.3</v>
      </c>
      <c r="H199" s="353"/>
      <c r="I199" s="339">
        <f t="shared" si="49"/>
        <v>34300</v>
      </c>
      <c r="K199" s="339">
        <f t="shared" si="50"/>
        <v>32970</v>
      </c>
      <c r="M199" s="99">
        <f t="shared" si="47"/>
        <v>28.3</v>
      </c>
      <c r="N199" s="353"/>
      <c r="O199" s="339">
        <f t="shared" si="51"/>
        <v>32970</v>
      </c>
      <c r="P199" s="339"/>
      <c r="R199" s="332"/>
      <c r="S199" s="392"/>
      <c r="T199" s="356">
        <f t="shared" si="46"/>
        <v>0</v>
      </c>
    </row>
    <row r="200" spans="1:20">
      <c r="A200" s="352" t="s">
        <v>169</v>
      </c>
      <c r="B200" s="332">
        <v>13</v>
      </c>
      <c r="C200" s="102">
        <v>1906.86718446602</v>
      </c>
      <c r="E200" s="102">
        <f t="shared" si="48"/>
        <v>1834</v>
      </c>
      <c r="G200" s="99">
        <v>25.99</v>
      </c>
      <c r="H200" s="353"/>
      <c r="I200" s="339">
        <f t="shared" si="49"/>
        <v>49559</v>
      </c>
      <c r="K200" s="339">
        <f t="shared" si="50"/>
        <v>47666</v>
      </c>
      <c r="M200" s="99">
        <f t="shared" si="47"/>
        <v>25.99</v>
      </c>
      <c r="N200" s="353"/>
      <c r="O200" s="339">
        <f t="shared" si="51"/>
        <v>47666</v>
      </c>
      <c r="P200" s="339"/>
      <c r="Q200" s="99"/>
      <c r="R200" s="99"/>
      <c r="S200" s="392"/>
      <c r="T200" s="356">
        <f t="shared" si="46"/>
        <v>0</v>
      </c>
    </row>
    <row r="201" spans="1:20">
      <c r="A201" s="408" t="s">
        <v>170</v>
      </c>
      <c r="C201" s="102"/>
      <c r="E201" s="102"/>
      <c r="I201" s="339"/>
      <c r="K201" s="339"/>
      <c r="O201" s="339"/>
      <c r="P201" s="339"/>
      <c r="Q201" s="99"/>
      <c r="R201" s="99"/>
      <c r="S201" s="392"/>
      <c r="T201" s="392"/>
    </row>
    <row r="202" spans="1:20">
      <c r="A202" s="352" t="s">
        <v>163</v>
      </c>
      <c r="B202" s="332">
        <v>14</v>
      </c>
      <c r="C202" s="102">
        <v>4862.9030082987465</v>
      </c>
      <c r="E202" s="102">
        <f t="shared" ref="E202:E207" si="52">ROUND(C202*$E$218/$C$218,0)</f>
        <v>4676</v>
      </c>
      <c r="G202" s="99">
        <v>19.46</v>
      </c>
      <c r="H202" s="353"/>
      <c r="I202" s="339">
        <f t="shared" ref="I202:I207" si="53">ROUND(G202*$C202,0)</f>
        <v>94632</v>
      </c>
      <c r="K202" s="339">
        <f t="shared" ref="K202:K207" si="54">ROUND(G202*$E202,0)</f>
        <v>90995</v>
      </c>
      <c r="M202" s="99">
        <f t="shared" si="47"/>
        <v>19.46</v>
      </c>
      <c r="N202" s="353"/>
      <c r="O202" s="339">
        <f t="shared" ref="O202:O207" si="55">ROUND(M202*$E202,0)</f>
        <v>90995</v>
      </c>
      <c r="P202" s="339"/>
      <c r="Q202" s="99"/>
      <c r="R202" s="99"/>
      <c r="S202" s="392"/>
      <c r="T202" s="356">
        <f t="shared" ref="T202:T207" si="56">M202/G202-1</f>
        <v>0</v>
      </c>
    </row>
    <row r="203" spans="1:20">
      <c r="A203" s="352" t="s">
        <v>164</v>
      </c>
      <c r="B203" s="332">
        <v>15</v>
      </c>
      <c r="C203" s="102">
        <v>5271.6735415439089</v>
      </c>
      <c r="E203" s="102">
        <f t="shared" si="52"/>
        <v>5069</v>
      </c>
      <c r="G203" s="99">
        <v>17.13</v>
      </c>
      <c r="H203" s="353"/>
      <c r="I203" s="339">
        <f t="shared" si="53"/>
        <v>90304</v>
      </c>
      <c r="K203" s="339">
        <f t="shared" si="54"/>
        <v>86832</v>
      </c>
      <c r="M203" s="99">
        <f t="shared" si="47"/>
        <v>17.13</v>
      </c>
      <c r="N203" s="353"/>
      <c r="O203" s="339">
        <f t="shared" si="55"/>
        <v>86832</v>
      </c>
      <c r="P203" s="339"/>
      <c r="Q203" s="99"/>
      <c r="R203" s="99"/>
      <c r="S203" s="392"/>
      <c r="T203" s="356">
        <f t="shared" si="56"/>
        <v>0</v>
      </c>
    </row>
    <row r="204" spans="1:20">
      <c r="A204" s="352" t="s">
        <v>166</v>
      </c>
      <c r="B204" s="332">
        <v>16</v>
      </c>
      <c r="C204" s="102">
        <v>1171.9673679690859</v>
      </c>
      <c r="E204" s="102">
        <f t="shared" si="52"/>
        <v>1127</v>
      </c>
      <c r="G204" s="99">
        <v>23.51</v>
      </c>
      <c r="H204" s="353"/>
      <c r="I204" s="339">
        <f t="shared" si="53"/>
        <v>27553</v>
      </c>
      <c r="K204" s="339">
        <f t="shared" si="54"/>
        <v>26496</v>
      </c>
      <c r="M204" s="99">
        <f t="shared" si="47"/>
        <v>23.51</v>
      </c>
      <c r="N204" s="353"/>
      <c r="O204" s="339">
        <f t="shared" si="55"/>
        <v>26496</v>
      </c>
      <c r="Q204" s="99"/>
      <c r="R204" s="99"/>
      <c r="S204" s="392"/>
      <c r="T204" s="356">
        <f t="shared" si="56"/>
        <v>0</v>
      </c>
    </row>
    <row r="205" spans="1:20">
      <c r="A205" s="352" t="s">
        <v>167</v>
      </c>
      <c r="B205" s="332">
        <v>17</v>
      </c>
      <c r="C205" s="102">
        <v>1672.9339039467429</v>
      </c>
      <c r="E205" s="102">
        <f t="shared" si="52"/>
        <v>1609</v>
      </c>
      <c r="G205" s="99">
        <v>21.23</v>
      </c>
      <c r="H205" s="353"/>
      <c r="I205" s="339">
        <f t="shared" si="53"/>
        <v>35516</v>
      </c>
      <c r="K205" s="339">
        <f t="shared" si="54"/>
        <v>34159</v>
      </c>
      <c r="M205" s="99">
        <f t="shared" si="47"/>
        <v>21.23</v>
      </c>
      <c r="N205" s="353"/>
      <c r="O205" s="339">
        <f t="shared" si="55"/>
        <v>34159</v>
      </c>
      <c r="P205" s="339"/>
      <c r="Q205" s="99"/>
      <c r="R205" s="99"/>
      <c r="S205" s="392"/>
      <c r="T205" s="356">
        <f t="shared" si="56"/>
        <v>0</v>
      </c>
    </row>
    <row r="206" spans="1:20">
      <c r="A206" s="352" t="s">
        <v>168</v>
      </c>
      <c r="B206" s="332">
        <v>18</v>
      </c>
      <c r="C206" s="102">
        <v>10296.582025677601</v>
      </c>
      <c r="E206" s="102">
        <f t="shared" si="52"/>
        <v>9901</v>
      </c>
      <c r="G206" s="99">
        <v>28.3</v>
      </c>
      <c r="H206" s="353"/>
      <c r="I206" s="339">
        <f t="shared" si="53"/>
        <v>291393</v>
      </c>
      <c r="K206" s="339">
        <f t="shared" si="54"/>
        <v>280198</v>
      </c>
      <c r="M206" s="99">
        <f t="shared" si="47"/>
        <v>28.3</v>
      </c>
      <c r="N206" s="353"/>
      <c r="O206" s="339">
        <f t="shared" si="55"/>
        <v>280198</v>
      </c>
      <c r="P206" s="339"/>
      <c r="R206" s="332"/>
      <c r="S206" s="392"/>
      <c r="T206" s="356">
        <f t="shared" si="56"/>
        <v>0</v>
      </c>
    </row>
    <row r="207" spans="1:20">
      <c r="A207" s="352" t="s">
        <v>169</v>
      </c>
      <c r="B207" s="332">
        <v>19</v>
      </c>
      <c r="C207" s="102">
        <v>12031.368155339804</v>
      </c>
      <c r="E207" s="102">
        <f t="shared" si="52"/>
        <v>11569</v>
      </c>
      <c r="G207" s="99">
        <v>25.99</v>
      </c>
      <c r="H207" s="353"/>
      <c r="I207" s="339">
        <f t="shared" si="53"/>
        <v>312695</v>
      </c>
      <c r="K207" s="339">
        <f t="shared" si="54"/>
        <v>300678</v>
      </c>
      <c r="M207" s="99">
        <f t="shared" si="47"/>
        <v>25.99</v>
      </c>
      <c r="N207" s="353"/>
      <c r="O207" s="339">
        <f t="shared" si="55"/>
        <v>300678</v>
      </c>
      <c r="P207" s="339"/>
      <c r="Q207" s="99"/>
      <c r="R207" s="99"/>
      <c r="S207" s="392"/>
      <c r="T207" s="356">
        <f t="shared" si="56"/>
        <v>0</v>
      </c>
    </row>
    <row r="208" spans="1:20">
      <c r="A208" s="408" t="s">
        <v>171</v>
      </c>
      <c r="C208" s="102"/>
      <c r="E208" s="102"/>
      <c r="P208" s="339"/>
      <c r="Q208" s="99"/>
      <c r="R208" s="99"/>
      <c r="S208" s="392"/>
      <c r="T208" s="392"/>
    </row>
    <row r="209" spans="1:22">
      <c r="A209" s="352" t="s">
        <v>172</v>
      </c>
      <c r="B209" s="332">
        <v>20</v>
      </c>
      <c r="C209" s="102">
        <v>0</v>
      </c>
      <c r="E209" s="102">
        <f t="shared" ref="E209:E216" si="57">ROUND(C209*$E$218/$C$218,0)</f>
        <v>0</v>
      </c>
      <c r="G209" s="99">
        <v>29.4</v>
      </c>
      <c r="H209" s="353"/>
      <c r="I209" s="339">
        <f t="shared" ref="I209:I216" si="58">ROUND(G209*$C209,0)</f>
        <v>0</v>
      </c>
      <c r="K209" s="339">
        <f t="shared" ref="K209:K216" si="59">ROUND(G209*$E209,0)</f>
        <v>0</v>
      </c>
      <c r="M209" s="99">
        <f t="shared" si="47"/>
        <v>29.4</v>
      </c>
      <c r="N209" s="353"/>
      <c r="O209" s="339">
        <f t="shared" ref="O209:O216" si="60">ROUND(M209*$E209,0)</f>
        <v>0</v>
      </c>
      <c r="P209" s="339"/>
      <c r="Q209" s="99"/>
      <c r="R209" s="99"/>
      <c r="T209" s="356">
        <f t="shared" ref="T209:T216" si="61">M209/G209-1</f>
        <v>0</v>
      </c>
    </row>
    <row r="210" spans="1:22">
      <c r="A210" s="352" t="s">
        <v>173</v>
      </c>
      <c r="B210" s="332">
        <v>21</v>
      </c>
      <c r="C210" s="102">
        <v>252</v>
      </c>
      <c r="E210" s="102">
        <f t="shared" si="57"/>
        <v>242</v>
      </c>
      <c r="G210" s="99">
        <v>21.79</v>
      </c>
      <c r="H210" s="353"/>
      <c r="I210" s="339">
        <f t="shared" si="58"/>
        <v>5491</v>
      </c>
      <c r="K210" s="339">
        <f t="shared" si="59"/>
        <v>5273</v>
      </c>
      <c r="M210" s="99">
        <f t="shared" si="47"/>
        <v>21.79</v>
      </c>
      <c r="N210" s="353"/>
      <c r="O210" s="339">
        <f t="shared" si="60"/>
        <v>5273</v>
      </c>
      <c r="P210" s="339"/>
      <c r="Q210" s="99"/>
      <c r="R210" s="99"/>
      <c r="T210" s="356">
        <f t="shared" si="61"/>
        <v>0</v>
      </c>
    </row>
    <row r="211" spans="1:22">
      <c r="A211" s="352" t="s">
        <v>174</v>
      </c>
      <c r="B211" s="332">
        <v>22</v>
      </c>
      <c r="C211" s="102">
        <v>108.2669018224574</v>
      </c>
      <c r="E211" s="102">
        <f t="shared" si="57"/>
        <v>104</v>
      </c>
      <c r="G211" s="99">
        <v>34.340000000000003</v>
      </c>
      <c r="H211" s="353"/>
      <c r="I211" s="339">
        <f t="shared" si="58"/>
        <v>3718</v>
      </c>
      <c r="K211" s="339">
        <f t="shared" si="59"/>
        <v>3571</v>
      </c>
      <c r="M211" s="99">
        <f t="shared" si="47"/>
        <v>34.340000000000003</v>
      </c>
      <c r="N211" s="353"/>
      <c r="O211" s="339">
        <f t="shared" si="60"/>
        <v>3571</v>
      </c>
      <c r="P211" s="339"/>
      <c r="Q211" s="99"/>
      <c r="R211" s="99"/>
      <c r="T211" s="356">
        <f t="shared" si="61"/>
        <v>0</v>
      </c>
    </row>
    <row r="212" spans="1:22">
      <c r="A212" s="352" t="s">
        <v>175</v>
      </c>
      <c r="B212" s="332">
        <v>23</v>
      </c>
      <c r="C212" s="102">
        <v>96</v>
      </c>
      <c r="E212" s="102">
        <f t="shared" si="57"/>
        <v>92</v>
      </c>
      <c r="G212" s="99">
        <v>27.43</v>
      </c>
      <c r="H212" s="353"/>
      <c r="I212" s="339">
        <f t="shared" si="58"/>
        <v>2633</v>
      </c>
      <c r="K212" s="339">
        <f t="shared" si="59"/>
        <v>2524</v>
      </c>
      <c r="M212" s="99">
        <f t="shared" si="47"/>
        <v>27.43</v>
      </c>
      <c r="N212" s="353"/>
      <c r="O212" s="339">
        <f t="shared" si="60"/>
        <v>2524</v>
      </c>
      <c r="P212" s="339"/>
      <c r="Q212" s="99"/>
      <c r="R212" s="99"/>
      <c r="T212" s="356">
        <f t="shared" si="61"/>
        <v>0</v>
      </c>
    </row>
    <row r="213" spans="1:22">
      <c r="A213" s="352" t="s">
        <v>176</v>
      </c>
      <c r="B213" s="332">
        <v>24</v>
      </c>
      <c r="C213" s="102">
        <v>432</v>
      </c>
      <c r="E213" s="102">
        <f t="shared" si="57"/>
        <v>415</v>
      </c>
      <c r="G213" s="99">
        <v>36.69</v>
      </c>
      <c r="H213" s="353"/>
      <c r="I213" s="339">
        <f t="shared" si="58"/>
        <v>15850</v>
      </c>
      <c r="K213" s="339">
        <f t="shared" si="59"/>
        <v>15226</v>
      </c>
      <c r="M213" s="99">
        <f t="shared" si="47"/>
        <v>36.69</v>
      </c>
      <c r="N213" s="353"/>
      <c r="O213" s="339">
        <f t="shared" si="60"/>
        <v>15226</v>
      </c>
      <c r="P213" s="339"/>
      <c r="Q213" s="354" t="s">
        <v>87</v>
      </c>
      <c r="R213" s="355">
        <f>O221</f>
        <v>2964728</v>
      </c>
      <c r="T213" s="356">
        <f t="shared" si="61"/>
        <v>0</v>
      </c>
    </row>
    <row r="214" spans="1:22">
      <c r="A214" s="352" t="s">
        <v>177</v>
      </c>
      <c r="B214" s="332">
        <v>25</v>
      </c>
      <c r="C214" s="102">
        <v>556.06657608695696</v>
      </c>
      <c r="E214" s="102">
        <f t="shared" si="57"/>
        <v>535</v>
      </c>
      <c r="G214" s="99">
        <v>29.72</v>
      </c>
      <c r="H214" s="353"/>
      <c r="I214" s="339">
        <f t="shared" si="58"/>
        <v>16526</v>
      </c>
      <c r="K214" s="339">
        <f t="shared" si="59"/>
        <v>15900</v>
      </c>
      <c r="M214" s="99">
        <f t="shared" si="47"/>
        <v>29.72</v>
      </c>
      <c r="N214" s="353"/>
      <c r="O214" s="339">
        <f t="shared" si="60"/>
        <v>15900</v>
      </c>
      <c r="P214" s="339"/>
      <c r="Q214" s="358" t="s">
        <v>89</v>
      </c>
      <c r="R214" s="359">
        <f>'Baron Rate Spread'!M41*1000</f>
        <v>2964728</v>
      </c>
      <c r="T214" s="356">
        <f t="shared" si="61"/>
        <v>0</v>
      </c>
    </row>
    <row r="215" spans="1:22">
      <c r="A215" s="352" t="s">
        <v>178</v>
      </c>
      <c r="B215" s="332">
        <v>26</v>
      </c>
      <c r="C215" s="102">
        <v>24</v>
      </c>
      <c r="E215" s="102">
        <f t="shared" si="57"/>
        <v>23</v>
      </c>
      <c r="G215" s="99">
        <v>57.58</v>
      </c>
      <c r="H215" s="353"/>
      <c r="I215" s="339">
        <f t="shared" si="58"/>
        <v>1382</v>
      </c>
      <c r="K215" s="339">
        <f t="shared" si="59"/>
        <v>1324</v>
      </c>
      <c r="M215" s="99">
        <f t="shared" si="47"/>
        <v>57.58</v>
      </c>
      <c r="N215" s="353"/>
      <c r="O215" s="339">
        <f t="shared" si="60"/>
        <v>1324</v>
      </c>
      <c r="P215" s="376"/>
      <c r="Q215" s="360" t="s">
        <v>91</v>
      </c>
      <c r="R215" s="361">
        <f>R214-R213</f>
        <v>0</v>
      </c>
      <c r="T215" s="356">
        <f t="shared" si="61"/>
        <v>0</v>
      </c>
      <c r="U215" s="384"/>
      <c r="V215" s="409"/>
    </row>
    <row r="216" spans="1:22">
      <c r="A216" s="352" t="s">
        <v>179</v>
      </c>
      <c r="B216" s="332">
        <v>27</v>
      </c>
      <c r="C216" s="102">
        <v>108</v>
      </c>
      <c r="E216" s="102">
        <f t="shared" si="57"/>
        <v>104</v>
      </c>
      <c r="G216" s="99">
        <v>49.1</v>
      </c>
      <c r="H216" s="353"/>
      <c r="I216" s="339">
        <f t="shared" si="58"/>
        <v>5303</v>
      </c>
      <c r="K216" s="339">
        <f t="shared" si="59"/>
        <v>5106</v>
      </c>
      <c r="M216" s="99">
        <f t="shared" si="47"/>
        <v>49.1</v>
      </c>
      <c r="N216" s="353"/>
      <c r="O216" s="339">
        <f t="shared" si="60"/>
        <v>5106</v>
      </c>
      <c r="Q216" s="364" t="s">
        <v>94</v>
      </c>
      <c r="R216" s="398">
        <f>R213/K221-1</f>
        <v>0</v>
      </c>
      <c r="T216" s="356">
        <f t="shared" si="61"/>
        <v>0</v>
      </c>
      <c r="U216" s="384"/>
    </row>
    <row r="217" spans="1:22">
      <c r="A217" s="352" t="s">
        <v>180</v>
      </c>
      <c r="C217" s="102">
        <f>SUM(C185:C216)</f>
        <v>163946.02158927073</v>
      </c>
      <c r="E217" s="102">
        <f>SUM(E185:E216)</f>
        <v>157648</v>
      </c>
      <c r="I217" s="339">
        <f>SUM(I185:I216)</f>
        <v>3083171</v>
      </c>
      <c r="K217" s="339">
        <f>SUM(K185:K216)</f>
        <v>2964728</v>
      </c>
      <c r="O217" s="339">
        <f>SUM(O185:O216)</f>
        <v>2964728</v>
      </c>
      <c r="P217" s="339"/>
      <c r="Q217" s="380" t="s">
        <v>96</v>
      </c>
      <c r="R217" s="401">
        <f>R214/K221-1</f>
        <v>0</v>
      </c>
      <c r="S217" s="410"/>
      <c r="V217" s="384"/>
    </row>
    <row r="218" spans="1:22">
      <c r="A218" s="352" t="s">
        <v>181</v>
      </c>
      <c r="C218" s="346">
        <v>12813688.719947744</v>
      </c>
      <c r="E218" s="346">
        <v>12321574.48</v>
      </c>
      <c r="I218" s="339"/>
      <c r="K218" s="339"/>
      <c r="O218" s="339"/>
      <c r="P218" s="376"/>
      <c r="Q218" s="350" t="s">
        <v>115</v>
      </c>
      <c r="R218" s="411">
        <f>(O221)/(K221)-1</f>
        <v>0</v>
      </c>
      <c r="V218" s="384"/>
    </row>
    <row r="219" spans="1:22">
      <c r="A219" s="352" t="s">
        <v>182</v>
      </c>
      <c r="C219" s="412">
        <v>342</v>
      </c>
      <c r="E219" s="412">
        <v>0</v>
      </c>
      <c r="G219" s="413"/>
      <c r="I219" s="414">
        <v>78</v>
      </c>
      <c r="K219" s="414">
        <v>0</v>
      </c>
      <c r="M219" s="413"/>
      <c r="O219" s="414">
        <v>0</v>
      </c>
      <c r="P219" s="376"/>
      <c r="Q219" s="332" t="s">
        <v>183</v>
      </c>
      <c r="R219" s="398">
        <f>O221/K221-1</f>
        <v>0</v>
      </c>
      <c r="T219" s="410"/>
      <c r="U219" s="410"/>
      <c r="V219" s="384"/>
    </row>
    <row r="220" spans="1:22">
      <c r="A220" s="352" t="s">
        <v>9</v>
      </c>
      <c r="C220" s="102">
        <v>8028.1666666666661</v>
      </c>
      <c r="E220" s="102">
        <v>7865</v>
      </c>
      <c r="S220" s="395"/>
    </row>
    <row r="221" spans="1:22" ht="16.5" thickBot="1">
      <c r="A221" s="352" t="s">
        <v>184</v>
      </c>
      <c r="C221" s="415">
        <f>C218+C219</f>
        <v>12814030.719947744</v>
      </c>
      <c r="E221" s="415">
        <f>E218+E219</f>
        <v>12321574.48</v>
      </c>
      <c r="G221" s="386"/>
      <c r="I221" s="387">
        <f>I219+I217</f>
        <v>3083249</v>
      </c>
      <c r="K221" s="387">
        <f>K219+K217</f>
        <v>2964728</v>
      </c>
      <c r="M221" s="386"/>
      <c r="O221" s="387">
        <f>O219+O217</f>
        <v>2964728</v>
      </c>
      <c r="S221" s="395"/>
    </row>
    <row r="222" spans="1:22" ht="16.5" thickTop="1">
      <c r="C222" s="102"/>
      <c r="E222" s="102"/>
      <c r="P222" s="339"/>
      <c r="S222" s="395"/>
      <c r="T222" s="395"/>
      <c r="U222" s="339"/>
      <c r="V222" s="102"/>
    </row>
    <row r="223" spans="1:22">
      <c r="A223" s="348" t="s">
        <v>185</v>
      </c>
      <c r="C223" s="102"/>
      <c r="E223" s="102"/>
      <c r="P223" s="339"/>
      <c r="S223" s="395"/>
      <c r="T223" s="395"/>
      <c r="U223" s="339"/>
      <c r="V223" s="102"/>
    </row>
    <row r="224" spans="1:22">
      <c r="A224" s="352" t="s">
        <v>124</v>
      </c>
      <c r="C224" s="102">
        <f t="shared" ref="C224:C233" si="62">C236+C248</f>
        <v>3290.2661346801333</v>
      </c>
      <c r="E224" s="102">
        <f t="shared" ref="E224:E233" si="63">E236+E248</f>
        <v>3565</v>
      </c>
      <c r="G224" s="99">
        <v>62</v>
      </c>
      <c r="H224" s="353"/>
      <c r="I224" s="339">
        <f>ROUND($G224*C224,0)</f>
        <v>203997</v>
      </c>
      <c r="K224" s="339">
        <f>ROUND($G224*E224,0)</f>
        <v>221030</v>
      </c>
      <c r="M224" s="99">
        <f>ROUND(G224*(1+R229),0)</f>
        <v>68</v>
      </c>
      <c r="N224" s="353"/>
      <c r="O224" s="339">
        <f>ROUND(M224*$E224,0)</f>
        <v>242420</v>
      </c>
      <c r="P224" s="339"/>
      <c r="Q224" s="99"/>
      <c r="T224" s="356">
        <f t="shared" ref="T224:T231" si="64">M224/G224-1</f>
        <v>9.6774193548387011E-2</v>
      </c>
      <c r="U224" s="339"/>
      <c r="V224" s="102"/>
    </row>
    <row r="225" spans="1:22">
      <c r="A225" s="352" t="s">
        <v>186</v>
      </c>
      <c r="C225" s="102">
        <f t="shared" si="62"/>
        <v>4654703.8945174012</v>
      </c>
      <c r="E225" s="102">
        <f t="shared" si="63"/>
        <v>4772324</v>
      </c>
      <c r="G225" s="99">
        <v>4.22</v>
      </c>
      <c r="H225" s="353"/>
      <c r="I225" s="339">
        <f>ROUND($G225*C225,0)</f>
        <v>19642850</v>
      </c>
      <c r="K225" s="339">
        <f>ROUND($G225*E225,0)</f>
        <v>20139207</v>
      </c>
      <c r="M225" s="99">
        <f>ROUND(G225*(1+$R$230),2)</f>
        <v>4.6500000000000004</v>
      </c>
      <c r="N225" s="353"/>
      <c r="O225" s="339">
        <f>ROUND(M225*$E225,0)</f>
        <v>22191307</v>
      </c>
      <c r="P225" s="339"/>
      <c r="Q225" s="354" t="s">
        <v>87</v>
      </c>
      <c r="R225" s="355">
        <f>O233</f>
        <v>156063407</v>
      </c>
      <c r="T225" s="356">
        <f t="shared" si="64"/>
        <v>0.10189573459715651</v>
      </c>
      <c r="U225" s="339"/>
      <c r="V225" s="102"/>
    </row>
    <row r="226" spans="1:22">
      <c r="A226" s="352" t="s">
        <v>187</v>
      </c>
      <c r="C226" s="102">
        <f t="shared" si="62"/>
        <v>1926281.5360222976</v>
      </c>
      <c r="E226" s="102">
        <f t="shared" si="63"/>
        <v>1975920</v>
      </c>
      <c r="G226" s="99">
        <v>13.81</v>
      </c>
      <c r="H226" s="353"/>
      <c r="I226" s="339">
        <f>ROUND($G226*C226,0)</f>
        <v>26601948</v>
      </c>
      <c r="K226" s="339">
        <f>ROUND($G226*E226,0)</f>
        <v>27287455</v>
      </c>
      <c r="M226" s="99">
        <f>ROUND(G226*(1+$R$230),2)</f>
        <v>15.23</v>
      </c>
      <c r="N226" s="353"/>
      <c r="O226" s="339">
        <f>ROUND(M226*$E226,0)</f>
        <v>30093262</v>
      </c>
      <c r="P226" s="339"/>
      <c r="Q226" s="358" t="s">
        <v>89</v>
      </c>
      <c r="R226" s="359">
        <f>('Baron Rate Spread'!M24)*1000</f>
        <v>156063025</v>
      </c>
      <c r="T226" s="356">
        <f t="shared" si="64"/>
        <v>0.10282404055032579</v>
      </c>
      <c r="V226" s="102"/>
    </row>
    <row r="227" spans="1:22">
      <c r="A227" s="352" t="s">
        <v>188</v>
      </c>
      <c r="C227" s="102">
        <f t="shared" si="62"/>
        <v>2601993.2297297344</v>
      </c>
      <c r="E227" s="102">
        <f t="shared" si="63"/>
        <v>2667179</v>
      </c>
      <c r="G227" s="99">
        <v>9.94</v>
      </c>
      <c r="H227" s="353"/>
      <c r="I227" s="339">
        <f>ROUND($G227*C227,0)</f>
        <v>25863813</v>
      </c>
      <c r="K227" s="339">
        <f>ROUND($G227*E227,0)</f>
        <v>26511759</v>
      </c>
      <c r="M227" s="99">
        <f>ROUND(G227*(1+$R$230),2)</f>
        <v>10.96</v>
      </c>
      <c r="N227" s="353"/>
      <c r="O227" s="339">
        <f>ROUND(M227*$E227,0)</f>
        <v>29232282</v>
      </c>
      <c r="P227" s="339"/>
      <c r="Q227" s="360" t="s">
        <v>91</v>
      </c>
      <c r="R227" s="361">
        <f>R226-R225</f>
        <v>-382</v>
      </c>
      <c r="S227" s="410"/>
      <c r="T227" s="356">
        <f t="shared" si="64"/>
        <v>0.10261569416499006</v>
      </c>
      <c r="V227" s="102"/>
    </row>
    <row r="228" spans="1:22">
      <c r="A228" s="352" t="s">
        <v>127</v>
      </c>
      <c r="C228" s="102">
        <f t="shared" si="62"/>
        <v>1859656.556313127</v>
      </c>
      <c r="E228" s="102">
        <f t="shared" si="63"/>
        <v>1901244</v>
      </c>
      <c r="G228" s="99">
        <v>-1.01</v>
      </c>
      <c r="H228" s="353"/>
      <c r="I228" s="339">
        <f>ROUND($G228*C228,0)</f>
        <v>-1878253</v>
      </c>
      <c r="K228" s="339">
        <f>ROUND($G228*E228,0)</f>
        <v>-1920256</v>
      </c>
      <c r="M228" s="99">
        <f>ROUND(G228*(1+$R$230),2)</f>
        <v>-1.1100000000000001</v>
      </c>
      <c r="N228" s="353"/>
      <c r="O228" s="339">
        <f>ROUND(M228*$E228,0)</f>
        <v>-2110381</v>
      </c>
      <c r="P228" s="376"/>
      <c r="Q228" s="364" t="s">
        <v>94</v>
      </c>
      <c r="R228" s="398">
        <f>R225/K233-1</f>
        <v>0.10246492664868834</v>
      </c>
      <c r="T228" s="356">
        <f t="shared" si="64"/>
        <v>9.9009900990099098E-2</v>
      </c>
    </row>
    <row r="229" spans="1:22">
      <c r="A229" s="352" t="s">
        <v>120</v>
      </c>
      <c r="C229" s="102">
        <f t="shared" si="62"/>
        <v>242547209</v>
      </c>
      <c r="E229" s="102">
        <f t="shared" si="63"/>
        <v>250201729</v>
      </c>
      <c r="G229" s="416">
        <v>4.4812000000000003</v>
      </c>
      <c r="H229" s="363" t="s">
        <v>93</v>
      </c>
      <c r="I229" s="339">
        <f>ROUND($G229*C229/100,0)</f>
        <v>10869026</v>
      </c>
      <c r="K229" s="339">
        <f>ROUND($G229*E229/100,0)</f>
        <v>11212040</v>
      </c>
      <c r="M229" s="416">
        <f>ROUND(G229*(1+$R$230),4)</f>
        <v>4.9404000000000003</v>
      </c>
      <c r="N229" s="363" t="s">
        <v>93</v>
      </c>
      <c r="O229" s="339">
        <f>ROUND(M229*$E229/100,0)</f>
        <v>12360966</v>
      </c>
      <c r="P229" s="376"/>
      <c r="Q229" s="368" t="s">
        <v>96</v>
      </c>
      <c r="R229" s="399">
        <f>R226/K233-1</f>
        <v>0.10246222811986549</v>
      </c>
      <c r="T229" s="356">
        <f t="shared" si="64"/>
        <v>0.10247255199500138</v>
      </c>
      <c r="U229" s="410"/>
    </row>
    <row r="230" spans="1:22">
      <c r="A230" s="352" t="s">
        <v>146</v>
      </c>
      <c r="C230" s="102">
        <f t="shared" si="62"/>
        <v>578315212</v>
      </c>
      <c r="E230" s="102">
        <f t="shared" si="63"/>
        <v>596020623</v>
      </c>
      <c r="G230" s="416">
        <v>3.5078</v>
      </c>
      <c r="H230" s="363" t="s">
        <v>93</v>
      </c>
      <c r="I230" s="339">
        <f>ROUND($G230*C230/100,0)</f>
        <v>20286141</v>
      </c>
      <c r="K230" s="339">
        <f>ROUND($G230*E230/100,0)</f>
        <v>20907211</v>
      </c>
      <c r="M230" s="416">
        <f>ROUND(G230*(1+$R$230),4)</f>
        <v>3.8672</v>
      </c>
      <c r="N230" s="363" t="s">
        <v>93</v>
      </c>
      <c r="O230" s="339">
        <f>ROUND(M230*$E230/100,0)</f>
        <v>23049310</v>
      </c>
      <c r="P230" s="376"/>
      <c r="Q230" s="368" t="s">
        <v>132</v>
      </c>
      <c r="R230" s="399">
        <f>(R226-O224)/(K233-K224)-1</f>
        <v>0.10247112332131003</v>
      </c>
      <c r="T230" s="356">
        <f t="shared" si="64"/>
        <v>0.10245738069445243</v>
      </c>
    </row>
    <row r="231" spans="1:22">
      <c r="A231" s="352" t="s">
        <v>189</v>
      </c>
      <c r="C231" s="102">
        <f t="shared" si="62"/>
        <v>1192608671.5596623</v>
      </c>
      <c r="E231" s="102">
        <f t="shared" si="63"/>
        <v>1230693339</v>
      </c>
      <c r="G231" s="416">
        <v>3.0226999999999999</v>
      </c>
      <c r="H231" s="363" t="s">
        <v>93</v>
      </c>
      <c r="I231" s="339">
        <f>ROUND($G231*C231/100,0)</f>
        <v>36048982</v>
      </c>
      <c r="K231" s="339">
        <f>ROUND($G231*E231/100,0)</f>
        <v>37200168</v>
      </c>
      <c r="M231" s="416">
        <f>ROUND((R226-SUM(O224:O230))/E231*100,4)</f>
        <v>3.3317999999999999</v>
      </c>
      <c r="N231" s="363" t="s">
        <v>93</v>
      </c>
      <c r="O231" s="339">
        <f>ROUND(M231*$E231/100,0)</f>
        <v>41004241</v>
      </c>
      <c r="P231" s="376"/>
      <c r="Q231" s="380" t="s">
        <v>100</v>
      </c>
      <c r="R231" s="417">
        <f>M224/G224-1</f>
        <v>9.6774193548387011E-2</v>
      </c>
      <c r="T231" s="356">
        <f t="shared" si="64"/>
        <v>0.1022595692592716</v>
      </c>
      <c r="V231" s="410"/>
    </row>
    <row r="232" spans="1:22">
      <c r="A232" s="352" t="s">
        <v>112</v>
      </c>
      <c r="C232" s="103">
        <f t="shared" si="62"/>
        <v>8739279</v>
      </c>
      <c r="E232" s="103">
        <f t="shared" si="63"/>
        <v>0</v>
      </c>
      <c r="I232" s="383">
        <f>I244+I256</f>
        <v>262795</v>
      </c>
      <c r="K232" s="383">
        <f>K244+K256</f>
        <v>0</v>
      </c>
      <c r="O232" s="383">
        <v>0</v>
      </c>
      <c r="Q232" s="350" t="s">
        <v>115</v>
      </c>
      <c r="R232" s="411">
        <f>(O233)/(K233)-1</f>
        <v>0.10246492664868834</v>
      </c>
      <c r="S232" s="395"/>
    </row>
    <row r="233" spans="1:22" ht="16.5" thickBot="1">
      <c r="A233" s="352" t="s">
        <v>113</v>
      </c>
      <c r="C233" s="400">
        <f t="shared" si="62"/>
        <v>2022210371.5596623</v>
      </c>
      <c r="E233" s="400">
        <f t="shared" si="63"/>
        <v>2076915691</v>
      </c>
      <c r="G233" s="393"/>
      <c r="I233" s="394">
        <f>SUM(I224:I232)</f>
        <v>137901299</v>
      </c>
      <c r="K233" s="394">
        <f>SUM(K224:K232)</f>
        <v>141558614</v>
      </c>
      <c r="M233" s="393"/>
      <c r="O233" s="394">
        <f>SUM(O224:O232)</f>
        <v>156063407</v>
      </c>
      <c r="Q233" s="350" t="s">
        <v>525</v>
      </c>
      <c r="R233" s="101">
        <f>(G229-G231)</f>
        <v>1.4585000000000004</v>
      </c>
      <c r="S233" s="395"/>
      <c r="T233" s="328">
        <f>M229-M231</f>
        <v>1.6086000000000005</v>
      </c>
    </row>
    <row r="234" spans="1:22" ht="16.5" thickTop="1">
      <c r="P234" s="339"/>
      <c r="S234" s="395"/>
      <c r="T234" s="397"/>
      <c r="U234" s="339"/>
      <c r="V234" s="102"/>
    </row>
    <row r="235" spans="1:22">
      <c r="A235" s="348" t="s">
        <v>190</v>
      </c>
      <c r="P235" s="339"/>
      <c r="S235" s="395"/>
      <c r="T235" s="395"/>
      <c r="U235" s="339"/>
      <c r="V235" s="102"/>
    </row>
    <row r="236" spans="1:22">
      <c r="A236" s="352" t="s">
        <v>124</v>
      </c>
      <c r="C236" s="102">
        <v>1860.7010707070679</v>
      </c>
      <c r="E236" s="102">
        <v>2102</v>
      </c>
      <c r="G236" s="375">
        <v>62</v>
      </c>
      <c r="H236" s="374"/>
      <c r="I236" s="339">
        <f>ROUND($G236*C236,0)</f>
        <v>115363</v>
      </c>
      <c r="K236" s="339">
        <f>ROUND($G236*E236,0)</f>
        <v>130324</v>
      </c>
      <c r="M236" s="375">
        <f t="shared" ref="M236:M243" si="65">M224</f>
        <v>68</v>
      </c>
      <c r="N236" s="374"/>
      <c r="O236" s="339">
        <f>ROUND(M236*$E236,0)</f>
        <v>142936</v>
      </c>
      <c r="P236" s="339"/>
      <c r="Q236" s="99"/>
      <c r="R236" s="99"/>
      <c r="T236" s="356">
        <f t="shared" ref="T236:T243" si="66">M236/G236-1</f>
        <v>9.6774193548387011E-2</v>
      </c>
      <c r="U236" s="339"/>
      <c r="V236" s="102"/>
    </row>
    <row r="237" spans="1:22">
      <c r="A237" s="352" t="s">
        <v>186</v>
      </c>
      <c r="C237" s="102">
        <v>2216153.7901130705</v>
      </c>
      <c r="E237" s="102">
        <f>ROUND(C237*$E$245/$C$245,0)</f>
        <v>2353386</v>
      </c>
      <c r="G237" s="375">
        <v>4.22</v>
      </c>
      <c r="H237" s="374"/>
      <c r="I237" s="339">
        <f>ROUND($G237*C237,0)</f>
        <v>9352169</v>
      </c>
      <c r="K237" s="339">
        <f>ROUND($G237*E237,0)</f>
        <v>9931289</v>
      </c>
      <c r="M237" s="375">
        <f t="shared" si="65"/>
        <v>4.6500000000000004</v>
      </c>
      <c r="N237" s="374"/>
      <c r="O237" s="339">
        <f>ROUND(M237*$E237,0)</f>
        <v>10943245</v>
      </c>
      <c r="P237" s="339"/>
      <c r="Q237" s="99"/>
      <c r="R237" s="99"/>
      <c r="T237" s="356">
        <f t="shared" si="66"/>
        <v>0.10189573459715651</v>
      </c>
      <c r="U237" s="339"/>
      <c r="V237" s="102"/>
    </row>
    <row r="238" spans="1:22">
      <c r="A238" s="352" t="s">
        <v>187</v>
      </c>
      <c r="C238" s="102">
        <v>930887.45272676111</v>
      </c>
      <c r="E238" s="102">
        <f>ROUND(C238*$E$245/$C$245,0)</f>
        <v>988531</v>
      </c>
      <c r="G238" s="375">
        <v>13.81</v>
      </c>
      <c r="H238" s="374"/>
      <c r="I238" s="339">
        <f>ROUND($G238*C238,0)</f>
        <v>12855556</v>
      </c>
      <c r="K238" s="339">
        <f>ROUND($G238*E238,0)</f>
        <v>13651613</v>
      </c>
      <c r="M238" s="375">
        <f t="shared" si="65"/>
        <v>15.23</v>
      </c>
      <c r="N238" s="374"/>
      <c r="O238" s="339">
        <f>ROUND(M238*$E238,0)</f>
        <v>15055327</v>
      </c>
      <c r="P238" s="339"/>
      <c r="Q238" s="99"/>
      <c r="T238" s="356">
        <f t="shared" si="66"/>
        <v>0.10282404055032579</v>
      </c>
      <c r="V238" s="102"/>
    </row>
    <row r="239" spans="1:22">
      <c r="A239" s="352" t="s">
        <v>188</v>
      </c>
      <c r="C239" s="102">
        <v>1230777.974099102</v>
      </c>
      <c r="E239" s="102">
        <f>ROUND(C239*$E$245/$C$245,0)</f>
        <v>1306992</v>
      </c>
      <c r="G239" s="375">
        <v>9.94</v>
      </c>
      <c r="H239" s="374"/>
      <c r="I239" s="339">
        <f>ROUND($G239*C239,0)</f>
        <v>12233933</v>
      </c>
      <c r="K239" s="339">
        <f>ROUND($G239*E239,0)</f>
        <v>12991500</v>
      </c>
      <c r="M239" s="375">
        <f t="shared" si="65"/>
        <v>10.96</v>
      </c>
      <c r="N239" s="374"/>
      <c r="O239" s="339">
        <f>ROUND(M239*$E239,0)</f>
        <v>14324632</v>
      </c>
      <c r="P239" s="339"/>
      <c r="R239" s="396"/>
      <c r="S239" s="410"/>
      <c r="T239" s="356">
        <f t="shared" si="66"/>
        <v>0.10261569416499006</v>
      </c>
      <c r="V239" s="102"/>
    </row>
    <row r="240" spans="1:22">
      <c r="A240" s="352" t="s">
        <v>127</v>
      </c>
      <c r="C240" s="102">
        <v>808156.99747474701</v>
      </c>
      <c r="E240" s="102">
        <f>ROUND(C240*$E$245/$C$245,0)</f>
        <v>858201</v>
      </c>
      <c r="G240" s="375">
        <v>-1.01</v>
      </c>
      <c r="H240" s="374"/>
      <c r="I240" s="339">
        <f>ROUND($G240*C240,0)</f>
        <v>-816239</v>
      </c>
      <c r="K240" s="339">
        <f>ROUND($G240*E240,0)</f>
        <v>-866783</v>
      </c>
      <c r="M240" s="375">
        <f t="shared" si="65"/>
        <v>-1.1100000000000001</v>
      </c>
      <c r="N240" s="374"/>
      <c r="O240" s="339">
        <f>ROUND(M240*$E240,0)</f>
        <v>-952603</v>
      </c>
      <c r="P240" s="376"/>
      <c r="R240" s="396"/>
      <c r="T240" s="356">
        <f t="shared" si="66"/>
        <v>9.9009900990099098E-2</v>
      </c>
    </row>
    <row r="241" spans="1:22">
      <c r="A241" s="352" t="s">
        <v>120</v>
      </c>
      <c r="C241" s="102">
        <v>121964279</v>
      </c>
      <c r="E241" s="102">
        <f>ROUND(C241*($E$245-$E$244)/($C$245-$C$244),0)</f>
        <v>129940781</v>
      </c>
      <c r="G241" s="397">
        <v>4.4812000000000003</v>
      </c>
      <c r="H241" s="363" t="s">
        <v>93</v>
      </c>
      <c r="I241" s="339">
        <f>ROUND($G241*C241/100,0)</f>
        <v>5465463</v>
      </c>
      <c r="K241" s="339">
        <f>ROUND($G241*E241/100,0)</f>
        <v>5822906</v>
      </c>
      <c r="M241" s="397">
        <f t="shared" si="65"/>
        <v>4.9404000000000003</v>
      </c>
      <c r="N241" s="363" t="s">
        <v>93</v>
      </c>
      <c r="O241" s="339">
        <f>ROUND(M241*$E241/100,0)</f>
        <v>6419594</v>
      </c>
      <c r="P241" s="376"/>
      <c r="R241" s="396"/>
      <c r="T241" s="356">
        <f t="shared" si="66"/>
        <v>0.10247255199500138</v>
      </c>
      <c r="U241" s="410"/>
    </row>
    <row r="242" spans="1:22">
      <c r="A242" s="352" t="s">
        <v>146</v>
      </c>
      <c r="C242" s="102">
        <v>282789600</v>
      </c>
      <c r="E242" s="102">
        <f>ROUND(C242*($E$245-$E$244)/($C$245-$C$244),0)</f>
        <v>301284127</v>
      </c>
      <c r="G242" s="397">
        <v>3.5078</v>
      </c>
      <c r="H242" s="363" t="s">
        <v>93</v>
      </c>
      <c r="I242" s="339">
        <f>ROUND($G242*C242/100,0)</f>
        <v>9919694</v>
      </c>
      <c r="K242" s="339">
        <f>ROUND($G242*E242/100,0)</f>
        <v>10568445</v>
      </c>
      <c r="M242" s="397">
        <f t="shared" si="65"/>
        <v>3.8672</v>
      </c>
      <c r="N242" s="363" t="s">
        <v>93</v>
      </c>
      <c r="O242" s="339">
        <f>ROUND(M242*$E242/100,0)</f>
        <v>11651260</v>
      </c>
      <c r="P242" s="376"/>
      <c r="T242" s="356">
        <f t="shared" si="66"/>
        <v>0.10245738069445243</v>
      </c>
    </row>
    <row r="243" spans="1:22">
      <c r="A243" s="352" t="s">
        <v>189</v>
      </c>
      <c r="C243" s="102">
        <v>606271028.55966222</v>
      </c>
      <c r="E243" s="102">
        <f>E245-E241-E242</f>
        <v>645921341</v>
      </c>
      <c r="G243" s="397">
        <v>3.0226999999999999</v>
      </c>
      <c r="H243" s="363" t="s">
        <v>93</v>
      </c>
      <c r="I243" s="339">
        <f>ROUND($G243*C243/100,0)</f>
        <v>18325754</v>
      </c>
      <c r="K243" s="339">
        <f>ROUND($G243*E243/100,0)</f>
        <v>19524264</v>
      </c>
      <c r="M243" s="397">
        <f t="shared" si="65"/>
        <v>3.3317999999999999</v>
      </c>
      <c r="N243" s="363" t="s">
        <v>93</v>
      </c>
      <c r="O243" s="339">
        <f>ROUND(M243*$E243/100,0)</f>
        <v>21520807</v>
      </c>
      <c r="P243" s="376"/>
      <c r="Q243" s="332" t="s">
        <v>94</v>
      </c>
      <c r="R243" s="390">
        <f>O245/K245-1</f>
        <v>0.10245680081815589</v>
      </c>
      <c r="T243" s="356">
        <f t="shared" si="66"/>
        <v>0.1022595692592716</v>
      </c>
      <c r="V243" s="410"/>
    </row>
    <row r="244" spans="1:22">
      <c r="A244" s="352" t="s">
        <v>112</v>
      </c>
      <c r="C244" s="103">
        <v>3310108</v>
      </c>
      <c r="E244" s="103">
        <v>0</v>
      </c>
      <c r="I244" s="383">
        <v>94217</v>
      </c>
      <c r="K244" s="383">
        <v>0</v>
      </c>
      <c r="O244" s="383">
        <v>0</v>
      </c>
      <c r="R244" s="402"/>
    </row>
    <row r="245" spans="1:22" ht="16.5" thickBot="1">
      <c r="A245" s="352" t="s">
        <v>113</v>
      </c>
      <c r="C245" s="400">
        <f>SUM(C241:C244)</f>
        <v>1014335015.5596622</v>
      </c>
      <c r="E245" s="400">
        <v>1077146249</v>
      </c>
      <c r="G245" s="393"/>
      <c r="I245" s="394">
        <f>SUM(I236:I244)</f>
        <v>67545910</v>
      </c>
      <c r="K245" s="394">
        <f>SUM(K236:K244)</f>
        <v>71753558</v>
      </c>
      <c r="M245" s="393"/>
      <c r="O245" s="394">
        <f>SUM(O236:O244)</f>
        <v>79105198</v>
      </c>
      <c r="R245" s="410"/>
    </row>
    <row r="246" spans="1:22" ht="16.5" thickTop="1">
      <c r="P246" s="339"/>
    </row>
    <row r="247" spans="1:22">
      <c r="A247" s="348" t="s">
        <v>191</v>
      </c>
      <c r="P247" s="339"/>
    </row>
    <row r="248" spans="1:22">
      <c r="A248" s="352" t="s">
        <v>124</v>
      </c>
      <c r="C248" s="102">
        <v>1429.5650639730657</v>
      </c>
      <c r="E248" s="102">
        <v>1463</v>
      </c>
      <c r="G248" s="375">
        <v>62</v>
      </c>
      <c r="H248" s="374"/>
      <c r="I248" s="339">
        <f>ROUND($G248*C248,0)</f>
        <v>88633</v>
      </c>
      <c r="K248" s="339">
        <f>ROUND($G248*E248,0)</f>
        <v>90706</v>
      </c>
      <c r="M248" s="375">
        <f t="shared" ref="M248:M255" si="67">M236</f>
        <v>68</v>
      </c>
      <c r="N248" s="374"/>
      <c r="O248" s="339">
        <f>ROUND(M248*$E248,0)</f>
        <v>99484</v>
      </c>
      <c r="P248" s="339"/>
      <c r="T248" s="356">
        <f t="shared" ref="T248:T255" si="68">M248/G248-1</f>
        <v>9.6774193548387011E-2</v>
      </c>
    </row>
    <row r="249" spans="1:22">
      <c r="A249" s="352" t="s">
        <v>186</v>
      </c>
      <c r="C249" s="102">
        <v>2438550.1044043303</v>
      </c>
      <c r="E249" s="102">
        <f>ROUND(C249*$E$257/$C$257,0)</f>
        <v>2418938</v>
      </c>
      <c r="G249" s="375">
        <v>4.22</v>
      </c>
      <c r="H249" s="374"/>
      <c r="I249" s="339">
        <f>ROUND($G249*C249,0)</f>
        <v>10290681</v>
      </c>
      <c r="K249" s="339">
        <f>ROUND($G249*E249,0)</f>
        <v>10207918</v>
      </c>
      <c r="M249" s="375">
        <f t="shared" si="67"/>
        <v>4.6500000000000004</v>
      </c>
      <c r="N249" s="374"/>
      <c r="O249" s="339">
        <f>ROUND(M249*$E249,0)</f>
        <v>11248062</v>
      </c>
      <c r="P249" s="339"/>
      <c r="T249" s="356">
        <f t="shared" si="68"/>
        <v>0.10189573459715651</v>
      </c>
    </row>
    <row r="250" spans="1:22">
      <c r="A250" s="352" t="s">
        <v>187</v>
      </c>
      <c r="C250" s="102">
        <v>995394.08329553634</v>
      </c>
      <c r="E250" s="102">
        <f>ROUND(C250*$E$257/$C$257,0)</f>
        <v>987389</v>
      </c>
      <c r="G250" s="375">
        <v>13.81</v>
      </c>
      <c r="H250" s="374"/>
      <c r="I250" s="339">
        <f>ROUND($G250*C250,0)</f>
        <v>13746392</v>
      </c>
      <c r="K250" s="339">
        <f>ROUND($G250*E250,0)</f>
        <v>13635842</v>
      </c>
      <c r="M250" s="375">
        <f t="shared" si="67"/>
        <v>15.23</v>
      </c>
      <c r="N250" s="374"/>
      <c r="O250" s="339">
        <f>ROUND(M250*$E250,0)</f>
        <v>15037934</v>
      </c>
      <c r="P250" s="339"/>
      <c r="T250" s="356">
        <f t="shared" si="68"/>
        <v>0.10282404055032579</v>
      </c>
    </row>
    <row r="251" spans="1:22">
      <c r="A251" s="352" t="s">
        <v>188</v>
      </c>
      <c r="C251" s="102">
        <v>1371215.2556306326</v>
      </c>
      <c r="E251" s="102">
        <f>ROUND(C251*$E$257/$C$257,0)</f>
        <v>1360187</v>
      </c>
      <c r="G251" s="375">
        <v>9.94</v>
      </c>
      <c r="H251" s="374"/>
      <c r="I251" s="339">
        <f>ROUND($G251*C251,0)</f>
        <v>13629880</v>
      </c>
      <c r="K251" s="339">
        <f>ROUND($G251*E251,0)</f>
        <v>13520259</v>
      </c>
      <c r="M251" s="375">
        <f t="shared" si="67"/>
        <v>10.96</v>
      </c>
      <c r="N251" s="374"/>
      <c r="O251" s="339">
        <f>ROUND(M251*$E251,0)</f>
        <v>14907650</v>
      </c>
      <c r="P251" s="339"/>
      <c r="S251" s="410"/>
      <c r="T251" s="356">
        <f t="shared" si="68"/>
        <v>0.10261569416499006</v>
      </c>
    </row>
    <row r="252" spans="1:22">
      <c r="A252" s="352" t="s">
        <v>127</v>
      </c>
      <c r="C252" s="102">
        <v>1051499.55883838</v>
      </c>
      <c r="E252" s="102">
        <f>ROUND(C252*$E$257/$C$257,0)</f>
        <v>1043043</v>
      </c>
      <c r="G252" s="375">
        <v>-1.01</v>
      </c>
      <c r="H252" s="374"/>
      <c r="I252" s="339">
        <f>ROUND($G252*C252,0)</f>
        <v>-1062015</v>
      </c>
      <c r="K252" s="339">
        <f>ROUND($G252*E252,0)</f>
        <v>-1053473</v>
      </c>
      <c r="M252" s="375">
        <f t="shared" si="67"/>
        <v>-1.1100000000000001</v>
      </c>
      <c r="N252" s="374"/>
      <c r="O252" s="339">
        <f>ROUND(M252*$E252,0)</f>
        <v>-1157778</v>
      </c>
      <c r="P252" s="376"/>
      <c r="S252" s="410"/>
      <c r="T252" s="356">
        <f t="shared" si="68"/>
        <v>9.9009900990099098E-2</v>
      </c>
    </row>
    <row r="253" spans="1:22">
      <c r="A253" s="352" t="s">
        <v>120</v>
      </c>
      <c r="C253" s="102">
        <v>120582930</v>
      </c>
      <c r="E253" s="102">
        <f>ROUND(C253*($E$257-$E$256)/($C$257-$C$256),0)</f>
        <v>120260948</v>
      </c>
      <c r="G253" s="397">
        <v>4.4812000000000003</v>
      </c>
      <c r="H253" s="363" t="s">
        <v>93</v>
      </c>
      <c r="I253" s="339">
        <f>ROUND($G253*C253/100,0)</f>
        <v>5403562</v>
      </c>
      <c r="K253" s="339">
        <f>ROUND($G253*E253/100,0)</f>
        <v>5389134</v>
      </c>
      <c r="M253" s="397">
        <f t="shared" si="67"/>
        <v>4.9404000000000003</v>
      </c>
      <c r="N253" s="363" t="s">
        <v>93</v>
      </c>
      <c r="O253" s="339">
        <f>ROUND(M253*$E253/100,0)</f>
        <v>5941372</v>
      </c>
      <c r="P253" s="376"/>
      <c r="T253" s="356">
        <f t="shared" si="68"/>
        <v>0.10247255199500138</v>
      </c>
      <c r="U253" s="410"/>
    </row>
    <row r="254" spans="1:22">
      <c r="A254" s="352" t="s">
        <v>146</v>
      </c>
      <c r="C254" s="102">
        <v>295525612</v>
      </c>
      <c r="E254" s="102">
        <f>ROUND(C254*($E$257-$E$256)/($C$257-$C$256),0)</f>
        <v>294736496</v>
      </c>
      <c r="G254" s="397">
        <v>3.5078</v>
      </c>
      <c r="H254" s="363" t="s">
        <v>93</v>
      </c>
      <c r="I254" s="339">
        <f>ROUND($G254*C254/100,0)</f>
        <v>10366447</v>
      </c>
      <c r="K254" s="339">
        <f>ROUND($G254*E254/100,0)</f>
        <v>10338767</v>
      </c>
      <c r="M254" s="397">
        <f t="shared" si="67"/>
        <v>3.8672</v>
      </c>
      <c r="N254" s="363" t="s">
        <v>93</v>
      </c>
      <c r="O254" s="339">
        <f>ROUND(M254*$E254/100,0)</f>
        <v>11398050</v>
      </c>
      <c r="P254" s="376"/>
      <c r="T254" s="356">
        <f t="shared" si="68"/>
        <v>0.10245738069445243</v>
      </c>
      <c r="U254" s="410"/>
    </row>
    <row r="255" spans="1:22">
      <c r="A255" s="352" t="s">
        <v>189</v>
      </c>
      <c r="C255" s="102">
        <v>586337643</v>
      </c>
      <c r="E255" s="102">
        <f>E257-E253-E254</f>
        <v>584771998</v>
      </c>
      <c r="G255" s="397">
        <v>3.0226999999999999</v>
      </c>
      <c r="H255" s="363" t="s">
        <v>93</v>
      </c>
      <c r="I255" s="339">
        <f>ROUND($G255*C255/100,0)</f>
        <v>17723228</v>
      </c>
      <c r="K255" s="339">
        <f>ROUND($G255*E255/100,0)</f>
        <v>17675903</v>
      </c>
      <c r="M255" s="397">
        <f t="shared" si="67"/>
        <v>3.3317999999999999</v>
      </c>
      <c r="N255" s="363" t="s">
        <v>93</v>
      </c>
      <c r="O255" s="339">
        <f>ROUND(M255*$E255/100,0)</f>
        <v>19483433</v>
      </c>
      <c r="P255" s="376"/>
      <c r="Q255" s="332" t="s">
        <v>94</v>
      </c>
      <c r="R255" s="390">
        <f>O257/K257-1</f>
        <v>0.10247325064820512</v>
      </c>
      <c r="S255" s="395"/>
      <c r="T255" s="356">
        <f t="shared" si="68"/>
        <v>0.1022595692592716</v>
      </c>
      <c r="V255" s="410"/>
    </row>
    <row r="256" spans="1:22" s="410" customFormat="1">
      <c r="A256" s="352" t="s">
        <v>112</v>
      </c>
      <c r="B256" s="332"/>
      <c r="C256" s="103">
        <v>5429171</v>
      </c>
      <c r="D256" s="333"/>
      <c r="E256" s="103">
        <v>0</v>
      </c>
      <c r="F256" s="333"/>
      <c r="G256" s="332"/>
      <c r="H256" s="333"/>
      <c r="I256" s="383">
        <v>168578</v>
      </c>
      <c r="J256" s="333"/>
      <c r="K256" s="383">
        <v>0</v>
      </c>
      <c r="L256" s="333"/>
      <c r="M256" s="332"/>
      <c r="N256" s="333"/>
      <c r="O256" s="383">
        <v>0</v>
      </c>
      <c r="Q256" s="332"/>
      <c r="R256" s="402"/>
      <c r="S256" s="395"/>
      <c r="T256" s="328"/>
      <c r="U256" s="328"/>
    </row>
    <row r="257" spans="1:22" ht="16.5" thickBot="1">
      <c r="A257" s="352" t="s">
        <v>113</v>
      </c>
      <c r="C257" s="400">
        <f>SUM(C253:C256)</f>
        <v>1007875356</v>
      </c>
      <c r="E257" s="400">
        <v>999769442</v>
      </c>
      <c r="G257" s="393"/>
      <c r="I257" s="394">
        <f>SUM(I248:I256)</f>
        <v>70355386</v>
      </c>
      <c r="K257" s="394">
        <f>SUM(K248:K256)</f>
        <v>69805056</v>
      </c>
      <c r="M257" s="393"/>
      <c r="O257" s="394">
        <f>SUM(O248:O256)</f>
        <v>76958207</v>
      </c>
      <c r="R257" s="410"/>
      <c r="S257" s="395"/>
      <c r="T257" s="395"/>
      <c r="U257" s="339"/>
    </row>
    <row r="258" spans="1:22" ht="16.5" thickTop="1">
      <c r="A258" s="410"/>
      <c r="B258" s="410"/>
      <c r="C258" s="418"/>
      <c r="D258" s="419"/>
      <c r="E258" s="410"/>
      <c r="F258" s="419"/>
      <c r="G258" s="410"/>
      <c r="H258" s="419"/>
      <c r="I258" s="410"/>
      <c r="J258" s="419"/>
      <c r="K258" s="410"/>
      <c r="L258" s="419"/>
      <c r="M258" s="410"/>
      <c r="N258" s="419"/>
      <c r="O258" s="410"/>
      <c r="P258" s="339"/>
      <c r="Q258" s="410"/>
      <c r="R258" s="410"/>
      <c r="T258" s="395"/>
      <c r="U258" s="339"/>
      <c r="V258" s="102"/>
    </row>
    <row r="259" spans="1:22">
      <c r="A259" s="348" t="s">
        <v>192</v>
      </c>
      <c r="C259" s="102"/>
      <c r="E259" s="102"/>
      <c r="P259" s="339"/>
      <c r="Q259" s="332" t="s">
        <v>193</v>
      </c>
      <c r="V259" s="102"/>
    </row>
    <row r="260" spans="1:22">
      <c r="A260" s="352" t="s">
        <v>124</v>
      </c>
      <c r="C260" s="102">
        <f t="shared" ref="C260:C266" si="69">C271+C293+C282</f>
        <v>1778.5331729508193</v>
      </c>
      <c r="E260" s="102">
        <f t="shared" ref="E260:E266" si="70">E271+E293+E282</f>
        <v>1710</v>
      </c>
      <c r="G260" s="99">
        <v>226</v>
      </c>
      <c r="H260" s="353"/>
      <c r="I260" s="339">
        <f>ROUND($G260*C260,0)</f>
        <v>401948</v>
      </c>
      <c r="K260" s="339">
        <f>ROUND($G260*E260,0)</f>
        <v>386460</v>
      </c>
      <c r="M260" s="99">
        <f>ROUND(G260*(1+R264),0)</f>
        <v>256</v>
      </c>
      <c r="N260" s="353"/>
      <c r="O260" s="339">
        <f>ROUND(M260*$E260,0)</f>
        <v>437760</v>
      </c>
      <c r="P260" s="339"/>
      <c r="Q260" s="354" t="s">
        <v>87</v>
      </c>
      <c r="R260" s="355">
        <f>O268+SUM(O739:O744)</f>
        <v>318592567</v>
      </c>
      <c r="T260" s="356">
        <f t="shared" ref="T260:T266" si="71">M260/G260-1</f>
        <v>0.13274336283185839</v>
      </c>
      <c r="V260" s="102"/>
    </row>
    <row r="261" spans="1:22">
      <c r="A261" s="352" t="s">
        <v>186</v>
      </c>
      <c r="C261" s="102">
        <f t="shared" si="69"/>
        <v>7788706.6579479007</v>
      </c>
      <c r="E261" s="102">
        <f t="shared" si="70"/>
        <v>8310024</v>
      </c>
      <c r="G261" s="99">
        <v>1.94</v>
      </c>
      <c r="H261" s="353"/>
      <c r="I261" s="339">
        <f>ROUND($G261*C261,0)</f>
        <v>15110091</v>
      </c>
      <c r="K261" s="339">
        <f>ROUND($G261*E261,0)</f>
        <v>16121447</v>
      </c>
      <c r="M261" s="99">
        <f>ROUND(G261*(1+$R$265),2)</f>
        <v>2.2000000000000002</v>
      </c>
      <c r="N261" s="353"/>
      <c r="O261" s="339">
        <f>ROUND(M261*$E261,0)</f>
        <v>18282053</v>
      </c>
      <c r="P261" s="339"/>
      <c r="Q261" s="358" t="s">
        <v>89</v>
      </c>
      <c r="R261" s="359">
        <f>('Baron Rate Spread'!M25+'Baron Rate Spread'!M36*SUM('Exhibit RMP(WRG-3)'!K739:K744)/'Exhibit RMP(WRG-3)'!K745)*1000</f>
        <v>318591720.28411329</v>
      </c>
      <c r="T261" s="356">
        <f t="shared" si="71"/>
        <v>0.13402061855670122</v>
      </c>
      <c r="U261" s="339"/>
    </row>
    <row r="262" spans="1:22">
      <c r="A262" s="352" t="s">
        <v>187</v>
      </c>
      <c r="C262" s="102">
        <f t="shared" si="69"/>
        <v>3214879.4731341181</v>
      </c>
      <c r="E262" s="102">
        <f t="shared" si="70"/>
        <v>3430491</v>
      </c>
      <c r="G262" s="99">
        <v>12.18</v>
      </c>
      <c r="H262" s="353"/>
      <c r="I262" s="339">
        <f>ROUND($G262*C262,0)</f>
        <v>39157232</v>
      </c>
      <c r="K262" s="339">
        <f>ROUND($G262*E262,0)</f>
        <v>41783380</v>
      </c>
      <c r="M262" s="99">
        <f t="shared" ref="M262:M263" si="72">ROUND(G262*(1+$R$265),2)</f>
        <v>13.79</v>
      </c>
      <c r="N262" s="353"/>
      <c r="O262" s="339">
        <f>ROUND(M262*$E262,0)</f>
        <v>47306471</v>
      </c>
      <c r="P262" s="339"/>
      <c r="Q262" s="360" t="s">
        <v>91</v>
      </c>
      <c r="R262" s="361">
        <f>R261-R260</f>
        <v>-846.71588671207428</v>
      </c>
      <c r="T262" s="356">
        <f t="shared" si="71"/>
        <v>0.13218390804597702</v>
      </c>
      <c r="U262" s="339"/>
    </row>
    <row r="263" spans="1:22">
      <c r="A263" s="352" t="s">
        <v>188</v>
      </c>
      <c r="C263" s="102">
        <f t="shared" si="69"/>
        <v>4432944.7328767134</v>
      </c>
      <c r="E263" s="102">
        <f t="shared" si="70"/>
        <v>4733270</v>
      </c>
      <c r="G263" s="99">
        <v>8.26</v>
      </c>
      <c r="H263" s="353"/>
      <c r="I263" s="339">
        <f>ROUND($G263*C263,0)</f>
        <v>36616123</v>
      </c>
      <c r="K263" s="339">
        <f>ROUND($G263*E263,0)</f>
        <v>39096810</v>
      </c>
      <c r="M263" s="99">
        <f t="shared" si="72"/>
        <v>9.35</v>
      </c>
      <c r="N263" s="353"/>
      <c r="O263" s="339">
        <f>ROUND(M263*$E263,0)</f>
        <v>44256075</v>
      </c>
      <c r="P263" s="376"/>
      <c r="Q263" s="364" t="s">
        <v>94</v>
      </c>
      <c r="R263" s="398">
        <f>R260/SUM(K268,K739:K744)-1</f>
        <v>0.13246524304525886</v>
      </c>
      <c r="T263" s="356">
        <f t="shared" si="71"/>
        <v>0.13196125907990308</v>
      </c>
      <c r="V263" s="102"/>
    </row>
    <row r="264" spans="1:22">
      <c r="A264" s="352" t="s">
        <v>194</v>
      </c>
      <c r="C264" s="102">
        <f t="shared" si="69"/>
        <v>438935100</v>
      </c>
      <c r="E264" s="102">
        <f t="shared" si="70"/>
        <v>471006782</v>
      </c>
      <c r="G264" s="420">
        <v>4.0587999999999997</v>
      </c>
      <c r="H264" s="363" t="s">
        <v>93</v>
      </c>
      <c r="I264" s="339">
        <f>ROUND($G264*C264/100,0)</f>
        <v>17815498</v>
      </c>
      <c r="K264" s="339">
        <f>ROUND($G264*E264/100,0)</f>
        <v>19117223</v>
      </c>
      <c r="M264" s="420">
        <f>ROUND(G264*(1+$R$265),4)</f>
        <v>4.5964</v>
      </c>
      <c r="N264" s="363" t="s">
        <v>93</v>
      </c>
      <c r="O264" s="339">
        <f>ROUND(M264*$E264/100,0)</f>
        <v>21649356</v>
      </c>
      <c r="P264" s="376"/>
      <c r="Q264" s="368" t="s">
        <v>96</v>
      </c>
      <c r="R264" s="399">
        <f>R261/SUM(K268,K739:K744)-1</f>
        <v>0.13246223331932128</v>
      </c>
      <c r="T264" s="356">
        <f t="shared" si="71"/>
        <v>0.13245294175618416</v>
      </c>
      <c r="U264" s="339"/>
      <c r="V264" s="384"/>
    </row>
    <row r="265" spans="1:22">
      <c r="A265" s="352" t="s">
        <v>195</v>
      </c>
      <c r="C265" s="102">
        <f t="shared" si="69"/>
        <v>1155248331</v>
      </c>
      <c r="E265" s="102">
        <f t="shared" si="70"/>
        <v>1240617545</v>
      </c>
      <c r="G265" s="420">
        <v>3.052</v>
      </c>
      <c r="H265" s="363" t="s">
        <v>93</v>
      </c>
      <c r="I265" s="339">
        <f>ROUND($G265*C265/100,0)</f>
        <v>35258179</v>
      </c>
      <c r="K265" s="339">
        <f>ROUND($G265*E265/100,0)</f>
        <v>37863647</v>
      </c>
      <c r="M265" s="362">
        <f>ROUND(G265*(1+$R$265),4)</f>
        <v>3.4563000000000001</v>
      </c>
      <c r="N265" s="363" t="s">
        <v>93</v>
      </c>
      <c r="O265" s="339">
        <f>ROUND(M265*$E265/100,0)</f>
        <v>42879464</v>
      </c>
      <c r="P265" s="376"/>
      <c r="Q265" s="368" t="s">
        <v>132</v>
      </c>
      <c r="R265" s="399">
        <f>(R261-O260)/SUM(K268,K739:K744,-K260)-1</f>
        <v>0.13246184659878546</v>
      </c>
      <c r="T265" s="356">
        <f t="shared" si="71"/>
        <v>0.132470511140236</v>
      </c>
      <c r="V265" s="384"/>
    </row>
    <row r="266" spans="1:22">
      <c r="A266" s="352" t="s">
        <v>189</v>
      </c>
      <c r="C266" s="102">
        <f t="shared" si="69"/>
        <v>2626314603.6088982</v>
      </c>
      <c r="E266" s="102">
        <f t="shared" si="70"/>
        <v>2826442914.974</v>
      </c>
      <c r="G266" s="421">
        <v>2.5488</v>
      </c>
      <c r="H266" s="363" t="s">
        <v>93</v>
      </c>
      <c r="I266" s="339">
        <f>ROUND($G266*C266/100,0)</f>
        <v>66939507</v>
      </c>
      <c r="K266" s="339">
        <f>ROUND($G266*E266/100,0)</f>
        <v>72040377</v>
      </c>
      <c r="M266" s="420">
        <f>ROUND((R261-SUM(O260:O265,O738:O743))/(E266+E744)*100,4)</f>
        <v>2.8868</v>
      </c>
      <c r="N266" s="363" t="s">
        <v>93</v>
      </c>
      <c r="O266" s="339">
        <f>ROUND(M266*$E266/100,0)</f>
        <v>81593754</v>
      </c>
      <c r="P266" s="376"/>
      <c r="Q266" s="380" t="s">
        <v>100</v>
      </c>
      <c r="R266" s="401">
        <f>M260/G260-1</f>
        <v>0.13274336283185839</v>
      </c>
      <c r="T266" s="356">
        <f t="shared" si="71"/>
        <v>0.13261142498430645</v>
      </c>
      <c r="U266" s="396"/>
      <c r="V266" s="384"/>
    </row>
    <row r="267" spans="1:22">
      <c r="A267" s="352" t="s">
        <v>112</v>
      </c>
      <c r="C267" s="103">
        <f>C289+C278+C300</f>
        <v>17971369</v>
      </c>
      <c r="E267" s="103">
        <f>E289+E278+E300</f>
        <v>0</v>
      </c>
      <c r="I267" s="383">
        <f>I289+I278+I300</f>
        <v>371839</v>
      </c>
      <c r="K267" s="383">
        <f>K289+K278+K300</f>
        <v>0</v>
      </c>
      <c r="O267" s="383">
        <v>0</v>
      </c>
      <c r="Q267" s="350" t="s">
        <v>115</v>
      </c>
      <c r="R267" s="411">
        <f>(O268)/(K268)-1</f>
        <v>0.1324838828206667</v>
      </c>
    </row>
    <row r="268" spans="1:22" ht="16.5" thickBot="1">
      <c r="A268" s="352" t="s">
        <v>113</v>
      </c>
      <c r="C268" s="400">
        <f>C290+C279+C301</f>
        <v>4238469403.6088982</v>
      </c>
      <c r="E268" s="400">
        <f>E290+E279+E301</f>
        <v>4538067241.974</v>
      </c>
      <c r="G268" s="393"/>
      <c r="I268" s="394">
        <f>SUM(I260:I267)</f>
        <v>211670417</v>
      </c>
      <c r="K268" s="394">
        <f>SUM(K260:K267)</f>
        <v>226409344</v>
      </c>
      <c r="M268" s="393"/>
      <c r="O268" s="394">
        <f>SUM(O260:O267)</f>
        <v>256404933</v>
      </c>
      <c r="Q268" s="333"/>
      <c r="R268" s="351"/>
      <c r="S268" s="395"/>
    </row>
    <row r="269" spans="1:22" ht="16.5" thickTop="1">
      <c r="C269" s="102"/>
      <c r="E269" s="102"/>
      <c r="P269" s="339"/>
    </row>
    <row r="270" spans="1:22">
      <c r="A270" s="348" t="s">
        <v>196</v>
      </c>
      <c r="C270" s="102"/>
      <c r="E270" s="102"/>
      <c r="P270" s="339"/>
    </row>
    <row r="271" spans="1:22">
      <c r="A271" s="352" t="s">
        <v>124</v>
      </c>
      <c r="C271" s="102">
        <v>305.63333797814198</v>
      </c>
      <c r="E271" s="102">
        <v>300</v>
      </c>
      <c r="G271" s="375">
        <v>226</v>
      </c>
      <c r="H271" s="374"/>
      <c r="I271" s="339">
        <f>ROUND($G271*C271,0)</f>
        <v>69073</v>
      </c>
      <c r="K271" s="339">
        <f>ROUND($G271*E271,0)</f>
        <v>67800</v>
      </c>
      <c r="M271" s="375">
        <f t="shared" ref="M271:M277" si="73">M260</f>
        <v>256</v>
      </c>
      <c r="N271" s="374"/>
      <c r="O271" s="339">
        <f>ROUND(M271*$E271,0)</f>
        <v>76800</v>
      </c>
      <c r="P271" s="339"/>
      <c r="T271" s="356">
        <f t="shared" ref="T271:T277" si="74">M271/G271-1</f>
        <v>0.13274336283185839</v>
      </c>
    </row>
    <row r="272" spans="1:22">
      <c r="A272" s="352" t="s">
        <v>186</v>
      </c>
      <c r="C272" s="102">
        <v>645283.86060606095</v>
      </c>
      <c r="E272" s="102">
        <f>ROUND(C272*$E$279/$C$279,0)</f>
        <v>582790</v>
      </c>
      <c r="G272" s="375">
        <v>1.94</v>
      </c>
      <c r="H272" s="374"/>
      <c r="I272" s="339">
        <f>ROUND($G272*C272,0)</f>
        <v>1251851</v>
      </c>
      <c r="K272" s="339">
        <f>ROUND($G272*E272,0)</f>
        <v>1130613</v>
      </c>
      <c r="M272" s="375">
        <f t="shared" si="73"/>
        <v>2.2000000000000002</v>
      </c>
      <c r="N272" s="374"/>
      <c r="O272" s="339">
        <f>ROUND(M272*$E272,0)</f>
        <v>1282138</v>
      </c>
      <c r="P272" s="339"/>
      <c r="Q272" s="99"/>
      <c r="T272" s="356">
        <f t="shared" si="74"/>
        <v>0.13402061855670122</v>
      </c>
    </row>
    <row r="273" spans="1:22">
      <c r="A273" s="352" t="s">
        <v>187</v>
      </c>
      <c r="C273" s="102">
        <v>259347.34502788101</v>
      </c>
      <c r="E273" s="102">
        <f>ROUND(C273*$E$279/$C$279,0)</f>
        <v>234230</v>
      </c>
      <c r="G273" s="375">
        <v>12.18</v>
      </c>
      <c r="H273" s="374"/>
      <c r="I273" s="339">
        <f>ROUND($G273*C273,0)</f>
        <v>3158851</v>
      </c>
      <c r="K273" s="339">
        <f>ROUND($G273*E273,0)</f>
        <v>2852921</v>
      </c>
      <c r="M273" s="375">
        <f t="shared" si="73"/>
        <v>13.79</v>
      </c>
      <c r="N273" s="374"/>
      <c r="O273" s="339">
        <f>ROUND(M273*$E273,0)</f>
        <v>3230032</v>
      </c>
      <c r="P273" s="339"/>
      <c r="S273" s="384"/>
      <c r="T273" s="356">
        <f t="shared" si="74"/>
        <v>0.13218390804597702</v>
      </c>
    </row>
    <row r="274" spans="1:22">
      <c r="A274" s="352" t="s">
        <v>188</v>
      </c>
      <c r="C274" s="102">
        <v>354959.52602739702</v>
      </c>
      <c r="E274" s="102">
        <f>ROUND(C274*$E$279/$C$279,0)</f>
        <v>320583</v>
      </c>
      <c r="G274" s="375">
        <v>8.26</v>
      </c>
      <c r="H274" s="374"/>
      <c r="I274" s="339">
        <f>ROUND($G274*C274,0)</f>
        <v>2931966</v>
      </c>
      <c r="K274" s="339">
        <f>ROUND($G274*E274,0)</f>
        <v>2648016</v>
      </c>
      <c r="M274" s="375">
        <f t="shared" si="73"/>
        <v>9.35</v>
      </c>
      <c r="N274" s="374"/>
      <c r="O274" s="339">
        <f>ROUND(M274*$E274,0)</f>
        <v>2997451</v>
      </c>
      <c r="P274" s="376"/>
      <c r="T274" s="356">
        <f t="shared" si="74"/>
        <v>0.13196125907990308</v>
      </c>
    </row>
    <row r="275" spans="1:22">
      <c r="A275" s="352" t="s">
        <v>194</v>
      </c>
      <c r="C275" s="102">
        <v>33553016</v>
      </c>
      <c r="E275" s="102">
        <f>ROUND(C275*$E$279/($C$279-$C$278),0)</f>
        <v>30404285</v>
      </c>
      <c r="G275" s="407">
        <v>4.0587999999999997</v>
      </c>
      <c r="H275" s="363" t="s">
        <v>93</v>
      </c>
      <c r="I275" s="339">
        <f>ROUND($G275*C275/100,0)</f>
        <v>1361850</v>
      </c>
      <c r="K275" s="339">
        <f>ROUND($G275*E275/100,0)</f>
        <v>1234049</v>
      </c>
      <c r="M275" s="407">
        <f t="shared" si="73"/>
        <v>4.5964</v>
      </c>
      <c r="N275" s="363" t="s">
        <v>93</v>
      </c>
      <c r="O275" s="339">
        <f>ROUND(M275*$E275/100,0)</f>
        <v>1397503</v>
      </c>
      <c r="P275" s="376"/>
      <c r="T275" s="356">
        <f t="shared" si="74"/>
        <v>0.13245294175618416</v>
      </c>
      <c r="U275" s="384"/>
    </row>
    <row r="276" spans="1:22">
      <c r="A276" s="352" t="s">
        <v>195</v>
      </c>
      <c r="C276" s="102">
        <v>82706165</v>
      </c>
      <c r="E276" s="102">
        <f>ROUND(C276*$E$279/($C$279-$C$278),0)</f>
        <v>74944734</v>
      </c>
      <c r="G276" s="407">
        <v>3.052</v>
      </c>
      <c r="H276" s="363" t="s">
        <v>93</v>
      </c>
      <c r="I276" s="339">
        <f>ROUND($G276*C276/100,0)</f>
        <v>2524192</v>
      </c>
      <c r="K276" s="339">
        <f>ROUND($G276*E276/100,0)</f>
        <v>2287313</v>
      </c>
      <c r="M276" s="407">
        <f t="shared" si="73"/>
        <v>3.4563000000000001</v>
      </c>
      <c r="N276" s="363" t="s">
        <v>93</v>
      </c>
      <c r="O276" s="339">
        <f>ROUND(M276*$E276/100,0)</f>
        <v>2590315</v>
      </c>
      <c r="P276" s="376"/>
      <c r="T276" s="356">
        <f t="shared" si="74"/>
        <v>0.132470511140236</v>
      </c>
    </row>
    <row r="277" spans="1:22">
      <c r="A277" s="352" t="s">
        <v>189</v>
      </c>
      <c r="C277" s="102">
        <v>175096850</v>
      </c>
      <c r="E277" s="102">
        <f>E279-E275-E276</f>
        <v>158665158.97399998</v>
      </c>
      <c r="G277" s="407">
        <v>2.5488</v>
      </c>
      <c r="H277" s="363" t="s">
        <v>93</v>
      </c>
      <c r="I277" s="339">
        <f>ROUND($G277*C277/100,0)</f>
        <v>4462869</v>
      </c>
      <c r="K277" s="339">
        <f>ROUND($G277*E277/100,0)</f>
        <v>4044058</v>
      </c>
      <c r="M277" s="407">
        <f t="shared" si="73"/>
        <v>2.8868</v>
      </c>
      <c r="N277" s="363" t="s">
        <v>93</v>
      </c>
      <c r="O277" s="339">
        <f>ROUND(M277*$E277/100,0)</f>
        <v>4580346</v>
      </c>
      <c r="P277" s="376"/>
      <c r="Q277" s="332" t="s">
        <v>94</v>
      </c>
      <c r="R277" s="390">
        <f>O279/K279-1</f>
        <v>0.13248128080578936</v>
      </c>
      <c r="T277" s="356">
        <f t="shared" si="74"/>
        <v>0.13261142498430645</v>
      </c>
      <c r="V277" s="384"/>
    </row>
    <row r="278" spans="1:22">
      <c r="A278" s="352" t="s">
        <v>112</v>
      </c>
      <c r="C278" s="103">
        <v>968800</v>
      </c>
      <c r="E278" s="103">
        <v>0</v>
      </c>
      <c r="I278" s="383">
        <v>22084</v>
      </c>
      <c r="K278" s="383">
        <v>0</v>
      </c>
      <c r="O278" s="383">
        <v>0</v>
      </c>
      <c r="R278" s="402"/>
    </row>
    <row r="279" spans="1:22" ht="16.5" thickBot="1">
      <c r="A279" s="352" t="s">
        <v>113</v>
      </c>
      <c r="C279" s="400">
        <f>SUM(C275:C278)</f>
        <v>292324831</v>
      </c>
      <c r="E279" s="400">
        <v>264014177.97399998</v>
      </c>
      <c r="G279" s="393"/>
      <c r="I279" s="394">
        <f>SUM(I271:I278)</f>
        <v>15782736</v>
      </c>
      <c r="K279" s="394">
        <f>SUM(K271:K278)</f>
        <v>14264770</v>
      </c>
      <c r="M279" s="393"/>
      <c r="O279" s="394">
        <f>SUM(O271:O278)</f>
        <v>16154585</v>
      </c>
      <c r="R279" s="384"/>
    </row>
    <row r="280" spans="1:22" ht="16.5" thickTop="1">
      <c r="C280" s="102"/>
      <c r="E280" s="102"/>
      <c r="P280" s="339"/>
    </row>
    <row r="281" spans="1:22">
      <c r="A281" s="348" t="s">
        <v>197</v>
      </c>
      <c r="C281" s="102"/>
      <c r="E281" s="102"/>
      <c r="P281" s="339"/>
    </row>
    <row r="282" spans="1:22">
      <c r="A282" s="352" t="s">
        <v>124</v>
      </c>
      <c r="C282" s="102">
        <v>1425.899851639344</v>
      </c>
      <c r="E282" s="102">
        <v>1374</v>
      </c>
      <c r="G282" s="375">
        <v>226</v>
      </c>
      <c r="H282" s="374"/>
      <c r="I282" s="339">
        <f>ROUND($G282*C282,0)</f>
        <v>322253</v>
      </c>
      <c r="K282" s="339">
        <f>ROUND($G282*E282,0)</f>
        <v>310524</v>
      </c>
      <c r="M282" s="375">
        <f t="shared" ref="M282:M288" si="75">M260</f>
        <v>256</v>
      </c>
      <c r="N282" s="374"/>
      <c r="O282" s="339">
        <f>ROUND(M282*$E282,0)</f>
        <v>351744</v>
      </c>
      <c r="P282" s="339"/>
      <c r="T282" s="356">
        <f t="shared" ref="T282:T288" si="76">M282/G282-1</f>
        <v>0.13274336283185839</v>
      </c>
    </row>
    <row r="283" spans="1:22">
      <c r="A283" s="352" t="s">
        <v>186</v>
      </c>
      <c r="C283" s="102">
        <v>6313525.7913875598</v>
      </c>
      <c r="E283" s="102">
        <f>ROUND(C283*$E$290/$C$290,0)</f>
        <v>6916430</v>
      </c>
      <c r="G283" s="375">
        <v>1.94</v>
      </c>
      <c r="H283" s="374"/>
      <c r="I283" s="339">
        <f>ROUND($G283*C283,0)</f>
        <v>12248240</v>
      </c>
      <c r="K283" s="339">
        <f>ROUND($G283*E283,0)</f>
        <v>13417874</v>
      </c>
      <c r="M283" s="375">
        <f t="shared" si="75"/>
        <v>2.2000000000000002</v>
      </c>
      <c r="N283" s="374"/>
      <c r="O283" s="339">
        <f>ROUND(M283*$E283,0)</f>
        <v>15216146</v>
      </c>
      <c r="P283" s="339"/>
      <c r="T283" s="356">
        <f t="shared" si="76"/>
        <v>0.13402061855670122</v>
      </c>
    </row>
    <row r="284" spans="1:22">
      <c r="A284" s="352" t="s">
        <v>187</v>
      </c>
      <c r="C284" s="102">
        <v>2605260.6013404382</v>
      </c>
      <c r="E284" s="102">
        <f>ROUND(C284*$E$290/$C$290,0)</f>
        <v>2854048</v>
      </c>
      <c r="G284" s="375">
        <v>12.18</v>
      </c>
      <c r="H284" s="374"/>
      <c r="I284" s="339">
        <f>ROUND($G284*C284,0)</f>
        <v>31732074</v>
      </c>
      <c r="K284" s="339">
        <f>ROUND($G284*E284,0)</f>
        <v>34762305</v>
      </c>
      <c r="M284" s="375">
        <f t="shared" si="75"/>
        <v>13.79</v>
      </c>
      <c r="N284" s="374"/>
      <c r="O284" s="339">
        <f>ROUND(M284*$E284,0)</f>
        <v>39357322</v>
      </c>
      <c r="P284" s="339"/>
      <c r="S284" s="384"/>
      <c r="T284" s="356">
        <f t="shared" si="76"/>
        <v>0.13218390804597702</v>
      </c>
    </row>
    <row r="285" spans="1:22">
      <c r="A285" s="352" t="s">
        <v>188</v>
      </c>
      <c r="C285" s="102">
        <v>3616199.2068493161</v>
      </c>
      <c r="E285" s="102">
        <f>ROUND(C285*$E$290/$C$290,0)</f>
        <v>3961525</v>
      </c>
      <c r="G285" s="375">
        <v>8.26</v>
      </c>
      <c r="H285" s="374"/>
      <c r="I285" s="339">
        <f>ROUND($G285*C285,0)</f>
        <v>29869805</v>
      </c>
      <c r="K285" s="339">
        <f>ROUND($G285*E285,0)</f>
        <v>32722197</v>
      </c>
      <c r="M285" s="375">
        <f t="shared" si="75"/>
        <v>9.35</v>
      </c>
      <c r="N285" s="374"/>
      <c r="O285" s="339">
        <f>ROUND(M285*$E285,0)</f>
        <v>37040259</v>
      </c>
      <c r="P285" s="376"/>
      <c r="T285" s="356">
        <f t="shared" si="76"/>
        <v>0.13196125907990308</v>
      </c>
    </row>
    <row r="286" spans="1:22">
      <c r="A286" s="352" t="s">
        <v>194</v>
      </c>
      <c r="C286" s="102">
        <v>359749375</v>
      </c>
      <c r="E286" s="102">
        <f>ROUND(C286*$E$290/($C$290-C$289),0)</f>
        <v>396239107</v>
      </c>
      <c r="G286" s="407">
        <v>4.0587999999999997</v>
      </c>
      <c r="H286" s="363" t="s">
        <v>93</v>
      </c>
      <c r="I286" s="339">
        <f>ROUND($G286*C286/100,0)</f>
        <v>14601508</v>
      </c>
      <c r="K286" s="339">
        <f>ROUND($G286*E286/100,0)</f>
        <v>16082553</v>
      </c>
      <c r="M286" s="407">
        <f t="shared" si="75"/>
        <v>4.5964</v>
      </c>
      <c r="N286" s="363" t="s">
        <v>93</v>
      </c>
      <c r="O286" s="339">
        <f>ROUND(M286*$E286/100,0)</f>
        <v>18212734</v>
      </c>
      <c r="P286" s="376"/>
      <c r="T286" s="356">
        <f t="shared" si="76"/>
        <v>0.13245294175618416</v>
      </c>
      <c r="U286" s="384"/>
    </row>
    <row r="287" spans="1:22">
      <c r="A287" s="352" t="s">
        <v>195</v>
      </c>
      <c r="C287" s="102">
        <v>951391464</v>
      </c>
      <c r="E287" s="102">
        <f>ROUND(C287*$E$290/($C$290-C$289),0)</f>
        <v>1047892034</v>
      </c>
      <c r="G287" s="407">
        <v>3.052</v>
      </c>
      <c r="H287" s="363" t="s">
        <v>93</v>
      </c>
      <c r="I287" s="339">
        <f>ROUND($G287*C287/100,0)</f>
        <v>29036467</v>
      </c>
      <c r="K287" s="339">
        <f>ROUND($G287*E287/100,0)</f>
        <v>31981665</v>
      </c>
      <c r="M287" s="407">
        <f t="shared" si="75"/>
        <v>3.4563000000000001</v>
      </c>
      <c r="N287" s="363" t="s">
        <v>93</v>
      </c>
      <c r="O287" s="339">
        <f>ROUND(M287*$E287/100,0)</f>
        <v>36218292</v>
      </c>
      <c r="P287" s="376"/>
      <c r="T287" s="356">
        <f t="shared" si="76"/>
        <v>0.132470511140236</v>
      </c>
    </row>
    <row r="288" spans="1:22">
      <c r="A288" s="352" t="s">
        <v>189</v>
      </c>
      <c r="C288" s="102">
        <v>2203092623</v>
      </c>
      <c r="E288" s="102">
        <f>E290-E286-E287</f>
        <v>2426554469</v>
      </c>
      <c r="G288" s="407">
        <v>2.5488</v>
      </c>
      <c r="H288" s="363" t="s">
        <v>93</v>
      </c>
      <c r="I288" s="339">
        <f>ROUND($G288*C288/100,0)</f>
        <v>56152425</v>
      </c>
      <c r="K288" s="339">
        <f>ROUND($G288*E288/100,0)</f>
        <v>61848020</v>
      </c>
      <c r="M288" s="407">
        <f t="shared" si="75"/>
        <v>2.8868</v>
      </c>
      <c r="N288" s="363" t="s">
        <v>93</v>
      </c>
      <c r="O288" s="339">
        <f>ROUND(M288*$E288/100,0)</f>
        <v>70049774</v>
      </c>
      <c r="P288" s="376"/>
      <c r="Q288" s="332" t="s">
        <v>94</v>
      </c>
      <c r="R288" s="390">
        <f>O290/K290-1</f>
        <v>0.13248457667562286</v>
      </c>
      <c r="T288" s="356">
        <f t="shared" si="76"/>
        <v>0.13261142498430645</v>
      </c>
      <c r="V288" s="384"/>
    </row>
    <row r="289" spans="1:22">
      <c r="A289" s="352" t="s">
        <v>112</v>
      </c>
      <c r="C289" s="103">
        <v>19044942</v>
      </c>
      <c r="E289" s="103">
        <v>0</v>
      </c>
      <c r="I289" s="383">
        <v>412900</v>
      </c>
      <c r="K289" s="383">
        <v>0</v>
      </c>
      <c r="O289" s="383">
        <v>0</v>
      </c>
      <c r="R289" s="402"/>
    </row>
    <row r="290" spans="1:22" ht="16.5" thickBot="1">
      <c r="A290" s="352" t="s">
        <v>113</v>
      </c>
      <c r="C290" s="400">
        <f>SUM(C286:C289)</f>
        <v>3533278404</v>
      </c>
      <c r="E290" s="400">
        <v>3870685610</v>
      </c>
      <c r="G290" s="393"/>
      <c r="I290" s="394">
        <f>SUM(I282:I289)</f>
        <v>174375672</v>
      </c>
      <c r="K290" s="394">
        <f>SUM(K282:K289)</f>
        <v>191125138</v>
      </c>
      <c r="M290" s="393"/>
      <c r="O290" s="394">
        <f>SUM(O282:O289)</f>
        <v>216446271</v>
      </c>
      <c r="R290" s="384"/>
    </row>
    <row r="291" spans="1:22" ht="16.5" thickTop="1">
      <c r="C291" s="102"/>
      <c r="E291" s="102"/>
      <c r="P291" s="339"/>
    </row>
    <row r="292" spans="1:22">
      <c r="A292" s="348" t="s">
        <v>198</v>
      </c>
      <c r="C292" s="102"/>
      <c r="E292" s="102"/>
      <c r="P292" s="339"/>
    </row>
    <row r="293" spans="1:22">
      <c r="A293" s="352" t="s">
        <v>124</v>
      </c>
      <c r="C293" s="102">
        <v>46.999983333333297</v>
      </c>
      <c r="E293" s="102">
        <v>36</v>
      </c>
      <c r="G293" s="375">
        <v>226</v>
      </c>
      <c r="H293" s="374"/>
      <c r="I293" s="339">
        <f>ROUND($G293*C293,0)</f>
        <v>10622</v>
      </c>
      <c r="K293" s="339">
        <f>ROUND($G293*E293,0)</f>
        <v>8136</v>
      </c>
      <c r="M293" s="375">
        <f t="shared" ref="M293:M299" si="77">M260</f>
        <v>256</v>
      </c>
      <c r="N293" s="374"/>
      <c r="O293" s="339">
        <f>ROUND(M293*$E293,0)</f>
        <v>9216</v>
      </c>
      <c r="P293" s="339"/>
      <c r="T293" s="356">
        <f t="shared" ref="T293:T299" si="78">M293/G293-1</f>
        <v>0.13274336283185839</v>
      </c>
    </row>
    <row r="294" spans="1:22">
      <c r="A294" s="352" t="s">
        <v>186</v>
      </c>
      <c r="C294" s="102">
        <v>829897.00595428003</v>
      </c>
      <c r="E294" s="102">
        <f>ROUND(C294*$E$301/$C$301,0)</f>
        <v>810804</v>
      </c>
      <c r="G294" s="375">
        <v>1.94</v>
      </c>
      <c r="H294" s="374"/>
      <c r="I294" s="339">
        <f>ROUND($G294*C294,0)</f>
        <v>1610000</v>
      </c>
      <c r="K294" s="339">
        <f>ROUND($G294*E294,0)</f>
        <v>1572960</v>
      </c>
      <c r="M294" s="375">
        <f t="shared" si="77"/>
        <v>2.2000000000000002</v>
      </c>
      <c r="N294" s="374"/>
      <c r="O294" s="339">
        <f>ROUND(M294*$E294,0)</f>
        <v>1783769</v>
      </c>
      <c r="P294" s="339"/>
      <c r="T294" s="356">
        <f t="shared" si="78"/>
        <v>0.13402061855670122</v>
      </c>
    </row>
    <row r="295" spans="1:22">
      <c r="A295" s="352" t="s">
        <v>187</v>
      </c>
      <c r="C295" s="102">
        <v>350271.52676579898</v>
      </c>
      <c r="E295" s="102">
        <f>ROUND(C295*$E$301/$C$301,0)</f>
        <v>342213</v>
      </c>
      <c r="G295" s="375">
        <v>12.18</v>
      </c>
      <c r="H295" s="374"/>
      <c r="I295" s="339">
        <f>ROUND($G295*C295,0)</f>
        <v>4266307</v>
      </c>
      <c r="K295" s="339">
        <f>ROUND($G295*E295,0)</f>
        <v>4168154</v>
      </c>
      <c r="M295" s="375">
        <f t="shared" si="77"/>
        <v>13.79</v>
      </c>
      <c r="N295" s="374"/>
      <c r="O295" s="339">
        <f>ROUND(M295*$E295,0)</f>
        <v>4719117</v>
      </c>
      <c r="P295" s="339"/>
      <c r="S295" s="384"/>
      <c r="T295" s="356">
        <f t="shared" si="78"/>
        <v>0.13218390804597702</v>
      </c>
    </row>
    <row r="296" spans="1:22">
      <c r="A296" s="352" t="s">
        <v>188</v>
      </c>
      <c r="C296" s="102">
        <v>461786</v>
      </c>
      <c r="E296" s="102">
        <f>ROUND(C296*$E$301/$C$301,0)</f>
        <v>451162</v>
      </c>
      <c r="G296" s="375">
        <v>8.26</v>
      </c>
      <c r="H296" s="374"/>
      <c r="I296" s="339">
        <f>ROUND($G296*C296,0)</f>
        <v>3814352</v>
      </c>
      <c r="K296" s="339">
        <f>ROUND($G296*E296,0)</f>
        <v>3726598</v>
      </c>
      <c r="M296" s="375">
        <f t="shared" si="77"/>
        <v>9.35</v>
      </c>
      <c r="N296" s="374"/>
      <c r="O296" s="339">
        <f>ROUND(M296*$E296,0)</f>
        <v>4218365</v>
      </c>
      <c r="P296" s="376"/>
      <c r="T296" s="356">
        <f t="shared" si="78"/>
        <v>0.13196125907990308</v>
      </c>
    </row>
    <row r="297" spans="1:22">
      <c r="A297" s="352" t="s">
        <v>194</v>
      </c>
      <c r="C297" s="102">
        <v>45632709</v>
      </c>
      <c r="E297" s="102">
        <f>ROUND(C297*$E$301/($C$301-$C$300),0)</f>
        <v>44363390</v>
      </c>
      <c r="G297" s="407">
        <v>4.0587999999999997</v>
      </c>
      <c r="H297" s="363" t="s">
        <v>93</v>
      </c>
      <c r="I297" s="339">
        <f>ROUND($G297*C297/100,0)</f>
        <v>1852140</v>
      </c>
      <c r="K297" s="339">
        <f>ROUND($G297*E297/100,0)</f>
        <v>1800621</v>
      </c>
      <c r="M297" s="407">
        <f t="shared" si="77"/>
        <v>4.5964</v>
      </c>
      <c r="N297" s="363" t="s">
        <v>93</v>
      </c>
      <c r="O297" s="339">
        <f>ROUND(M297*$E297/100,0)</f>
        <v>2039119</v>
      </c>
      <c r="P297" s="376"/>
      <c r="T297" s="356">
        <f t="shared" si="78"/>
        <v>0.13245294175618416</v>
      </c>
      <c r="U297" s="384"/>
    </row>
    <row r="298" spans="1:22">
      <c r="A298" s="352" t="s">
        <v>195</v>
      </c>
      <c r="C298" s="102">
        <v>121150702</v>
      </c>
      <c r="E298" s="102">
        <f>ROUND(C298*$E$301/($C$301-$C$300),0)</f>
        <v>117780777</v>
      </c>
      <c r="G298" s="407">
        <v>3.052</v>
      </c>
      <c r="H298" s="363" t="s">
        <v>93</v>
      </c>
      <c r="I298" s="339">
        <f>ROUND($G298*C298/100,0)</f>
        <v>3697519</v>
      </c>
      <c r="K298" s="339">
        <f>ROUND($G298*E298/100,0)</f>
        <v>3594669</v>
      </c>
      <c r="M298" s="407">
        <f t="shared" si="77"/>
        <v>3.4563000000000001</v>
      </c>
      <c r="N298" s="363" t="s">
        <v>93</v>
      </c>
      <c r="O298" s="339">
        <f>ROUND(M298*$E298/100,0)</f>
        <v>4070857</v>
      </c>
      <c r="P298" s="376"/>
      <c r="T298" s="356">
        <f t="shared" si="78"/>
        <v>0.132470511140236</v>
      </c>
    </row>
    <row r="299" spans="1:22">
      <c r="A299" s="352" t="s">
        <v>189</v>
      </c>
      <c r="C299" s="102">
        <v>248125130.6088984</v>
      </c>
      <c r="E299" s="102">
        <f>E301-E297-E298</f>
        <v>241223287</v>
      </c>
      <c r="G299" s="407">
        <v>2.5488</v>
      </c>
      <c r="H299" s="363" t="s">
        <v>93</v>
      </c>
      <c r="I299" s="339">
        <f>ROUND($G299*C299/100,0)</f>
        <v>6324213</v>
      </c>
      <c r="K299" s="339">
        <f>ROUND($G299*E299/100,0)</f>
        <v>6148299</v>
      </c>
      <c r="M299" s="407">
        <f t="shared" si="77"/>
        <v>2.8868</v>
      </c>
      <c r="N299" s="363" t="s">
        <v>93</v>
      </c>
      <c r="O299" s="339">
        <f>ROUND(M299*$E299/100,0)</f>
        <v>6963634</v>
      </c>
      <c r="P299" s="376"/>
      <c r="Q299" s="332" t="s">
        <v>94</v>
      </c>
      <c r="R299" s="390">
        <f>O301/K301-1</f>
        <v>0.13247928572016465</v>
      </c>
      <c r="T299" s="356">
        <f t="shared" si="78"/>
        <v>0.13261142498430645</v>
      </c>
      <c r="V299" s="384"/>
    </row>
    <row r="300" spans="1:22">
      <c r="A300" s="352" t="s">
        <v>112</v>
      </c>
      <c r="C300" s="103">
        <v>-2042373</v>
      </c>
      <c r="E300" s="103">
        <v>0</v>
      </c>
      <c r="I300" s="383">
        <v>-63145</v>
      </c>
      <c r="K300" s="383">
        <v>0</v>
      </c>
      <c r="O300" s="383">
        <v>0</v>
      </c>
      <c r="R300" s="402"/>
      <c r="S300" s="395"/>
    </row>
    <row r="301" spans="1:22" ht="16.5" thickBot="1">
      <c r="A301" s="352" t="s">
        <v>113</v>
      </c>
      <c r="C301" s="400">
        <f>SUM(C297:C300)</f>
        <v>412866168.6088984</v>
      </c>
      <c r="E301" s="400">
        <v>403367454</v>
      </c>
      <c r="G301" s="393"/>
      <c r="I301" s="394">
        <f>SUM(I293:I300)</f>
        <v>21512008</v>
      </c>
      <c r="K301" s="394">
        <f>SUM(K293:K300)</f>
        <v>21019437</v>
      </c>
      <c r="M301" s="393"/>
      <c r="O301" s="394">
        <f>SUM(O293:O300)</f>
        <v>23804077</v>
      </c>
      <c r="R301" s="384"/>
      <c r="S301" s="395"/>
    </row>
    <row r="302" spans="1:22" ht="16.5" thickTop="1">
      <c r="C302" s="102"/>
      <c r="E302" s="102"/>
      <c r="P302" s="339"/>
      <c r="T302" s="395"/>
      <c r="U302" s="339"/>
      <c r="V302" s="102"/>
    </row>
    <row r="303" spans="1:22">
      <c r="A303" s="348" t="s">
        <v>199</v>
      </c>
      <c r="C303" s="102"/>
      <c r="E303" s="102"/>
      <c r="G303" s="397"/>
      <c r="H303" s="405"/>
      <c r="M303" s="397"/>
      <c r="N303" s="405"/>
      <c r="P303" s="339"/>
      <c r="Q303" s="354" t="s">
        <v>87</v>
      </c>
      <c r="R303" s="355">
        <f>O309</f>
        <v>3297532</v>
      </c>
      <c r="U303" s="339"/>
      <c r="V303" s="102"/>
    </row>
    <row r="304" spans="1:22">
      <c r="A304" s="352" t="s">
        <v>124</v>
      </c>
      <c r="C304" s="102">
        <f>C312+C320</f>
        <v>107.99999590163939</v>
      </c>
      <c r="E304" s="102">
        <f>E312+E320</f>
        <v>107.9999833333333</v>
      </c>
      <c r="G304" s="99">
        <v>226</v>
      </c>
      <c r="H304" s="353"/>
      <c r="I304" s="339">
        <f>ROUND($G304*C304,0)</f>
        <v>24408</v>
      </c>
      <c r="K304" s="339">
        <f>ROUND($G304*E304,0)</f>
        <v>24408</v>
      </c>
      <c r="M304" s="99">
        <f>M260</f>
        <v>256</v>
      </c>
      <c r="N304" s="353"/>
      <c r="O304" s="339">
        <f>ROUND(M304*$E304,0)</f>
        <v>27648</v>
      </c>
      <c r="P304" s="339"/>
      <c r="Q304" s="368" t="s">
        <v>89</v>
      </c>
      <c r="R304" s="422">
        <f>'Baron Rate Spread'!M26*1000</f>
        <v>3297536</v>
      </c>
      <c r="T304" s="356">
        <f t="shared" ref="T304:T307" si="79">M304/G304-1</f>
        <v>0.13274336283185839</v>
      </c>
      <c r="U304" s="339"/>
      <c r="V304" s="102"/>
    </row>
    <row r="305" spans="1:22">
      <c r="A305" s="352" t="s">
        <v>200</v>
      </c>
      <c r="C305" s="102">
        <f t="shared" ref="C305:E308" si="80">C313+C321</f>
        <v>251487.99191919208</v>
      </c>
      <c r="E305" s="102">
        <f t="shared" si="80"/>
        <v>247208</v>
      </c>
      <c r="G305" s="99">
        <v>1.94</v>
      </c>
      <c r="H305" s="353"/>
      <c r="I305" s="339">
        <f>ROUND($G305*C305,0)</f>
        <v>487887</v>
      </c>
      <c r="K305" s="339">
        <f>ROUND($G305*E305,0)</f>
        <v>479584</v>
      </c>
      <c r="M305" s="99">
        <f>M261</f>
        <v>2.2000000000000002</v>
      </c>
      <c r="N305" s="353"/>
      <c r="O305" s="339">
        <f>ROUND(M305*$E305,0)</f>
        <v>543858</v>
      </c>
      <c r="P305" s="376"/>
      <c r="Q305" s="360" t="s">
        <v>91</v>
      </c>
      <c r="R305" s="423">
        <f>R304-R303</f>
        <v>4</v>
      </c>
      <c r="T305" s="356">
        <f t="shared" si="79"/>
        <v>0.13402061855670122</v>
      </c>
      <c r="U305" s="339"/>
      <c r="V305" s="384"/>
    </row>
    <row r="306" spans="1:22">
      <c r="A306" s="352" t="s">
        <v>201</v>
      </c>
      <c r="C306" s="102">
        <f t="shared" si="80"/>
        <v>24452263</v>
      </c>
      <c r="E306" s="102">
        <f t="shared" si="80"/>
        <v>24112579</v>
      </c>
      <c r="G306" s="100">
        <v>7.4984999999999999</v>
      </c>
      <c r="H306" s="363" t="s">
        <v>93</v>
      </c>
      <c r="I306" s="339">
        <f>ROUND($G306*C306/100,0)</f>
        <v>1833553</v>
      </c>
      <c r="K306" s="339">
        <f>ROUND($G306*E306/100,0)</f>
        <v>1808082</v>
      </c>
      <c r="M306" s="100">
        <f>ROUND(G306*(1+R308),4)</f>
        <v>8.4893999999999998</v>
      </c>
      <c r="N306" s="363" t="s">
        <v>93</v>
      </c>
      <c r="O306" s="339">
        <f>ROUND(M306*$E306/100,0)</f>
        <v>2047013</v>
      </c>
      <c r="P306" s="376"/>
      <c r="Q306" s="364" t="s">
        <v>94</v>
      </c>
      <c r="R306" s="399">
        <f>R303/(K309)-1</f>
        <v>0.1324607317256612</v>
      </c>
      <c r="T306" s="356">
        <f t="shared" si="79"/>
        <v>0.13214642928585718</v>
      </c>
      <c r="V306" s="384"/>
    </row>
    <row r="307" spans="1:22">
      <c r="A307" s="352" t="s">
        <v>189</v>
      </c>
      <c r="C307" s="102">
        <f t="shared" si="80"/>
        <v>18907397</v>
      </c>
      <c r="E307" s="102">
        <f t="shared" si="80"/>
        <v>18605127</v>
      </c>
      <c r="G307" s="100">
        <v>3.2235999999999998</v>
      </c>
      <c r="H307" s="363" t="s">
        <v>93</v>
      </c>
      <c r="I307" s="339">
        <f>ROUND($G307*C307/100,0)</f>
        <v>609499</v>
      </c>
      <c r="K307" s="339">
        <f>ROUND($G307*E307/100,0)</f>
        <v>599755</v>
      </c>
      <c r="M307" s="100">
        <f>ROUND((R304-SUM(O304:O306))/(E307)*100,4)</f>
        <v>3.6496</v>
      </c>
      <c r="N307" s="363" t="s">
        <v>93</v>
      </c>
      <c r="O307" s="339">
        <f>ROUND(M307*$E307/100,0)</f>
        <v>679013</v>
      </c>
      <c r="P307" s="376"/>
      <c r="Q307" s="368" t="s">
        <v>96</v>
      </c>
      <c r="R307" s="399">
        <f>R304/(K309)-1</f>
        <v>0.1324621054327022</v>
      </c>
      <c r="T307" s="356">
        <f t="shared" si="79"/>
        <v>0.13215039086735336</v>
      </c>
      <c r="U307" s="396"/>
      <c r="V307" s="384"/>
    </row>
    <row r="308" spans="1:22">
      <c r="A308" s="352" t="s">
        <v>112</v>
      </c>
      <c r="C308" s="103">
        <f t="shared" si="80"/>
        <v>183937</v>
      </c>
      <c r="E308" s="103">
        <f t="shared" si="80"/>
        <v>0</v>
      </c>
      <c r="I308" s="383">
        <f t="shared" ref="I308" si="81">I316+I324</f>
        <v>5614</v>
      </c>
      <c r="K308" s="383">
        <v>0</v>
      </c>
      <c r="O308" s="383">
        <v>0</v>
      </c>
      <c r="Q308" s="368" t="s">
        <v>132</v>
      </c>
      <c r="R308" s="399">
        <f>(R304-O304-O305)/(K309-K304-K305)-1</f>
        <v>0.13214889546094688</v>
      </c>
    </row>
    <row r="309" spans="1:22" ht="16.5" thickBot="1">
      <c r="A309" s="352" t="s">
        <v>113</v>
      </c>
      <c r="C309" s="400">
        <f>SUM(C306:C308)</f>
        <v>43543597</v>
      </c>
      <c r="E309" s="400">
        <f>SUM(E306:E308)</f>
        <v>42717706</v>
      </c>
      <c r="G309" s="393"/>
      <c r="I309" s="394">
        <f>SUM(I304:I308)</f>
        <v>2960961</v>
      </c>
      <c r="K309" s="394">
        <f>SUM(K304:K308)</f>
        <v>2911829</v>
      </c>
      <c r="M309" s="393"/>
      <c r="O309" s="394">
        <f>SUM(O304:O308)</f>
        <v>3297532</v>
      </c>
      <c r="Q309" s="380" t="s">
        <v>100</v>
      </c>
      <c r="R309" s="417">
        <f>O304/K304-1</f>
        <v>0.13274336283185839</v>
      </c>
    </row>
    <row r="310" spans="1:22" ht="16.5" thickTop="1">
      <c r="C310" s="102"/>
      <c r="E310" s="102"/>
      <c r="P310" s="339"/>
    </row>
    <row r="311" spans="1:22">
      <c r="A311" s="348" t="s">
        <v>202</v>
      </c>
      <c r="C311" s="102"/>
      <c r="E311" s="102"/>
      <c r="G311" s="397"/>
      <c r="H311" s="405"/>
      <c r="M311" s="397"/>
      <c r="N311" s="405"/>
      <c r="P311" s="339"/>
      <c r="U311" s="339"/>
      <c r="V311" s="102"/>
    </row>
    <row r="312" spans="1:22">
      <c r="A312" s="352" t="s">
        <v>124</v>
      </c>
      <c r="C312" s="102">
        <v>23.999983333333301</v>
      </c>
      <c r="E312" s="102">
        <v>23.999983333333301</v>
      </c>
      <c r="G312" s="99">
        <v>226</v>
      </c>
      <c r="H312" s="353"/>
      <c r="I312" s="339">
        <f>ROUND($G312*C312,0)</f>
        <v>5424</v>
      </c>
      <c r="K312" s="339">
        <f>ROUND($G312*E312,0)</f>
        <v>5424</v>
      </c>
      <c r="M312" s="99">
        <f>M304</f>
        <v>256</v>
      </c>
      <c r="N312" s="353"/>
      <c r="O312" s="339">
        <f>ROUND(M312*$E312,0)</f>
        <v>6144</v>
      </c>
      <c r="P312" s="339"/>
      <c r="Q312" s="351"/>
      <c r="R312" s="376"/>
      <c r="S312" s="351"/>
      <c r="T312" s="356"/>
      <c r="U312" s="339"/>
      <c r="V312" s="102"/>
    </row>
    <row r="313" spans="1:22">
      <c r="A313" s="352" t="s">
        <v>200</v>
      </c>
      <c r="C313" s="102">
        <v>80457.997660818699</v>
      </c>
      <c r="E313" s="102">
        <f>ROUND(C313*$E$317/$C$317,0)</f>
        <v>78619</v>
      </c>
      <c r="G313" s="99">
        <v>1.94</v>
      </c>
      <c r="H313" s="353"/>
      <c r="I313" s="339">
        <f>ROUND($G313*C313,0)</f>
        <v>156089</v>
      </c>
      <c r="K313" s="339">
        <f>ROUND($G313*E313,0)</f>
        <v>152521</v>
      </c>
      <c r="M313" s="99">
        <f t="shared" ref="M313:M315" si="82">M305</f>
        <v>2.2000000000000002</v>
      </c>
      <c r="N313" s="353"/>
      <c r="O313" s="339">
        <f>ROUND(M313*$E313,0)</f>
        <v>172962</v>
      </c>
      <c r="P313" s="376"/>
      <c r="Q313" s="424"/>
      <c r="R313" s="376"/>
      <c r="S313" s="351"/>
      <c r="T313" s="356"/>
      <c r="U313" s="339"/>
      <c r="V313" s="384"/>
    </row>
    <row r="314" spans="1:22">
      <c r="A314" s="352" t="s">
        <v>201</v>
      </c>
      <c r="C314" s="102">
        <v>11304000</v>
      </c>
      <c r="E314" s="102">
        <f>ROUND(C314*($E$317-$E$316)/($C$317-$C$316),0)</f>
        <v>11081846</v>
      </c>
      <c r="G314" s="100">
        <v>7.4984999999999999</v>
      </c>
      <c r="H314" s="363" t="s">
        <v>93</v>
      </c>
      <c r="I314" s="339">
        <f>ROUND($G314*C314/100,0)</f>
        <v>847630</v>
      </c>
      <c r="K314" s="339">
        <f>ROUND($G314*E314/100,0)</f>
        <v>830972</v>
      </c>
      <c r="M314" s="100">
        <f t="shared" si="82"/>
        <v>8.4893999999999998</v>
      </c>
      <c r="N314" s="363" t="s">
        <v>93</v>
      </c>
      <c r="O314" s="339">
        <f>ROUND(M314*$E314/100,0)</f>
        <v>940782</v>
      </c>
      <c r="P314" s="376"/>
      <c r="Q314" s="333"/>
      <c r="R314" s="402"/>
      <c r="S314" s="351"/>
      <c r="T314" s="356"/>
      <c r="V314" s="384"/>
    </row>
    <row r="315" spans="1:22">
      <c r="A315" s="352" t="s">
        <v>189</v>
      </c>
      <c r="C315" s="102">
        <v>12438000</v>
      </c>
      <c r="E315" s="102">
        <f>E317-E314</f>
        <v>12193559</v>
      </c>
      <c r="G315" s="100">
        <v>3.2235999999999998</v>
      </c>
      <c r="H315" s="363" t="s">
        <v>93</v>
      </c>
      <c r="I315" s="339">
        <f>ROUND($G315*C315/100,0)</f>
        <v>400951</v>
      </c>
      <c r="K315" s="339">
        <f>ROUND($G315*E315/100,0)</f>
        <v>393072</v>
      </c>
      <c r="M315" s="100">
        <f t="shared" si="82"/>
        <v>3.6496</v>
      </c>
      <c r="N315" s="363" t="s">
        <v>93</v>
      </c>
      <c r="O315" s="339">
        <f>ROUND(M315*$E315/100,0)</f>
        <v>445016</v>
      </c>
      <c r="P315" s="376"/>
      <c r="Q315" s="333"/>
      <c r="R315" s="402"/>
      <c r="S315" s="351"/>
      <c r="T315" s="356"/>
      <c r="U315" s="396"/>
      <c r="V315" s="384"/>
    </row>
    <row r="316" spans="1:22">
      <c r="A316" s="352" t="s">
        <v>112</v>
      </c>
      <c r="C316" s="103">
        <v>77842</v>
      </c>
      <c r="E316" s="103">
        <v>0</v>
      </c>
      <c r="I316" s="383">
        <v>1950</v>
      </c>
      <c r="K316" s="383">
        <v>0</v>
      </c>
      <c r="O316" s="383">
        <v>0</v>
      </c>
      <c r="Q316" s="333"/>
      <c r="R316" s="402"/>
      <c r="S316" s="351"/>
      <c r="T316" s="351"/>
    </row>
    <row r="317" spans="1:22" ht="16.5" thickBot="1">
      <c r="A317" s="352" t="s">
        <v>113</v>
      </c>
      <c r="C317" s="400">
        <f>SUM(C314:C316)</f>
        <v>23819842</v>
      </c>
      <c r="E317" s="400">
        <v>23275405</v>
      </c>
      <c r="G317" s="393"/>
      <c r="I317" s="394">
        <f>SUM(I312:I316)</f>
        <v>1412044</v>
      </c>
      <c r="K317" s="394">
        <f>SUM(K312:K316)</f>
        <v>1381989</v>
      </c>
      <c r="M317" s="393"/>
      <c r="O317" s="394">
        <f>SUM(O312:O316)</f>
        <v>1564904</v>
      </c>
      <c r="Q317" s="333"/>
      <c r="R317" s="371"/>
      <c r="S317" s="351"/>
      <c r="T317" s="351"/>
    </row>
    <row r="318" spans="1:22" ht="16.5" thickTop="1">
      <c r="C318" s="102"/>
      <c r="E318" s="102"/>
      <c r="P318" s="339"/>
    </row>
    <row r="319" spans="1:22">
      <c r="A319" s="348" t="s">
        <v>203</v>
      </c>
      <c r="C319" s="102"/>
      <c r="E319" s="102"/>
      <c r="G319" s="397"/>
      <c r="H319" s="405"/>
      <c r="M319" s="397"/>
      <c r="N319" s="405"/>
      <c r="P319" s="339"/>
      <c r="S319" s="384"/>
    </row>
    <row r="320" spans="1:22">
      <c r="A320" s="352" t="s">
        <v>124</v>
      </c>
      <c r="C320" s="102">
        <v>84.00001256830609</v>
      </c>
      <c r="E320" s="102">
        <v>84</v>
      </c>
      <c r="G320" s="375">
        <v>226</v>
      </c>
      <c r="H320" s="374"/>
      <c r="I320" s="339">
        <f>ROUND($G320*C320,0)</f>
        <v>18984</v>
      </c>
      <c r="K320" s="339">
        <f>ROUND($G320*E320,0)</f>
        <v>18984</v>
      </c>
      <c r="M320" s="375">
        <f>M304</f>
        <v>256</v>
      </c>
      <c r="N320" s="374"/>
      <c r="O320" s="339">
        <f>ROUND(M320*$E320,0)</f>
        <v>21504</v>
      </c>
      <c r="P320" s="376"/>
      <c r="Q320" s="333"/>
      <c r="R320" s="351"/>
      <c r="S320" s="351"/>
      <c r="T320" s="356">
        <f t="shared" ref="T320:T323" si="83">M320/G320-1</f>
        <v>0.13274336283185839</v>
      </c>
    </row>
    <row r="321" spans="1:22">
      <c r="A321" s="352" t="s">
        <v>200</v>
      </c>
      <c r="C321" s="102">
        <v>171029.99425837339</v>
      </c>
      <c r="E321" s="102">
        <f>ROUND(C321*$E$325/$C$325,0)</f>
        <v>168589</v>
      </c>
      <c r="G321" s="375">
        <v>1.94</v>
      </c>
      <c r="H321" s="374"/>
      <c r="I321" s="339">
        <f>ROUND($G321*C321,0)</f>
        <v>331798</v>
      </c>
      <c r="K321" s="339">
        <f>ROUND($G321*E321,0)</f>
        <v>327063</v>
      </c>
      <c r="M321" s="375">
        <f t="shared" ref="M321:M323" si="84">M305</f>
        <v>2.2000000000000002</v>
      </c>
      <c r="N321" s="374"/>
      <c r="O321" s="339">
        <f>ROUND(M321*$E321,0)</f>
        <v>370896</v>
      </c>
      <c r="P321" s="376"/>
      <c r="Q321" s="333"/>
      <c r="R321" s="351"/>
      <c r="S321" s="351"/>
      <c r="T321" s="356">
        <f t="shared" si="83"/>
        <v>0.13402061855670122</v>
      </c>
      <c r="U321" s="384"/>
    </row>
    <row r="322" spans="1:22">
      <c r="A322" s="352" t="s">
        <v>201</v>
      </c>
      <c r="C322" s="102">
        <v>13148263</v>
      </c>
      <c r="E322" s="102">
        <f>ROUND(C322*($E$325-$E$324)/($C$325-$C$324),0)</f>
        <v>13030733</v>
      </c>
      <c r="G322" s="407">
        <v>7.4984999999999999</v>
      </c>
      <c r="H322" s="363" t="s">
        <v>93</v>
      </c>
      <c r="I322" s="339">
        <f>ROUND($G322*C322/100,0)</f>
        <v>985923</v>
      </c>
      <c r="K322" s="339">
        <f>ROUND($G322*E322/100,0)</f>
        <v>977110</v>
      </c>
      <c r="M322" s="407">
        <f t="shared" si="84"/>
        <v>8.4893999999999998</v>
      </c>
      <c r="N322" s="363" t="s">
        <v>93</v>
      </c>
      <c r="O322" s="339">
        <f>ROUND(M322*$E322/100,0)</f>
        <v>1106231</v>
      </c>
      <c r="P322" s="376"/>
      <c r="Q322" s="333"/>
      <c r="R322" s="351"/>
      <c r="S322" s="351"/>
      <c r="T322" s="356">
        <f t="shared" si="83"/>
        <v>0.13214642928585718</v>
      </c>
    </row>
    <row r="323" spans="1:22">
      <c r="A323" s="352" t="s">
        <v>189</v>
      </c>
      <c r="C323" s="102">
        <v>6469397</v>
      </c>
      <c r="E323" s="102">
        <f>E325-E322</f>
        <v>6411568</v>
      </c>
      <c r="G323" s="407">
        <v>3.2235999999999998</v>
      </c>
      <c r="H323" s="363" t="s">
        <v>93</v>
      </c>
      <c r="I323" s="339">
        <f>ROUND($G323*C323/100,0)</f>
        <v>208547</v>
      </c>
      <c r="K323" s="339">
        <f>ROUND($G323*E323/100,0)</f>
        <v>206683</v>
      </c>
      <c r="M323" s="407">
        <f t="shared" si="84"/>
        <v>3.6496</v>
      </c>
      <c r="N323" s="363" t="s">
        <v>93</v>
      </c>
      <c r="O323" s="339">
        <f>ROUND(M323*$E323/100,0)</f>
        <v>233997</v>
      </c>
      <c r="P323" s="376"/>
      <c r="Q323" s="333"/>
      <c r="R323" s="402"/>
      <c r="S323" s="351"/>
      <c r="T323" s="356">
        <f t="shared" si="83"/>
        <v>0.13215039086735336</v>
      </c>
      <c r="V323" s="384"/>
    </row>
    <row r="324" spans="1:22">
      <c r="A324" s="352" t="s">
        <v>112</v>
      </c>
      <c r="C324" s="103">
        <v>106095</v>
      </c>
      <c r="E324" s="103">
        <v>0</v>
      </c>
      <c r="I324" s="383">
        <v>3664</v>
      </c>
      <c r="K324" s="383">
        <v>0</v>
      </c>
      <c r="O324" s="383">
        <v>0</v>
      </c>
      <c r="Q324" s="333"/>
      <c r="R324" s="402"/>
      <c r="S324" s="351"/>
    </row>
    <row r="325" spans="1:22" ht="16.5" thickBot="1">
      <c r="A325" s="352" t="s">
        <v>113</v>
      </c>
      <c r="C325" s="400">
        <f>SUM(C322:C324)</f>
        <v>19723755</v>
      </c>
      <c r="E325" s="400">
        <v>19442301</v>
      </c>
      <c r="G325" s="393"/>
      <c r="I325" s="394">
        <f>SUM(I320:I324)</f>
        <v>1548916</v>
      </c>
      <c r="K325" s="394">
        <f>SUM(K320:K324)</f>
        <v>1529840</v>
      </c>
      <c r="M325" s="393"/>
      <c r="O325" s="394">
        <f>SUM(O320:O324)</f>
        <v>1732628</v>
      </c>
      <c r="R325" s="384"/>
      <c r="S325" s="395"/>
    </row>
    <row r="326" spans="1:22" ht="16.5" thickTop="1">
      <c r="C326" s="102"/>
      <c r="E326" s="102"/>
      <c r="P326" s="339"/>
      <c r="S326" s="395"/>
    </row>
    <row r="327" spans="1:22">
      <c r="A327" s="348" t="s">
        <v>204</v>
      </c>
      <c r="P327" s="339"/>
      <c r="T327" s="395"/>
      <c r="U327" s="339"/>
      <c r="V327" s="102"/>
    </row>
    <row r="328" spans="1:22">
      <c r="A328" s="352" t="s">
        <v>205</v>
      </c>
      <c r="C328" s="102">
        <v>6</v>
      </c>
      <c r="E328" s="102">
        <v>6</v>
      </c>
      <c r="G328" s="375">
        <v>110</v>
      </c>
      <c r="H328" s="374"/>
      <c r="I328" s="339">
        <f>ROUND($G328*C328,0)</f>
        <v>660</v>
      </c>
      <c r="K328" s="339">
        <f>ROUND($G328*E328,0)</f>
        <v>660</v>
      </c>
      <c r="M328" s="375">
        <f>ROUND(G328*(1+$R$337),0)</f>
        <v>126</v>
      </c>
      <c r="N328" s="374"/>
      <c r="O328" s="339">
        <f>ROUND(M328*$E328,0)</f>
        <v>756</v>
      </c>
      <c r="P328" s="339"/>
      <c r="T328" s="356">
        <f t="shared" ref="T328:T334" si="85">M328/G328-1</f>
        <v>0.1454545454545455</v>
      </c>
      <c r="U328" s="339"/>
    </row>
    <row r="329" spans="1:22">
      <c r="A329" s="352" t="s">
        <v>206</v>
      </c>
      <c r="C329" s="102">
        <v>2544.7336666666665</v>
      </c>
      <c r="E329" s="102">
        <v>2641</v>
      </c>
      <c r="G329" s="375">
        <v>34</v>
      </c>
      <c r="H329" s="374"/>
      <c r="I329" s="339">
        <f>ROUND($G329*C329,0)</f>
        <v>86521</v>
      </c>
      <c r="K329" s="339">
        <f>ROUND($G329*E329,0)</f>
        <v>89794</v>
      </c>
      <c r="M329" s="375">
        <f t="shared" ref="M329:M330" si="86">ROUND(G329*(1+$R$337),0)</f>
        <v>39</v>
      </c>
      <c r="N329" s="374"/>
      <c r="O329" s="339">
        <f>ROUND(M329*$E329,0)</f>
        <v>102999</v>
      </c>
      <c r="P329" s="339"/>
      <c r="Q329" s="99"/>
      <c r="T329" s="356">
        <f t="shared" si="85"/>
        <v>0.14705882352941169</v>
      </c>
      <c r="V329" s="102"/>
    </row>
    <row r="330" spans="1:22">
      <c r="A330" s="352" t="s">
        <v>207</v>
      </c>
      <c r="C330" s="102">
        <v>11330.340227272705</v>
      </c>
      <c r="E330" s="102">
        <f>ROUND(C330*(E$328+E$329)/(C$328+C$329),0)</f>
        <v>11758</v>
      </c>
      <c r="G330" s="375">
        <v>13</v>
      </c>
      <c r="H330" s="374"/>
      <c r="I330" s="339">
        <f>ROUND($G330*C330,0)</f>
        <v>147294</v>
      </c>
      <c r="K330" s="339">
        <f>ROUND($G330*E330,0)</f>
        <v>152854</v>
      </c>
      <c r="M330" s="375">
        <f t="shared" si="86"/>
        <v>15</v>
      </c>
      <c r="N330" s="374"/>
      <c r="O330" s="339">
        <f>ROUND(M330*$E330,0)</f>
        <v>176370</v>
      </c>
      <c r="P330" s="376"/>
      <c r="Q330" s="99"/>
      <c r="S330" s="395"/>
      <c r="T330" s="356">
        <f t="shared" si="85"/>
        <v>0.15384615384615374</v>
      </c>
      <c r="V330" s="102"/>
    </row>
    <row r="331" spans="1:22">
      <c r="A331" s="352" t="s">
        <v>208</v>
      </c>
      <c r="C331" s="102">
        <v>366682.45554269559</v>
      </c>
      <c r="E331" s="102">
        <f>ROUND(C331*$E$341/$C$341,0)</f>
        <v>374044</v>
      </c>
      <c r="G331" s="375">
        <v>6.44</v>
      </c>
      <c r="H331" s="374"/>
      <c r="I331" s="339">
        <f>ROUND($G331*C331,0)</f>
        <v>2361435</v>
      </c>
      <c r="K331" s="339">
        <f>ROUND($G331*E331,0)</f>
        <v>2408843</v>
      </c>
      <c r="M331" s="375">
        <f>ROUND(G331*(1+R$339),2)</f>
        <v>7.36</v>
      </c>
      <c r="N331" s="374"/>
      <c r="O331" s="339">
        <f>ROUND(M331*$E331,0)</f>
        <v>2752964</v>
      </c>
      <c r="P331" s="376"/>
      <c r="R331" s="396"/>
      <c r="S331" s="395"/>
      <c r="T331" s="356">
        <f t="shared" si="85"/>
        <v>0.14285714285714279</v>
      </c>
    </row>
    <row r="332" spans="1:22">
      <c r="A332" s="352" t="s">
        <v>127</v>
      </c>
      <c r="C332" s="102">
        <v>4381.440993788824</v>
      </c>
      <c r="E332" s="102">
        <f>ROUND(C332*$E$341/$C$341,0)</f>
        <v>4469</v>
      </c>
      <c r="G332" s="375">
        <v>-1.8</v>
      </c>
      <c r="H332" s="374"/>
      <c r="I332" s="339">
        <f>ROUND($G332*C332,0)</f>
        <v>-7887</v>
      </c>
      <c r="K332" s="339">
        <f>ROUND($G332*E332,0)</f>
        <v>-8044</v>
      </c>
      <c r="M332" s="375">
        <f>ROUND(G332*(1+R$339),2)</f>
        <v>-2.06</v>
      </c>
      <c r="N332" s="374"/>
      <c r="O332" s="339">
        <f>ROUND(M332*$E332,0)</f>
        <v>-9206</v>
      </c>
      <c r="Q332" s="425"/>
      <c r="R332" s="396"/>
      <c r="T332" s="356">
        <f t="shared" si="85"/>
        <v>0.14444444444444438</v>
      </c>
      <c r="U332" s="339"/>
    </row>
    <row r="333" spans="1:22">
      <c r="A333" s="352" t="s">
        <v>209</v>
      </c>
      <c r="C333" s="102">
        <v>84779069</v>
      </c>
      <c r="E333" s="102">
        <f>ROUND(C333*$E$335/$C$335,0)</f>
        <v>79033048</v>
      </c>
      <c r="G333" s="100">
        <v>6.4139999999999997</v>
      </c>
      <c r="H333" s="363" t="s">
        <v>93</v>
      </c>
      <c r="I333" s="339">
        <f>ROUND($G333*C333/100,0)</f>
        <v>5437729</v>
      </c>
      <c r="K333" s="339">
        <f>ROUND($G333*E333/100,0)</f>
        <v>5069180</v>
      </c>
      <c r="M333" s="100">
        <f>ROUND(G333*(1+R$339),4)</f>
        <v>7.3262</v>
      </c>
      <c r="N333" s="363" t="s">
        <v>93</v>
      </c>
      <c r="O333" s="339">
        <f>ROUND(M333*$E333/100,0)</f>
        <v>5790119</v>
      </c>
      <c r="P333" s="376"/>
      <c r="Q333" s="332" t="s">
        <v>210</v>
      </c>
      <c r="T333" s="356">
        <f t="shared" si="85"/>
        <v>0.14222014343623335</v>
      </c>
      <c r="U333" s="339"/>
    </row>
    <row r="334" spans="1:22">
      <c r="A334" s="352" t="s">
        <v>211</v>
      </c>
      <c r="C334" s="103">
        <v>53405969.091379449</v>
      </c>
      <c r="E334" s="103">
        <f>E335-E333</f>
        <v>49786304</v>
      </c>
      <c r="G334" s="100">
        <v>4.7408999999999999</v>
      </c>
      <c r="H334" s="363" t="s">
        <v>93</v>
      </c>
      <c r="I334" s="383">
        <f>ROUND($G334*C334/100,0)</f>
        <v>2531924</v>
      </c>
      <c r="K334" s="383">
        <f>ROUND($G334*E334/100,0)</f>
        <v>2360319</v>
      </c>
      <c r="M334" s="100">
        <f>ROUND(G334*(1+R$339),4)</f>
        <v>5.4150999999999998</v>
      </c>
      <c r="N334" s="363" t="s">
        <v>93</v>
      </c>
      <c r="O334" s="383">
        <f>ROUND(M334*$E334/100,0)</f>
        <v>2695978</v>
      </c>
      <c r="P334" s="339"/>
      <c r="Q334" s="354" t="s">
        <v>87</v>
      </c>
      <c r="R334" s="355">
        <f>O341+O357</f>
        <v>15051395</v>
      </c>
      <c r="T334" s="356">
        <f t="shared" si="85"/>
        <v>0.14220928515682685</v>
      </c>
      <c r="V334" s="102"/>
    </row>
    <row r="335" spans="1:22">
      <c r="A335" s="352" t="s">
        <v>212</v>
      </c>
      <c r="C335" s="103">
        <f>C334+C333</f>
        <v>138185038.09137946</v>
      </c>
      <c r="E335" s="426">
        <f>ROUND(E341*C335/(C335+C339),0)</f>
        <v>128819352</v>
      </c>
      <c r="G335" s="427"/>
      <c r="I335" s="383">
        <f>SUM(I328:I334)</f>
        <v>10557676</v>
      </c>
      <c r="K335" s="383">
        <f>SUM(K328:K334)</f>
        <v>10073606</v>
      </c>
      <c r="M335" s="427"/>
      <c r="O335" s="383">
        <f>SUM(O328:O334)</f>
        <v>11509980</v>
      </c>
      <c r="P335" s="376"/>
      <c r="Q335" s="368" t="s">
        <v>89</v>
      </c>
      <c r="R335" s="359">
        <f>'Baron Rate Spread'!M30*1000</f>
        <v>15051395</v>
      </c>
      <c r="V335" s="102"/>
    </row>
    <row r="336" spans="1:22">
      <c r="A336" s="352" t="s">
        <v>213</v>
      </c>
      <c r="C336" s="102"/>
      <c r="E336" s="102"/>
      <c r="P336" s="376"/>
      <c r="Q336" s="360" t="s">
        <v>91</v>
      </c>
      <c r="R336" s="428">
        <f>R335-R334</f>
        <v>0</v>
      </c>
    </row>
    <row r="337" spans="1:22">
      <c r="A337" s="352" t="s">
        <v>214</v>
      </c>
      <c r="C337" s="357">
        <v>4912.366666666655</v>
      </c>
      <c r="E337" s="357">
        <f>ROUND(C337*(E$328+E$329)/(C$328+C$329),0)</f>
        <v>5098</v>
      </c>
      <c r="G337" s="374">
        <v>13</v>
      </c>
      <c r="H337" s="374"/>
      <c r="I337" s="376">
        <f>ROUND($G337*C337,0)</f>
        <v>63861</v>
      </c>
      <c r="K337" s="376">
        <f>ROUND($G337*E337,0)</f>
        <v>66274</v>
      </c>
      <c r="M337" s="374">
        <f>M330</f>
        <v>15</v>
      </c>
      <c r="N337" s="374"/>
      <c r="O337" s="376">
        <f>ROUND(M337*$E337,0)</f>
        <v>76470</v>
      </c>
      <c r="P337" s="376"/>
      <c r="Q337" s="380" t="s">
        <v>96</v>
      </c>
      <c r="R337" s="401">
        <f>R335/(K341+K357)-1</f>
        <v>0.14246223563464122</v>
      </c>
      <c r="T337" s="356">
        <f t="shared" ref="T337:T338" si="87">M337/G337-1</f>
        <v>0.15384615384615374</v>
      </c>
    </row>
    <row r="338" spans="1:22">
      <c r="A338" s="352" t="s">
        <v>215</v>
      </c>
      <c r="C338" s="103">
        <v>45199650.713012196</v>
      </c>
      <c r="E338" s="103">
        <f>E339</f>
        <v>42136180</v>
      </c>
      <c r="G338" s="397">
        <v>4.3933999999999997</v>
      </c>
      <c r="H338" s="363" t="s">
        <v>93</v>
      </c>
      <c r="I338" s="414">
        <f>ROUND($G338*C338/100,0)</f>
        <v>1985801</v>
      </c>
      <c r="K338" s="414">
        <f>ROUND($G338*E338/100,0)</f>
        <v>1851211</v>
      </c>
      <c r="M338" s="100">
        <f>ROUND(G338*(1+R$339),4)</f>
        <v>5.0182000000000002</v>
      </c>
      <c r="N338" s="363" t="s">
        <v>93</v>
      </c>
      <c r="O338" s="383">
        <f>ROUND(M338*$E338/100,0)</f>
        <v>2114478</v>
      </c>
      <c r="P338" s="376"/>
      <c r="Q338" s="364" t="s">
        <v>94</v>
      </c>
      <c r="R338" s="398">
        <f>R334/(K341+K357)-1</f>
        <v>0.14246223563464122</v>
      </c>
      <c r="T338" s="356">
        <f t="shared" si="87"/>
        <v>0.14221331997997</v>
      </c>
    </row>
    <row r="339" spans="1:22">
      <c r="A339" s="352" t="s">
        <v>216</v>
      </c>
      <c r="C339" s="103">
        <f>C338</f>
        <v>45199650.713012196</v>
      </c>
      <c r="E339" s="103">
        <f>E341-E335</f>
        <v>42136180</v>
      </c>
      <c r="G339" s="427"/>
      <c r="I339" s="383">
        <f>I337+I338</f>
        <v>2049662</v>
      </c>
      <c r="K339" s="383">
        <f>K337+K338</f>
        <v>1917485</v>
      </c>
      <c r="M339" s="427"/>
      <c r="O339" s="383">
        <f>O337+O338</f>
        <v>2190948</v>
      </c>
      <c r="P339" s="376"/>
      <c r="Q339" s="368" t="s">
        <v>132</v>
      </c>
      <c r="R339" s="399">
        <f>(R335-O328-O329-O330-O337-O344-O345-O346-O353)/(K331+K332+K333+K334+K338+K347+K348+K349+K350+K354)-1</f>
        <v>0.14221275862305416</v>
      </c>
    </row>
    <row r="340" spans="1:22">
      <c r="A340" s="352" t="s">
        <v>112</v>
      </c>
      <c r="C340" s="103">
        <v>-15793852</v>
      </c>
      <c r="E340" s="103">
        <v>0</v>
      </c>
      <c r="I340" s="383">
        <v>-931823.26</v>
      </c>
      <c r="K340" s="383">
        <v>0</v>
      </c>
      <c r="O340" s="383">
        <v>0</v>
      </c>
      <c r="Q340" s="380" t="s">
        <v>115</v>
      </c>
      <c r="R340" s="401">
        <f>(O341)/(K341)-1</f>
        <v>0.14259227955154374</v>
      </c>
    </row>
    <row r="341" spans="1:22" ht="16.5" thickBot="1">
      <c r="A341" s="352" t="s">
        <v>217</v>
      </c>
      <c r="C341" s="400">
        <f>C338+C335+C340</f>
        <v>167590836.80439165</v>
      </c>
      <c r="E341" s="400">
        <v>170955532</v>
      </c>
      <c r="G341" s="393"/>
      <c r="I341" s="394">
        <f>I339+I335+I340</f>
        <v>11675514.74</v>
      </c>
      <c r="K341" s="394">
        <f>K339+K335+K340</f>
        <v>11991091</v>
      </c>
      <c r="M341" s="393"/>
      <c r="O341" s="394">
        <f>O339+O335+O340</f>
        <v>13700928</v>
      </c>
    </row>
    <row r="342" spans="1:22" ht="16.5" thickTop="1">
      <c r="C342" s="102"/>
      <c r="E342" s="102"/>
      <c r="P342" s="339"/>
      <c r="S342" s="395"/>
    </row>
    <row r="343" spans="1:22">
      <c r="A343" s="348" t="s">
        <v>218</v>
      </c>
      <c r="C343" s="102"/>
      <c r="E343" s="102"/>
      <c r="P343" s="339"/>
      <c r="T343" s="395"/>
      <c r="U343" s="339"/>
    </row>
    <row r="344" spans="1:22">
      <c r="A344" s="352" t="s">
        <v>205</v>
      </c>
      <c r="C344" s="102">
        <v>2.4876530612244903</v>
      </c>
      <c r="E344" s="102">
        <v>3</v>
      </c>
      <c r="G344" s="375">
        <v>110</v>
      </c>
      <c r="H344" s="374"/>
      <c r="I344" s="339">
        <f>ROUND($G344*C344,0)</f>
        <v>274</v>
      </c>
      <c r="K344" s="339">
        <f>ROUND($G344*E344,0)</f>
        <v>330</v>
      </c>
      <c r="M344" s="375">
        <f>M328</f>
        <v>126</v>
      </c>
      <c r="N344" s="374"/>
      <c r="O344" s="339">
        <f>ROUND(M344*$E344,0)</f>
        <v>378</v>
      </c>
      <c r="P344" s="339"/>
      <c r="T344" s="356">
        <f t="shared" ref="T344:T350" si="88">M344/G344-1</f>
        <v>0.1454545454545455</v>
      </c>
      <c r="U344" s="339"/>
    </row>
    <row r="345" spans="1:22">
      <c r="A345" s="352" t="s">
        <v>206</v>
      </c>
      <c r="C345" s="102">
        <v>250.73466666666701</v>
      </c>
      <c r="E345" s="357">
        <v>260</v>
      </c>
      <c r="G345" s="375">
        <v>34</v>
      </c>
      <c r="H345" s="374"/>
      <c r="I345" s="339">
        <f>ROUND($G345*C345,0)</f>
        <v>8525</v>
      </c>
      <c r="K345" s="339">
        <f>ROUND($G345*E345,0)</f>
        <v>8840</v>
      </c>
      <c r="M345" s="375">
        <f>M329</f>
        <v>39</v>
      </c>
      <c r="N345" s="374"/>
      <c r="O345" s="339">
        <f>ROUND(M345*$E345,0)</f>
        <v>10140</v>
      </c>
      <c r="P345" s="339"/>
      <c r="T345" s="356">
        <f t="shared" si="88"/>
        <v>0.14705882352941169</v>
      </c>
      <c r="V345" s="102"/>
    </row>
    <row r="346" spans="1:22">
      <c r="A346" s="352" t="s">
        <v>219</v>
      </c>
      <c r="C346" s="102">
        <v>1101.6144696969707</v>
      </c>
      <c r="E346" s="357">
        <f>ROUND(C346*(E344+E345)/(C344+C345),0)</f>
        <v>1144</v>
      </c>
      <c r="G346" s="375">
        <v>13</v>
      </c>
      <c r="H346" s="374"/>
      <c r="I346" s="339">
        <f>ROUND($G346*C346,0)</f>
        <v>14321</v>
      </c>
      <c r="K346" s="339">
        <f>ROUND($G346*E346,0)</f>
        <v>14872</v>
      </c>
      <c r="M346" s="375">
        <f>M330</f>
        <v>15</v>
      </c>
      <c r="N346" s="374"/>
      <c r="O346" s="339">
        <f>ROUND(M346*$E346,0)</f>
        <v>17160</v>
      </c>
      <c r="P346" s="376"/>
      <c r="T346" s="356">
        <f t="shared" si="88"/>
        <v>0.15384615384615374</v>
      </c>
      <c r="V346" s="102"/>
    </row>
    <row r="347" spans="1:22">
      <c r="A347" s="352" t="s">
        <v>208</v>
      </c>
      <c r="C347" s="102">
        <v>45214.772155145518</v>
      </c>
      <c r="E347" s="357">
        <f>ROUND(C347*$E$357/$C$357,0)</f>
        <v>46123</v>
      </c>
      <c r="G347" s="375">
        <v>6.44</v>
      </c>
      <c r="H347" s="374"/>
      <c r="I347" s="339">
        <f>ROUND($G347*C347,0)</f>
        <v>291183</v>
      </c>
      <c r="K347" s="339">
        <f>ROUND($G347*E347,0)</f>
        <v>297032</v>
      </c>
      <c r="M347" s="375">
        <f>M331</f>
        <v>7.36</v>
      </c>
      <c r="N347" s="374"/>
      <c r="O347" s="339">
        <f>ROUND(M347*$E347,0)</f>
        <v>339465</v>
      </c>
      <c r="P347" s="376"/>
      <c r="T347" s="356">
        <f t="shared" si="88"/>
        <v>0.14285714285714279</v>
      </c>
      <c r="U347" s="339"/>
    </row>
    <row r="348" spans="1:22">
      <c r="A348" s="352" t="s">
        <v>220</v>
      </c>
      <c r="C348" s="102">
        <v>2513.4596273291927</v>
      </c>
      <c r="E348" s="357">
        <f>ROUND(C348*$E$357/$C$357,0)</f>
        <v>2564</v>
      </c>
      <c r="G348" s="375">
        <v>-1.8</v>
      </c>
      <c r="H348" s="374"/>
      <c r="I348" s="339">
        <f>ROUND($G348*C348,0)</f>
        <v>-4524</v>
      </c>
      <c r="K348" s="339">
        <f>ROUND($G348*E348,0)</f>
        <v>-4615</v>
      </c>
      <c r="M348" s="375">
        <f>M332</f>
        <v>-2.06</v>
      </c>
      <c r="N348" s="374"/>
      <c r="O348" s="339">
        <f>ROUND(M348*$E348,0)</f>
        <v>-5282</v>
      </c>
      <c r="R348" s="396"/>
      <c r="T348" s="356">
        <f t="shared" si="88"/>
        <v>0.14444444444444438</v>
      </c>
    </row>
    <row r="349" spans="1:22">
      <c r="A349" s="352" t="s">
        <v>201</v>
      </c>
      <c r="C349" s="102">
        <v>2723359</v>
      </c>
      <c r="E349" s="357">
        <f>ROUND(C349*$E$351/$C$351,0)</f>
        <v>2538780</v>
      </c>
      <c r="G349" s="100">
        <v>12.671900000000001</v>
      </c>
      <c r="H349" s="363" t="s">
        <v>93</v>
      </c>
      <c r="I349" s="339">
        <f>ROUND($G349*C349/100,0)</f>
        <v>345101</v>
      </c>
      <c r="K349" s="339">
        <f>ROUND($G349*E349/100,0)</f>
        <v>321712</v>
      </c>
      <c r="M349" s="100">
        <f>ROUND(G349*(1+R$339),4)</f>
        <v>14.474</v>
      </c>
      <c r="N349" s="363" t="s">
        <v>93</v>
      </c>
      <c r="O349" s="339">
        <f>ROUND(M349*$E349/100,0)</f>
        <v>367463</v>
      </c>
      <c r="P349" s="376"/>
      <c r="T349" s="356">
        <f t="shared" si="88"/>
        <v>0.14221229649855194</v>
      </c>
      <c r="U349" s="339"/>
      <c r="V349" s="102"/>
    </row>
    <row r="350" spans="1:22">
      <c r="A350" s="352" t="s">
        <v>189</v>
      </c>
      <c r="C350" s="103">
        <v>9941601.8865102641</v>
      </c>
      <c r="E350" s="103">
        <f>E351-E349</f>
        <v>9267796</v>
      </c>
      <c r="G350" s="397">
        <v>3.6644000000000001</v>
      </c>
      <c r="H350" s="363" t="s">
        <v>93</v>
      </c>
      <c r="I350" s="414">
        <f>ROUND($G350*C350/100,0)</f>
        <v>364300</v>
      </c>
      <c r="K350" s="414">
        <f>ROUND($G350*E350/100,0)</f>
        <v>339609</v>
      </c>
      <c r="M350" s="397">
        <f>ROUND((R335-O341-SUM(O344:O349,O355))/E350*100,4)</f>
        <v>4.1666999999999996</v>
      </c>
      <c r="N350" s="363" t="s">
        <v>93</v>
      </c>
      <c r="O350" s="383">
        <f>ROUND(M350*$E350/100,0)</f>
        <v>386161</v>
      </c>
      <c r="P350" s="339"/>
      <c r="T350" s="356">
        <f t="shared" si="88"/>
        <v>0.13707564676345374</v>
      </c>
      <c r="U350" s="339"/>
    </row>
    <row r="351" spans="1:22">
      <c r="A351" s="352" t="s">
        <v>212</v>
      </c>
      <c r="C351" s="103">
        <f>C350+C349</f>
        <v>12664960.886510264</v>
      </c>
      <c r="E351" s="103">
        <f>ROUND(E357*C351/(C351+C355),0)</f>
        <v>11806576</v>
      </c>
      <c r="G351" s="427"/>
      <c r="I351" s="383">
        <f>SUM(I344:I350)</f>
        <v>1019180</v>
      </c>
      <c r="K351" s="383">
        <f>SUM(K344:K350)</f>
        <v>977780</v>
      </c>
      <c r="M351" s="427"/>
      <c r="O351" s="383">
        <f>SUM(O344:O350)</f>
        <v>1115485</v>
      </c>
      <c r="P351" s="376"/>
      <c r="S351" s="384"/>
      <c r="U351" s="396"/>
    </row>
    <row r="352" spans="1:22">
      <c r="A352" s="352" t="s">
        <v>213</v>
      </c>
      <c r="C352" s="102"/>
      <c r="E352" s="102"/>
      <c r="P352" s="376"/>
      <c r="Q352" s="351"/>
      <c r="R352" s="376"/>
    </row>
    <row r="353" spans="1:22">
      <c r="A353" s="352" t="s">
        <v>214</v>
      </c>
      <c r="C353" s="357">
        <v>530.23333333333437</v>
      </c>
      <c r="E353" s="357">
        <f>ROUND(C353*(E344+E345)/(C344+C345),0)</f>
        <v>551</v>
      </c>
      <c r="G353" s="374">
        <v>13</v>
      </c>
      <c r="H353" s="374"/>
      <c r="I353" s="376">
        <f>ROUND($G353*C353,0)</f>
        <v>6893</v>
      </c>
      <c r="K353" s="376">
        <f>ROUND($G353*E353,0)</f>
        <v>7163</v>
      </c>
      <c r="M353" s="374">
        <f>M337</f>
        <v>15</v>
      </c>
      <c r="N353" s="374"/>
      <c r="O353" s="376">
        <f>ROUND(M353*$E353,0)</f>
        <v>8265</v>
      </c>
      <c r="P353" s="376"/>
      <c r="Q353" s="333"/>
      <c r="R353" s="371"/>
      <c r="T353" s="356">
        <f t="shared" ref="T353:T354" si="89">M353/G353-1</f>
        <v>0.15384615384615374</v>
      </c>
      <c r="U353" s="384"/>
    </row>
    <row r="354" spans="1:22">
      <c r="A354" s="352" t="s">
        <v>215</v>
      </c>
      <c r="C354" s="103">
        <v>4846365.4605747815</v>
      </c>
      <c r="E354" s="103">
        <f>E355</f>
        <v>4517896</v>
      </c>
      <c r="G354" s="397">
        <v>4.3933999999999997</v>
      </c>
      <c r="H354" s="363" t="s">
        <v>93</v>
      </c>
      <c r="I354" s="414">
        <f>ROUND($G354*C354/100,0)</f>
        <v>212920</v>
      </c>
      <c r="K354" s="414">
        <f>ROUND($G354*E354/100,0)</f>
        <v>198489</v>
      </c>
      <c r="M354" s="397">
        <f>M338</f>
        <v>5.0182000000000002</v>
      </c>
      <c r="N354" s="363" t="s">
        <v>93</v>
      </c>
      <c r="O354" s="383">
        <f>ROUND(M354*$E354/100,0)</f>
        <v>226717</v>
      </c>
      <c r="P354" s="376"/>
      <c r="Q354" s="351"/>
      <c r="R354" s="376"/>
      <c r="T354" s="356">
        <f t="shared" si="89"/>
        <v>0.14221331997997</v>
      </c>
    </row>
    <row r="355" spans="1:22">
      <c r="A355" s="352" t="s">
        <v>216</v>
      </c>
      <c r="C355" s="103">
        <f>C354</f>
        <v>4846365.4605747815</v>
      </c>
      <c r="E355" s="103">
        <f>E357-E351</f>
        <v>4517896</v>
      </c>
      <c r="G355" s="427"/>
      <c r="I355" s="383">
        <f>I353+I354</f>
        <v>219813</v>
      </c>
      <c r="K355" s="383">
        <f>K353+K354</f>
        <v>205652</v>
      </c>
      <c r="M355" s="427"/>
      <c r="O355" s="383">
        <f>O353+O354</f>
        <v>234982</v>
      </c>
      <c r="P355" s="376"/>
      <c r="Q355" s="333"/>
      <c r="R355" s="371"/>
      <c r="S355" s="392"/>
      <c r="V355" s="384"/>
    </row>
    <row r="356" spans="1:22">
      <c r="A356" s="352" t="s">
        <v>112</v>
      </c>
      <c r="C356" s="103">
        <v>-1508148</v>
      </c>
      <c r="E356" s="103">
        <v>0</v>
      </c>
      <c r="I356" s="383">
        <v>-88979</v>
      </c>
      <c r="K356" s="383">
        <v>0</v>
      </c>
      <c r="O356" s="383">
        <v>0</v>
      </c>
      <c r="Q356" s="332" t="s">
        <v>115</v>
      </c>
      <c r="R356" s="402">
        <f>(O357)/(K357)-1</f>
        <v>0.14114456935421726</v>
      </c>
      <c r="S356" s="392"/>
    </row>
    <row r="357" spans="1:22" ht="16.5" thickBot="1">
      <c r="A357" s="352" t="s">
        <v>221</v>
      </c>
      <c r="C357" s="400">
        <f>C354+C351+C356</f>
        <v>16003178.347085044</v>
      </c>
      <c r="E357" s="400">
        <v>16324472</v>
      </c>
      <c r="G357" s="393"/>
      <c r="I357" s="394">
        <f>I355+I351+I356</f>
        <v>1150014</v>
      </c>
      <c r="K357" s="394">
        <f>K355+K351+K356</f>
        <v>1183432</v>
      </c>
      <c r="M357" s="393"/>
      <c r="O357" s="394">
        <f>O355+O351+O356</f>
        <v>1350467</v>
      </c>
      <c r="S357" s="392"/>
      <c r="T357" s="392"/>
    </row>
    <row r="358" spans="1:22" ht="16.5" thickTop="1">
      <c r="C358" s="102" t="s">
        <v>222</v>
      </c>
      <c r="E358" s="102"/>
      <c r="P358" s="339"/>
      <c r="S358" s="392"/>
      <c r="T358" s="392"/>
    </row>
    <row r="359" spans="1:22">
      <c r="A359" s="348" t="s">
        <v>223</v>
      </c>
      <c r="C359" s="102"/>
      <c r="E359" s="102"/>
      <c r="P359" s="339"/>
      <c r="Q359" s="328"/>
      <c r="T359" s="392"/>
    </row>
    <row r="360" spans="1:22">
      <c r="A360" s="408" t="s">
        <v>224</v>
      </c>
      <c r="C360" s="357"/>
      <c r="E360" s="357"/>
      <c r="G360" s="353"/>
      <c r="H360" s="353"/>
      <c r="I360" s="376"/>
      <c r="K360" s="376"/>
      <c r="M360" s="353"/>
      <c r="N360" s="353"/>
      <c r="O360" s="376"/>
      <c r="P360" s="339"/>
      <c r="Q360" s="354" t="s">
        <v>87</v>
      </c>
      <c r="R360" s="355">
        <f>O409</f>
        <v>5089243</v>
      </c>
    </row>
    <row r="361" spans="1:22">
      <c r="A361" s="352" t="s">
        <v>225</v>
      </c>
      <c r="C361" s="102">
        <v>46429.748502994</v>
      </c>
      <c r="E361" s="102">
        <f t="shared" ref="E361:E375" si="90">ROUND(C361*$E$406/$C$406,0)</f>
        <v>40532</v>
      </c>
      <c r="G361" s="99">
        <v>11.8</v>
      </c>
      <c r="H361" s="353"/>
      <c r="I361" s="339">
        <f t="shared" ref="I361:I375" si="91">ROUND(C361*$G361,0)</f>
        <v>547871</v>
      </c>
      <c r="K361" s="339">
        <f t="shared" ref="K361:K375" si="92">ROUND(E361*$G361,0)</f>
        <v>478278</v>
      </c>
      <c r="M361" s="99">
        <f>ROUND(G361*(1+$R$364),2)</f>
        <v>11.8</v>
      </c>
      <c r="N361" s="353"/>
      <c r="O361" s="339">
        <f t="shared" ref="O361:O375" si="93">ROUND(E361*M361,0)</f>
        <v>478278</v>
      </c>
      <c r="P361" s="339"/>
      <c r="Q361" s="358" t="s">
        <v>89</v>
      </c>
      <c r="R361" s="359">
        <f>'Baron Rate Spread'!M42*1000</f>
        <v>5089243</v>
      </c>
      <c r="S361" s="429"/>
      <c r="T361" s="356">
        <f t="shared" ref="T361:T387" si="94">M361/G361-1</f>
        <v>0</v>
      </c>
    </row>
    <row r="362" spans="1:22">
      <c r="A362" s="352" t="s">
        <v>226</v>
      </c>
      <c r="C362" s="102">
        <v>252210.68246445499</v>
      </c>
      <c r="E362" s="102">
        <f t="shared" si="90"/>
        <v>220174</v>
      </c>
      <c r="G362" s="99">
        <v>12.78</v>
      </c>
      <c r="H362" s="353"/>
      <c r="I362" s="339">
        <f t="shared" si="91"/>
        <v>3223253</v>
      </c>
      <c r="K362" s="339">
        <f t="shared" si="92"/>
        <v>2813824</v>
      </c>
      <c r="M362" s="99">
        <f t="shared" ref="M362:M375" si="95">ROUND(G362*(1+$R$364),2)</f>
        <v>12.78</v>
      </c>
      <c r="N362" s="353"/>
      <c r="O362" s="339">
        <f t="shared" si="93"/>
        <v>2813824</v>
      </c>
      <c r="P362" s="328"/>
      <c r="Q362" s="360" t="s">
        <v>91</v>
      </c>
      <c r="R362" s="361">
        <f>R361-R360</f>
        <v>0</v>
      </c>
      <c r="S362" s="429"/>
      <c r="T362" s="356">
        <f t="shared" si="94"/>
        <v>0</v>
      </c>
    </row>
    <row r="363" spans="1:22">
      <c r="A363" s="352" t="s">
        <v>227</v>
      </c>
      <c r="C363" s="102">
        <v>156</v>
      </c>
      <c r="E363" s="102">
        <f t="shared" si="90"/>
        <v>136</v>
      </c>
      <c r="G363" s="99">
        <v>11.5</v>
      </c>
      <c r="H363" s="353"/>
      <c r="I363" s="339">
        <f t="shared" si="91"/>
        <v>1794</v>
      </c>
      <c r="K363" s="339">
        <f t="shared" si="92"/>
        <v>1564</v>
      </c>
      <c r="M363" s="99">
        <f t="shared" si="95"/>
        <v>11.5</v>
      </c>
      <c r="N363" s="353"/>
      <c r="O363" s="339">
        <f t="shared" si="93"/>
        <v>1564</v>
      </c>
      <c r="P363" s="328"/>
      <c r="Q363" s="364" t="s">
        <v>94</v>
      </c>
      <c r="R363" s="398">
        <f>R360/K409-1</f>
        <v>0</v>
      </c>
      <c r="S363" s="429"/>
      <c r="T363" s="356">
        <f t="shared" si="94"/>
        <v>0</v>
      </c>
    </row>
    <row r="364" spans="1:22">
      <c r="A364" s="352" t="s">
        <v>228</v>
      </c>
      <c r="C364" s="102">
        <v>345.200043393361</v>
      </c>
      <c r="E364" s="102">
        <f t="shared" si="90"/>
        <v>301</v>
      </c>
      <c r="G364" s="99">
        <v>46.54</v>
      </c>
      <c r="H364" s="353"/>
      <c r="I364" s="339">
        <f t="shared" si="91"/>
        <v>16066</v>
      </c>
      <c r="K364" s="339">
        <f t="shared" si="92"/>
        <v>14009</v>
      </c>
      <c r="M364" s="99">
        <f t="shared" si="95"/>
        <v>46.54</v>
      </c>
      <c r="N364" s="353"/>
      <c r="O364" s="339">
        <f t="shared" si="93"/>
        <v>14009</v>
      </c>
      <c r="P364" s="328"/>
      <c r="Q364" s="380" t="s">
        <v>96</v>
      </c>
      <c r="R364" s="401">
        <f>R361/K409-1</f>
        <v>0</v>
      </c>
      <c r="S364" s="429"/>
      <c r="T364" s="356">
        <f t="shared" si="94"/>
        <v>0</v>
      </c>
    </row>
    <row r="365" spans="1:22">
      <c r="A365" s="352" t="s">
        <v>229</v>
      </c>
      <c r="C365" s="102">
        <v>194.466560509554</v>
      </c>
      <c r="E365" s="102">
        <f t="shared" si="90"/>
        <v>170</v>
      </c>
      <c r="G365" s="99">
        <v>38.049999999999997</v>
      </c>
      <c r="H365" s="353"/>
      <c r="I365" s="339">
        <f t="shared" si="91"/>
        <v>7399</v>
      </c>
      <c r="K365" s="339">
        <f t="shared" si="92"/>
        <v>6469</v>
      </c>
      <c r="M365" s="99">
        <f t="shared" si="95"/>
        <v>38.049999999999997</v>
      </c>
      <c r="N365" s="353"/>
      <c r="O365" s="339">
        <f t="shared" si="93"/>
        <v>6469</v>
      </c>
      <c r="P365" s="328"/>
      <c r="Q365" s="350" t="s">
        <v>115</v>
      </c>
      <c r="R365" s="411">
        <f>(O409)/(K409)-1</f>
        <v>0</v>
      </c>
      <c r="S365" s="429"/>
      <c r="T365" s="356">
        <f t="shared" si="94"/>
        <v>0</v>
      </c>
    </row>
    <row r="366" spans="1:22">
      <c r="A366" s="352" t="s">
        <v>230</v>
      </c>
      <c r="C366" s="102">
        <v>22365.243742550701</v>
      </c>
      <c r="E366" s="102">
        <f t="shared" si="90"/>
        <v>19524</v>
      </c>
      <c r="G366" s="99">
        <v>16.940000000000001</v>
      </c>
      <c r="H366" s="353"/>
      <c r="I366" s="339">
        <f t="shared" si="91"/>
        <v>378867</v>
      </c>
      <c r="K366" s="339">
        <f t="shared" si="92"/>
        <v>330737</v>
      </c>
      <c r="M366" s="99">
        <f t="shared" si="95"/>
        <v>16.940000000000001</v>
      </c>
      <c r="N366" s="353"/>
      <c r="O366" s="339">
        <f t="shared" si="93"/>
        <v>330737</v>
      </c>
      <c r="P366" s="328"/>
      <c r="Q366" s="429"/>
      <c r="R366" s="429"/>
      <c r="S366" s="429"/>
      <c r="T366" s="356">
        <f t="shared" si="94"/>
        <v>0</v>
      </c>
    </row>
    <row r="367" spans="1:22">
      <c r="A367" s="352" t="s">
        <v>231</v>
      </c>
      <c r="C367" s="102">
        <v>96</v>
      </c>
      <c r="E367" s="102">
        <f t="shared" si="90"/>
        <v>84</v>
      </c>
      <c r="G367" s="99">
        <v>15.25</v>
      </c>
      <c r="H367" s="353"/>
      <c r="I367" s="339">
        <f t="shared" si="91"/>
        <v>1464</v>
      </c>
      <c r="K367" s="339">
        <f t="shared" si="92"/>
        <v>1281</v>
      </c>
      <c r="M367" s="99">
        <f t="shared" si="95"/>
        <v>15.25</v>
      </c>
      <c r="N367" s="353"/>
      <c r="O367" s="339">
        <f t="shared" si="93"/>
        <v>1281</v>
      </c>
      <c r="P367" s="328"/>
      <c r="Q367" s="429"/>
      <c r="R367" s="429"/>
      <c r="S367" s="429"/>
      <c r="T367" s="356">
        <f t="shared" si="94"/>
        <v>0</v>
      </c>
    </row>
    <row r="368" spans="1:22">
      <c r="A368" s="352" t="s">
        <v>232</v>
      </c>
      <c r="C368" s="102">
        <v>1401.3261557948099</v>
      </c>
      <c r="E368" s="102">
        <f t="shared" si="90"/>
        <v>1223</v>
      </c>
      <c r="G368" s="99">
        <v>47.83</v>
      </c>
      <c r="H368" s="353"/>
      <c r="I368" s="339">
        <f t="shared" si="91"/>
        <v>67025</v>
      </c>
      <c r="K368" s="339">
        <f t="shared" si="92"/>
        <v>58496</v>
      </c>
      <c r="M368" s="99">
        <f t="shared" si="95"/>
        <v>47.83</v>
      </c>
      <c r="N368" s="353"/>
      <c r="O368" s="339">
        <f t="shared" si="93"/>
        <v>58496</v>
      </c>
      <c r="P368" s="328"/>
      <c r="Q368" s="429"/>
      <c r="R368" s="429"/>
      <c r="S368" s="429"/>
      <c r="T368" s="356">
        <f t="shared" si="94"/>
        <v>0</v>
      </c>
    </row>
    <row r="369" spans="1:21">
      <c r="A369" s="352" t="s">
        <v>233</v>
      </c>
      <c r="C369" s="102">
        <v>849.51719712525698</v>
      </c>
      <c r="E369" s="102">
        <f t="shared" si="90"/>
        <v>742</v>
      </c>
      <c r="G369" s="99">
        <v>39.340000000000003</v>
      </c>
      <c r="H369" s="353"/>
      <c r="I369" s="339">
        <f t="shared" si="91"/>
        <v>33420</v>
      </c>
      <c r="K369" s="339">
        <f t="shared" si="92"/>
        <v>29190</v>
      </c>
      <c r="M369" s="99">
        <f t="shared" si="95"/>
        <v>39.340000000000003</v>
      </c>
      <c r="N369" s="353"/>
      <c r="O369" s="339">
        <f t="shared" si="93"/>
        <v>29190</v>
      </c>
      <c r="P369" s="328"/>
      <c r="Q369" s="429"/>
      <c r="R369" s="429"/>
      <c r="S369" s="429"/>
      <c r="T369" s="356">
        <f t="shared" si="94"/>
        <v>0</v>
      </c>
    </row>
    <row r="370" spans="1:21">
      <c r="A370" s="352" t="s">
        <v>234</v>
      </c>
      <c r="C370" s="102">
        <v>30304.4087870105</v>
      </c>
      <c r="E370" s="102">
        <f t="shared" si="90"/>
        <v>26455</v>
      </c>
      <c r="G370" s="99">
        <v>21.14</v>
      </c>
      <c r="H370" s="353"/>
      <c r="I370" s="339">
        <f t="shared" si="91"/>
        <v>640635</v>
      </c>
      <c r="K370" s="339">
        <f t="shared" si="92"/>
        <v>559259</v>
      </c>
      <c r="M370" s="99">
        <f t="shared" si="95"/>
        <v>21.14</v>
      </c>
      <c r="N370" s="353"/>
      <c r="O370" s="339">
        <f t="shared" si="93"/>
        <v>559259</v>
      </c>
      <c r="P370" s="328"/>
      <c r="Q370" s="429"/>
      <c r="R370" s="429"/>
      <c r="S370" s="429"/>
      <c r="T370" s="356">
        <f t="shared" si="94"/>
        <v>0</v>
      </c>
    </row>
    <row r="371" spans="1:21">
      <c r="A371" s="352" t="s">
        <v>235</v>
      </c>
      <c r="C371" s="102">
        <v>48</v>
      </c>
      <c r="E371" s="102">
        <f t="shared" si="90"/>
        <v>42</v>
      </c>
      <c r="G371" s="99">
        <v>19.03</v>
      </c>
      <c r="H371" s="353"/>
      <c r="I371" s="339">
        <f t="shared" si="91"/>
        <v>913</v>
      </c>
      <c r="K371" s="339">
        <f t="shared" si="92"/>
        <v>799</v>
      </c>
      <c r="M371" s="99">
        <f t="shared" si="95"/>
        <v>19.03</v>
      </c>
      <c r="N371" s="353"/>
      <c r="O371" s="339">
        <f t="shared" si="93"/>
        <v>799</v>
      </c>
      <c r="P371" s="328"/>
      <c r="Q371" s="429"/>
      <c r="R371" s="429"/>
      <c r="S371" s="429"/>
      <c r="T371" s="356">
        <f t="shared" si="94"/>
        <v>0</v>
      </c>
    </row>
    <row r="372" spans="1:21">
      <c r="A372" s="352" t="s">
        <v>236</v>
      </c>
      <c r="C372" s="102">
        <v>1344</v>
      </c>
      <c r="E372" s="102">
        <f t="shared" si="90"/>
        <v>1173</v>
      </c>
      <c r="G372" s="99">
        <v>51.48</v>
      </c>
      <c r="H372" s="353"/>
      <c r="I372" s="339">
        <f t="shared" si="91"/>
        <v>69189</v>
      </c>
      <c r="K372" s="339">
        <f t="shared" si="92"/>
        <v>60386</v>
      </c>
      <c r="M372" s="99">
        <f t="shared" si="95"/>
        <v>51.48</v>
      </c>
      <c r="N372" s="353"/>
      <c r="O372" s="339">
        <f t="shared" si="93"/>
        <v>60386</v>
      </c>
      <c r="P372" s="328"/>
      <c r="Q372" s="429"/>
      <c r="R372" s="429"/>
      <c r="S372" s="429"/>
      <c r="T372" s="356">
        <f t="shared" si="94"/>
        <v>0</v>
      </c>
    </row>
    <row r="373" spans="1:21">
      <c r="A373" s="352" t="s">
        <v>237</v>
      </c>
      <c r="C373" s="102">
        <v>0</v>
      </c>
      <c r="E373" s="102">
        <f t="shared" si="90"/>
        <v>0</v>
      </c>
      <c r="G373" s="99">
        <v>43.01</v>
      </c>
      <c r="H373" s="353"/>
      <c r="I373" s="339">
        <f t="shared" si="91"/>
        <v>0</v>
      </c>
      <c r="K373" s="339">
        <f t="shared" si="92"/>
        <v>0</v>
      </c>
      <c r="M373" s="99">
        <f t="shared" si="95"/>
        <v>43.01</v>
      </c>
      <c r="N373" s="353"/>
      <c r="O373" s="339">
        <f t="shared" si="93"/>
        <v>0</v>
      </c>
      <c r="P373" s="328"/>
      <c r="Q373" s="429"/>
      <c r="R373" s="429"/>
      <c r="S373" s="429"/>
      <c r="T373" s="356">
        <f t="shared" si="94"/>
        <v>0</v>
      </c>
    </row>
    <row r="374" spans="1:21">
      <c r="A374" s="352" t="s">
        <v>238</v>
      </c>
      <c r="C374" s="102">
        <v>13505.4974776872</v>
      </c>
      <c r="E374" s="102">
        <f t="shared" si="90"/>
        <v>11790</v>
      </c>
      <c r="G374" s="99">
        <v>26.02</v>
      </c>
      <c r="H374" s="353"/>
      <c r="I374" s="339">
        <f t="shared" si="91"/>
        <v>351413</v>
      </c>
      <c r="K374" s="339">
        <f t="shared" si="92"/>
        <v>306776</v>
      </c>
      <c r="M374" s="99">
        <f t="shared" si="95"/>
        <v>26.02</v>
      </c>
      <c r="N374" s="353"/>
      <c r="O374" s="339">
        <f t="shared" si="93"/>
        <v>306776</v>
      </c>
      <c r="P374" s="328"/>
      <c r="Q374" s="430"/>
      <c r="R374" s="430"/>
      <c r="S374" s="430"/>
      <c r="T374" s="356">
        <f t="shared" si="94"/>
        <v>0</v>
      </c>
    </row>
    <row r="375" spans="1:21">
      <c r="A375" s="352" t="s">
        <v>239</v>
      </c>
      <c r="C375" s="102">
        <v>0</v>
      </c>
      <c r="E375" s="102">
        <f t="shared" si="90"/>
        <v>0</v>
      </c>
      <c r="G375" s="99">
        <v>51.54</v>
      </c>
      <c r="H375" s="353"/>
      <c r="I375" s="339">
        <f t="shared" si="91"/>
        <v>0</v>
      </c>
      <c r="K375" s="339">
        <f t="shared" si="92"/>
        <v>0</v>
      </c>
      <c r="M375" s="99">
        <f t="shared" si="95"/>
        <v>51.54</v>
      </c>
      <c r="N375" s="353"/>
      <c r="O375" s="339">
        <f t="shared" si="93"/>
        <v>0</v>
      </c>
      <c r="P375" s="328"/>
      <c r="Q375" s="429"/>
      <c r="R375" s="429"/>
      <c r="S375" s="429"/>
      <c r="T375" s="356">
        <f t="shared" si="94"/>
        <v>0</v>
      </c>
      <c r="U375" s="332"/>
    </row>
    <row r="376" spans="1:21">
      <c r="A376" s="408" t="s">
        <v>240</v>
      </c>
      <c r="C376" s="102"/>
      <c r="E376" s="102"/>
      <c r="G376" s="375"/>
      <c r="H376" s="374"/>
      <c r="I376" s="339"/>
      <c r="K376" s="339"/>
      <c r="M376" s="375"/>
      <c r="N376" s="374"/>
      <c r="O376" s="339"/>
      <c r="P376" s="328"/>
      <c r="Q376" s="429"/>
      <c r="R376" s="429"/>
      <c r="S376" s="429"/>
      <c r="T376" s="356"/>
    </row>
    <row r="377" spans="1:21" s="332" customFormat="1">
      <c r="A377" s="352" t="s">
        <v>241</v>
      </c>
      <c r="C377" s="102">
        <v>48</v>
      </c>
      <c r="D377" s="333"/>
      <c r="E377" s="102">
        <f t="shared" ref="E377:E387" si="96">ROUND(C377*$E$406/$C$406,0)</f>
        <v>42</v>
      </c>
      <c r="F377" s="333"/>
      <c r="G377" s="99">
        <v>48.74</v>
      </c>
      <c r="H377" s="353"/>
      <c r="I377" s="339">
        <f t="shared" ref="I377:I387" si="97">ROUND(C377*$G377,0)</f>
        <v>2340</v>
      </c>
      <c r="J377" s="333"/>
      <c r="K377" s="339">
        <f t="shared" ref="K377:K387" si="98">ROUND(E377*$G377,0)</f>
        <v>2047</v>
      </c>
      <c r="L377" s="333"/>
      <c r="M377" s="99">
        <f t="shared" ref="M377:M387" si="99">ROUND(G377*(1+$R$364),2)</f>
        <v>48.74</v>
      </c>
      <c r="N377" s="353"/>
      <c r="O377" s="339">
        <f t="shared" ref="O377:O387" si="100">ROUND(E377*M377,0)</f>
        <v>2047</v>
      </c>
      <c r="Q377" s="429"/>
      <c r="R377" s="429"/>
      <c r="S377" s="429"/>
      <c r="T377" s="356">
        <f t="shared" si="94"/>
        <v>0</v>
      </c>
      <c r="U377" s="328"/>
    </row>
    <row r="378" spans="1:21">
      <c r="A378" s="352" t="s">
        <v>242</v>
      </c>
      <c r="C378" s="102">
        <v>588</v>
      </c>
      <c r="E378" s="102">
        <f t="shared" si="96"/>
        <v>513</v>
      </c>
      <c r="G378" s="99">
        <v>40.270000000000003</v>
      </c>
      <c r="H378" s="353"/>
      <c r="I378" s="339">
        <f t="shared" si="97"/>
        <v>23679</v>
      </c>
      <c r="K378" s="339">
        <f t="shared" si="98"/>
        <v>20659</v>
      </c>
      <c r="M378" s="99">
        <f t="shared" si="99"/>
        <v>40.270000000000003</v>
      </c>
      <c r="N378" s="353"/>
      <c r="O378" s="339">
        <f t="shared" si="100"/>
        <v>20659</v>
      </c>
      <c r="P378" s="328"/>
      <c r="Q378" s="429"/>
      <c r="R378" s="429"/>
      <c r="S378" s="429"/>
      <c r="T378" s="356">
        <f t="shared" si="94"/>
        <v>0</v>
      </c>
    </row>
    <row r="379" spans="1:21">
      <c r="A379" s="352" t="s">
        <v>243</v>
      </c>
      <c r="C379" s="102">
        <v>133.79989969909701</v>
      </c>
      <c r="E379" s="102">
        <f t="shared" si="96"/>
        <v>117</v>
      </c>
      <c r="G379" s="99">
        <v>20.13</v>
      </c>
      <c r="H379" s="353"/>
      <c r="I379" s="339">
        <f t="shared" si="97"/>
        <v>2693</v>
      </c>
      <c r="K379" s="339">
        <f t="shared" si="98"/>
        <v>2355</v>
      </c>
      <c r="M379" s="99">
        <f t="shared" si="99"/>
        <v>20.13</v>
      </c>
      <c r="N379" s="353"/>
      <c r="O379" s="339">
        <f t="shared" si="100"/>
        <v>2355</v>
      </c>
      <c r="P379" s="328"/>
      <c r="Q379" s="430"/>
      <c r="R379" s="430"/>
      <c r="S379" s="430"/>
      <c r="T379" s="356">
        <f t="shared" si="94"/>
        <v>0</v>
      </c>
    </row>
    <row r="380" spans="1:21">
      <c r="A380" s="352" t="s">
        <v>244</v>
      </c>
      <c r="C380" s="102">
        <v>0</v>
      </c>
      <c r="E380" s="102">
        <f t="shared" si="96"/>
        <v>0</v>
      </c>
      <c r="G380" s="99">
        <v>50.65</v>
      </c>
      <c r="H380" s="353"/>
      <c r="I380" s="339">
        <f t="shared" si="97"/>
        <v>0</v>
      </c>
      <c r="K380" s="339">
        <f t="shared" si="98"/>
        <v>0</v>
      </c>
      <c r="M380" s="99">
        <f t="shared" si="99"/>
        <v>50.65</v>
      </c>
      <c r="N380" s="353"/>
      <c r="O380" s="339">
        <f t="shared" si="100"/>
        <v>0</v>
      </c>
      <c r="P380" s="328"/>
      <c r="Q380" s="429"/>
      <c r="R380" s="429"/>
      <c r="S380" s="429"/>
      <c r="T380" s="356">
        <f t="shared" si="94"/>
        <v>0</v>
      </c>
      <c r="U380" s="332"/>
    </row>
    <row r="381" spans="1:21">
      <c r="A381" s="352" t="s">
        <v>245</v>
      </c>
      <c r="C381" s="102">
        <v>1763.8620689655199</v>
      </c>
      <c r="E381" s="102">
        <f t="shared" si="96"/>
        <v>1540</v>
      </c>
      <c r="G381" s="99">
        <v>42.17</v>
      </c>
      <c r="H381" s="353"/>
      <c r="I381" s="339">
        <f t="shared" si="97"/>
        <v>74382</v>
      </c>
      <c r="K381" s="339">
        <f t="shared" si="98"/>
        <v>64942</v>
      </c>
      <c r="M381" s="99">
        <f t="shared" si="99"/>
        <v>42.17</v>
      </c>
      <c r="N381" s="353"/>
      <c r="O381" s="339">
        <f t="shared" si="100"/>
        <v>64942</v>
      </c>
      <c r="P381" s="328"/>
      <c r="Q381" s="429"/>
      <c r="R381" s="429"/>
      <c r="S381" s="429"/>
      <c r="T381" s="356">
        <f t="shared" si="94"/>
        <v>0</v>
      </c>
    </row>
    <row r="382" spans="1:21" s="332" customFormat="1">
      <c r="A382" s="352" t="s">
        <v>246</v>
      </c>
      <c r="C382" s="102">
        <v>386.18065693430702</v>
      </c>
      <c r="D382" s="333"/>
      <c r="E382" s="102">
        <f t="shared" si="96"/>
        <v>337</v>
      </c>
      <c r="F382" s="333"/>
      <c r="G382" s="99">
        <v>22.13</v>
      </c>
      <c r="H382" s="353"/>
      <c r="I382" s="339">
        <f t="shared" si="97"/>
        <v>8546</v>
      </c>
      <c r="J382" s="333"/>
      <c r="K382" s="339">
        <f t="shared" si="98"/>
        <v>7458</v>
      </c>
      <c r="L382" s="333"/>
      <c r="M382" s="99">
        <f t="shared" si="99"/>
        <v>22.13</v>
      </c>
      <c r="N382" s="353"/>
      <c r="O382" s="339">
        <f t="shared" si="100"/>
        <v>7458</v>
      </c>
      <c r="Q382" s="430"/>
      <c r="R382" s="430"/>
      <c r="S382" s="430"/>
      <c r="T382" s="356">
        <f t="shared" si="94"/>
        <v>0</v>
      </c>
      <c r="U382" s="328"/>
    </row>
    <row r="383" spans="1:21">
      <c r="A383" s="352" t="s">
        <v>247</v>
      </c>
      <c r="C383" s="102">
        <v>96</v>
      </c>
      <c r="E383" s="102">
        <f t="shared" si="96"/>
        <v>84</v>
      </c>
      <c r="G383" s="99">
        <v>53.69</v>
      </c>
      <c r="H383" s="353"/>
      <c r="I383" s="339">
        <f t="shared" si="97"/>
        <v>5154</v>
      </c>
      <c r="K383" s="339">
        <f t="shared" si="98"/>
        <v>4510</v>
      </c>
      <c r="M383" s="99">
        <f t="shared" si="99"/>
        <v>53.69</v>
      </c>
      <c r="N383" s="353"/>
      <c r="O383" s="339">
        <f t="shared" si="100"/>
        <v>4510</v>
      </c>
      <c r="P383" s="328"/>
      <c r="Q383" s="429"/>
      <c r="R383" s="429"/>
      <c r="S383" s="429"/>
      <c r="T383" s="356">
        <f t="shared" si="94"/>
        <v>0</v>
      </c>
      <c r="U383" s="332"/>
    </row>
    <row r="384" spans="1:21">
      <c r="A384" s="352" t="s">
        <v>248</v>
      </c>
      <c r="C384" s="102">
        <v>427.23899932990798</v>
      </c>
      <c r="E384" s="102">
        <f t="shared" si="96"/>
        <v>373</v>
      </c>
      <c r="G384" s="99">
        <v>45.2</v>
      </c>
      <c r="H384" s="353"/>
      <c r="I384" s="339">
        <f t="shared" si="97"/>
        <v>19311</v>
      </c>
      <c r="K384" s="339">
        <f t="shared" si="98"/>
        <v>16860</v>
      </c>
      <c r="M384" s="99">
        <f t="shared" si="99"/>
        <v>45.2</v>
      </c>
      <c r="N384" s="353"/>
      <c r="O384" s="339">
        <f t="shared" si="100"/>
        <v>16860</v>
      </c>
      <c r="P384" s="328"/>
      <c r="Q384" s="429"/>
      <c r="R384" s="429"/>
      <c r="S384" s="429"/>
      <c r="T384" s="356">
        <f t="shared" si="94"/>
        <v>0</v>
      </c>
    </row>
    <row r="385" spans="1:21" s="332" customFormat="1">
      <c r="A385" s="352" t="s">
        <v>249</v>
      </c>
      <c r="C385" s="102">
        <v>12</v>
      </c>
      <c r="D385" s="333"/>
      <c r="E385" s="102">
        <f t="shared" si="96"/>
        <v>10</v>
      </c>
      <c r="F385" s="333"/>
      <c r="G385" s="353">
        <v>25.78</v>
      </c>
      <c r="H385" s="353"/>
      <c r="I385" s="339">
        <f t="shared" si="97"/>
        <v>309</v>
      </c>
      <c r="J385" s="333"/>
      <c r="K385" s="339">
        <f t="shared" si="98"/>
        <v>258</v>
      </c>
      <c r="L385" s="333"/>
      <c r="M385" s="99">
        <f t="shared" si="99"/>
        <v>25.78</v>
      </c>
      <c r="N385" s="353"/>
      <c r="O385" s="339">
        <f t="shared" si="100"/>
        <v>258</v>
      </c>
      <c r="Q385" s="430"/>
      <c r="R385" s="430"/>
      <c r="S385" s="430"/>
      <c r="T385" s="356">
        <f t="shared" si="94"/>
        <v>0</v>
      </c>
      <c r="U385" s="328"/>
    </row>
    <row r="386" spans="1:21">
      <c r="A386" s="352" t="s">
        <v>250</v>
      </c>
      <c r="C386" s="102">
        <v>0</v>
      </c>
      <c r="E386" s="102">
        <f t="shared" si="96"/>
        <v>0</v>
      </c>
      <c r="G386" s="353">
        <v>55.33</v>
      </c>
      <c r="H386" s="353"/>
      <c r="I386" s="339">
        <f t="shared" si="97"/>
        <v>0</v>
      </c>
      <c r="K386" s="339">
        <f t="shared" si="98"/>
        <v>0</v>
      </c>
      <c r="M386" s="99">
        <f t="shared" si="99"/>
        <v>55.33</v>
      </c>
      <c r="N386" s="353"/>
      <c r="O386" s="339">
        <f t="shared" si="100"/>
        <v>0</v>
      </c>
      <c r="P386" s="328"/>
      <c r="Q386" s="429"/>
      <c r="R386" s="429"/>
      <c r="S386" s="429"/>
      <c r="T386" s="356">
        <f t="shared" si="94"/>
        <v>0</v>
      </c>
      <c r="U386" s="332"/>
    </row>
    <row r="387" spans="1:21">
      <c r="A387" s="352" t="s">
        <v>251</v>
      </c>
      <c r="C387" s="102">
        <v>0</v>
      </c>
      <c r="E387" s="102">
        <f t="shared" si="96"/>
        <v>0</v>
      </c>
      <c r="G387" s="353">
        <v>46.86</v>
      </c>
      <c r="H387" s="353"/>
      <c r="I387" s="339">
        <f t="shared" si="97"/>
        <v>0</v>
      </c>
      <c r="K387" s="339">
        <f t="shared" si="98"/>
        <v>0</v>
      </c>
      <c r="M387" s="99">
        <f t="shared" si="99"/>
        <v>46.86</v>
      </c>
      <c r="N387" s="353"/>
      <c r="O387" s="339">
        <f t="shared" si="100"/>
        <v>0</v>
      </c>
      <c r="P387" s="328"/>
      <c r="Q387" s="429"/>
      <c r="R387" s="429"/>
      <c r="S387" s="429"/>
      <c r="T387" s="356">
        <f t="shared" si="94"/>
        <v>0</v>
      </c>
    </row>
    <row r="388" spans="1:21" s="332" customFormat="1">
      <c r="A388" s="408" t="s">
        <v>252</v>
      </c>
      <c r="C388" s="357"/>
      <c r="D388" s="333"/>
      <c r="E388" s="357"/>
      <c r="F388" s="333"/>
      <c r="G388" s="353"/>
      <c r="H388" s="353"/>
      <c r="I388" s="376"/>
      <c r="J388" s="333"/>
      <c r="K388" s="376"/>
      <c r="L388" s="333"/>
      <c r="M388" s="353"/>
      <c r="N388" s="353"/>
      <c r="O388" s="376"/>
      <c r="Q388" s="429"/>
      <c r="R388" s="429"/>
      <c r="S388" s="429"/>
      <c r="T388" s="328"/>
      <c r="U388" s="328"/>
    </row>
    <row r="389" spans="1:21">
      <c r="A389" s="352" t="s">
        <v>253</v>
      </c>
      <c r="C389" s="102">
        <v>9641.2777777777792</v>
      </c>
      <c r="E389" s="102">
        <f>ROUND(C389*$E$406/$C$406,0)</f>
        <v>8417</v>
      </c>
      <c r="G389" s="99">
        <v>11.09</v>
      </c>
      <c r="H389" s="353"/>
      <c r="I389" s="339">
        <f>ROUND(C389*$G389,0)</f>
        <v>106922</v>
      </c>
      <c r="K389" s="339">
        <f>ROUND(E389*$G389,0)</f>
        <v>93345</v>
      </c>
      <c r="M389" s="99">
        <f>ROUND(G389*(1+$R$364),2)</f>
        <v>11.09</v>
      </c>
      <c r="N389" s="353"/>
      <c r="O389" s="339">
        <f>ROUND(E389*M389,0)</f>
        <v>93345</v>
      </c>
      <c r="P389" s="328"/>
      <c r="Q389" s="429"/>
      <c r="R389" s="429"/>
      <c r="S389" s="429"/>
      <c r="T389" s="356">
        <f t="shared" ref="T389:T393" si="101">M389/G389-1</f>
        <v>0</v>
      </c>
    </row>
    <row r="390" spans="1:21">
      <c r="A390" s="352" t="s">
        <v>155</v>
      </c>
      <c r="C390" s="102">
        <v>12074.047445255501</v>
      </c>
      <c r="E390" s="102">
        <f>ROUND(C390*$E$406/$C$406,0)</f>
        <v>10540</v>
      </c>
      <c r="G390" s="99">
        <v>13.83</v>
      </c>
      <c r="H390" s="353"/>
      <c r="I390" s="339">
        <f>ROUND(C390*$G390,0)</f>
        <v>166984</v>
      </c>
      <c r="K390" s="339">
        <f>ROUND(E390*$G390,0)</f>
        <v>145768</v>
      </c>
      <c r="M390" s="99">
        <f>ROUND(G390*(1+$R$364),2)</f>
        <v>13.83</v>
      </c>
      <c r="N390" s="353"/>
      <c r="O390" s="339">
        <f>ROUND(E390*M390,0)</f>
        <v>145768</v>
      </c>
      <c r="P390" s="328"/>
      <c r="Q390" s="429"/>
      <c r="R390" s="429"/>
      <c r="S390" s="429"/>
      <c r="T390" s="356">
        <f t="shared" si="101"/>
        <v>0</v>
      </c>
    </row>
    <row r="391" spans="1:21">
      <c r="A391" s="352" t="s">
        <v>254</v>
      </c>
      <c r="C391" s="102">
        <v>321.483081728267</v>
      </c>
      <c r="E391" s="102">
        <f>ROUND(C391*$E$406/$C$406,0)</f>
        <v>281</v>
      </c>
      <c r="G391" s="99">
        <v>19.399999999999999</v>
      </c>
      <c r="H391" s="353"/>
      <c r="I391" s="339">
        <f>ROUND(C391*$G391,0)</f>
        <v>6237</v>
      </c>
      <c r="K391" s="339">
        <f>ROUND(E391*$G391,0)</f>
        <v>5451</v>
      </c>
      <c r="M391" s="99">
        <f>ROUND(G391*(1+$R$364),2)</f>
        <v>19.399999999999999</v>
      </c>
      <c r="N391" s="353"/>
      <c r="O391" s="339">
        <f>ROUND(E391*M391,0)</f>
        <v>5451</v>
      </c>
      <c r="P391" s="328"/>
      <c r="Q391" s="429"/>
      <c r="R391" s="429"/>
      <c r="S391" s="429"/>
      <c r="T391" s="356">
        <f t="shared" si="101"/>
        <v>0</v>
      </c>
    </row>
    <row r="392" spans="1:21">
      <c r="A392" s="352" t="s">
        <v>255</v>
      </c>
      <c r="C392" s="102">
        <v>0</v>
      </c>
      <c r="E392" s="102">
        <f>ROUND(C392*$E$406/$C$406,0)</f>
        <v>0</v>
      </c>
      <c r="G392" s="99">
        <v>17.46</v>
      </c>
      <c r="H392" s="353"/>
      <c r="I392" s="339">
        <f>ROUND(C392*$G392,0)</f>
        <v>0</v>
      </c>
      <c r="K392" s="339">
        <f>ROUND(E392*$G392,0)</f>
        <v>0</v>
      </c>
      <c r="M392" s="99">
        <f>ROUND(G392*(1+$R$364),2)</f>
        <v>17.46</v>
      </c>
      <c r="N392" s="353"/>
      <c r="O392" s="339">
        <f>ROUND(E392*M392,0)</f>
        <v>0</v>
      </c>
      <c r="P392" s="328"/>
      <c r="Q392" s="429"/>
      <c r="R392" s="429"/>
      <c r="S392" s="429"/>
      <c r="T392" s="356">
        <f t="shared" si="101"/>
        <v>0</v>
      </c>
    </row>
    <row r="393" spans="1:21">
      <c r="A393" s="352" t="s">
        <v>157</v>
      </c>
      <c r="C393" s="102">
        <v>1929.8347107438001</v>
      </c>
      <c r="E393" s="102">
        <f>ROUND(C393*$E$406/$C$406,0)</f>
        <v>1685</v>
      </c>
      <c r="G393" s="99">
        <v>24.43</v>
      </c>
      <c r="H393" s="353"/>
      <c r="I393" s="339">
        <f>ROUND(C393*$G393,0)</f>
        <v>47146</v>
      </c>
      <c r="K393" s="339">
        <f>ROUND(E393*$G393,0)</f>
        <v>41165</v>
      </c>
      <c r="M393" s="99">
        <f>ROUND(G393*(1+$R$364),2)</f>
        <v>24.43</v>
      </c>
      <c r="N393" s="353"/>
      <c r="O393" s="339">
        <f>ROUND(E393*M393,0)</f>
        <v>41165</v>
      </c>
      <c r="P393" s="328"/>
      <c r="Q393" s="429"/>
      <c r="R393" s="429"/>
      <c r="S393" s="429"/>
      <c r="T393" s="356">
        <f t="shared" si="101"/>
        <v>0</v>
      </c>
    </row>
    <row r="394" spans="1:21">
      <c r="A394" s="408" t="s">
        <v>256</v>
      </c>
      <c r="C394" s="102"/>
      <c r="E394" s="102"/>
      <c r="I394" s="339"/>
      <c r="K394" s="339"/>
      <c r="O394" s="339"/>
      <c r="P394" s="328"/>
      <c r="Q394" s="429"/>
      <c r="R394" s="429"/>
      <c r="S394" s="429"/>
    </row>
    <row r="395" spans="1:21">
      <c r="A395" s="352" t="s">
        <v>257</v>
      </c>
      <c r="C395" s="102">
        <v>0</v>
      </c>
      <c r="E395" s="102">
        <f t="shared" ref="E395:E400" si="102">ROUND(C395*$E$406/$C$406,0)</f>
        <v>0</v>
      </c>
      <c r="G395" s="99">
        <v>11.99</v>
      </c>
      <c r="H395" s="353"/>
      <c r="I395" s="339">
        <f t="shared" ref="I395:I400" si="103">ROUND(C395*$G395,0)</f>
        <v>0</v>
      </c>
      <c r="K395" s="339">
        <f t="shared" ref="K395:K400" si="104">ROUND(E395*$G395,0)</f>
        <v>0</v>
      </c>
      <c r="M395" s="99">
        <f t="shared" ref="M395:M400" si="105">ROUND(G395*(1+$R$364),2)</f>
        <v>11.99</v>
      </c>
      <c r="N395" s="353"/>
      <c r="O395" s="339">
        <f t="shared" ref="O395:O400" si="106">ROUND(E395*M395,0)</f>
        <v>0</v>
      </c>
      <c r="P395" s="328"/>
      <c r="Q395" s="429"/>
      <c r="R395" s="429"/>
      <c r="S395" s="429"/>
      <c r="T395" s="356">
        <f t="shared" ref="T395:T400" si="107">M395/G395-1</f>
        <v>0</v>
      </c>
    </row>
    <row r="396" spans="1:21">
      <c r="A396" s="352" t="s">
        <v>258</v>
      </c>
      <c r="C396" s="102">
        <v>144.5</v>
      </c>
      <c r="E396" s="102">
        <f t="shared" si="102"/>
        <v>126</v>
      </c>
      <c r="G396" s="99">
        <v>4.24</v>
      </c>
      <c r="H396" s="353"/>
      <c r="I396" s="339">
        <f t="shared" si="103"/>
        <v>613</v>
      </c>
      <c r="K396" s="339">
        <f t="shared" si="104"/>
        <v>534</v>
      </c>
      <c r="M396" s="99">
        <f t="shared" si="105"/>
        <v>4.24</v>
      </c>
      <c r="N396" s="353"/>
      <c r="O396" s="339">
        <f t="shared" si="106"/>
        <v>534</v>
      </c>
      <c r="P396" s="328"/>
      <c r="Q396" s="429"/>
      <c r="R396" s="429"/>
      <c r="S396" s="429"/>
      <c r="T396" s="356">
        <f t="shared" si="107"/>
        <v>0</v>
      </c>
    </row>
    <row r="397" spans="1:21">
      <c r="A397" s="352" t="s">
        <v>259</v>
      </c>
      <c r="C397" s="102">
        <v>23.500294985250701</v>
      </c>
      <c r="E397" s="102">
        <f t="shared" si="102"/>
        <v>21</v>
      </c>
      <c r="G397" s="99">
        <v>17.11</v>
      </c>
      <c r="H397" s="353"/>
      <c r="I397" s="339">
        <f t="shared" si="103"/>
        <v>402</v>
      </c>
      <c r="K397" s="339">
        <f t="shared" si="104"/>
        <v>359</v>
      </c>
      <c r="M397" s="99">
        <f t="shared" si="105"/>
        <v>17.11</v>
      </c>
      <c r="N397" s="353"/>
      <c r="O397" s="339">
        <f t="shared" si="106"/>
        <v>359</v>
      </c>
      <c r="P397" s="328"/>
      <c r="Q397" s="429"/>
      <c r="R397" s="429"/>
      <c r="S397" s="429"/>
      <c r="T397" s="356">
        <f t="shared" si="107"/>
        <v>0</v>
      </c>
    </row>
    <row r="398" spans="1:21">
      <c r="A398" s="352" t="s">
        <v>253</v>
      </c>
      <c r="C398" s="102">
        <v>380.13346515076603</v>
      </c>
      <c r="E398" s="102">
        <f t="shared" si="102"/>
        <v>332</v>
      </c>
      <c r="G398" s="99">
        <v>20.43</v>
      </c>
      <c r="H398" s="353"/>
      <c r="I398" s="339">
        <f t="shared" si="103"/>
        <v>7766</v>
      </c>
      <c r="K398" s="339">
        <f t="shared" si="104"/>
        <v>6783</v>
      </c>
      <c r="M398" s="99">
        <f t="shared" si="105"/>
        <v>20.43</v>
      </c>
      <c r="N398" s="353"/>
      <c r="O398" s="339">
        <f t="shared" si="106"/>
        <v>6783</v>
      </c>
      <c r="P398" s="328"/>
      <c r="Q398" s="429"/>
      <c r="R398" s="429"/>
      <c r="S398" s="429"/>
      <c r="T398" s="356">
        <f t="shared" si="107"/>
        <v>0</v>
      </c>
    </row>
    <row r="399" spans="1:21">
      <c r="A399" s="352" t="s">
        <v>260</v>
      </c>
      <c r="C399" s="102">
        <v>629.948707079271</v>
      </c>
      <c r="E399" s="102">
        <f t="shared" si="102"/>
        <v>550</v>
      </c>
      <c r="G399" s="99">
        <v>23.82</v>
      </c>
      <c r="H399" s="353"/>
      <c r="I399" s="339">
        <f t="shared" si="103"/>
        <v>15005</v>
      </c>
      <c r="K399" s="339">
        <f t="shared" si="104"/>
        <v>13101</v>
      </c>
      <c r="M399" s="99">
        <f t="shared" si="105"/>
        <v>23.82</v>
      </c>
      <c r="N399" s="353"/>
      <c r="O399" s="339">
        <f t="shared" si="106"/>
        <v>13101</v>
      </c>
      <c r="P399" s="328"/>
      <c r="Q399" s="429"/>
      <c r="R399" s="429"/>
      <c r="S399" s="429"/>
      <c r="T399" s="356">
        <f t="shared" si="107"/>
        <v>0</v>
      </c>
    </row>
    <row r="400" spans="1:21">
      <c r="A400" s="352" t="s">
        <v>254</v>
      </c>
      <c r="C400" s="102">
        <v>24</v>
      </c>
      <c r="E400" s="102">
        <f t="shared" si="102"/>
        <v>21</v>
      </c>
      <c r="G400" s="99">
        <v>31.47</v>
      </c>
      <c r="H400" s="353"/>
      <c r="I400" s="339">
        <f t="shared" si="103"/>
        <v>755</v>
      </c>
      <c r="K400" s="339">
        <f t="shared" si="104"/>
        <v>661</v>
      </c>
      <c r="M400" s="99">
        <f t="shared" si="105"/>
        <v>31.47</v>
      </c>
      <c r="N400" s="353"/>
      <c r="O400" s="339">
        <f t="shared" si="106"/>
        <v>661</v>
      </c>
      <c r="P400" s="328"/>
      <c r="Q400" s="429"/>
      <c r="R400" s="429"/>
      <c r="S400" s="429"/>
      <c r="T400" s="356">
        <f t="shared" si="107"/>
        <v>0</v>
      </c>
    </row>
    <row r="401" spans="1:20">
      <c r="A401" s="408" t="s">
        <v>261</v>
      </c>
      <c r="C401" s="357"/>
      <c r="E401" s="357"/>
      <c r="G401" s="353"/>
      <c r="H401" s="353"/>
      <c r="I401" s="376"/>
      <c r="K401" s="376"/>
      <c r="M401" s="353"/>
      <c r="N401" s="353"/>
      <c r="O401" s="376"/>
      <c r="P401" s="328"/>
      <c r="Q401" s="429"/>
      <c r="R401" s="429"/>
      <c r="S401" s="429"/>
    </row>
    <row r="402" spans="1:20">
      <c r="A402" s="352" t="s">
        <v>262</v>
      </c>
      <c r="C402" s="102">
        <v>12</v>
      </c>
      <c r="E402" s="102">
        <f>ROUND(C402*$E$406/$C$406,0)</f>
        <v>10</v>
      </c>
      <c r="G402" s="99">
        <v>27.85</v>
      </c>
      <c r="H402" s="353"/>
      <c r="I402" s="339">
        <f>ROUND(C402*$G402,0)</f>
        <v>334</v>
      </c>
      <c r="K402" s="339">
        <f>ROUND(E402*$G402,0)</f>
        <v>279</v>
      </c>
      <c r="M402" s="99">
        <f>ROUND(G402*(1+$R$364),2)</f>
        <v>27.85</v>
      </c>
      <c r="N402" s="353"/>
      <c r="O402" s="339">
        <f>ROUND(E402*M402,0)</f>
        <v>279</v>
      </c>
      <c r="P402" s="328"/>
      <c r="Q402" s="429"/>
      <c r="R402" s="429"/>
      <c r="S402" s="429"/>
      <c r="T402" s="356">
        <f t="shared" ref="T402" si="108">M402/G402-1</f>
        <v>0</v>
      </c>
    </row>
    <row r="403" spans="1:20">
      <c r="A403" s="408" t="s">
        <v>263</v>
      </c>
      <c r="C403" s="102"/>
      <c r="E403" s="102"/>
      <c r="G403" s="99"/>
      <c r="H403" s="353"/>
      <c r="I403" s="339"/>
      <c r="K403" s="339"/>
      <c r="M403" s="99"/>
      <c r="N403" s="353"/>
      <c r="O403" s="339"/>
      <c r="P403" s="328"/>
      <c r="Q403" s="429"/>
      <c r="R403" s="429"/>
      <c r="S403" s="429"/>
    </row>
    <row r="404" spans="1:20">
      <c r="A404" s="352" t="s">
        <v>264</v>
      </c>
      <c r="C404" s="102">
        <v>48</v>
      </c>
      <c r="E404" s="102">
        <f>ROUND(C404*$E$406/$C$406,0)</f>
        <v>42</v>
      </c>
      <c r="G404" s="99">
        <v>39.04</v>
      </c>
      <c r="H404" s="353"/>
      <c r="I404" s="339">
        <f>ROUND(C404*$G404,0)</f>
        <v>1874</v>
      </c>
      <c r="K404" s="339">
        <f>ROUND(E404*$G404,0)</f>
        <v>1640</v>
      </c>
      <c r="M404" s="99">
        <f>ROUND(G404*(1+$R$364),2)</f>
        <v>39.04</v>
      </c>
      <c r="N404" s="353"/>
      <c r="O404" s="339">
        <f>ROUND(E404*M404,0)</f>
        <v>1640</v>
      </c>
      <c r="P404" s="328"/>
      <c r="Q404" s="429"/>
      <c r="R404" s="429"/>
      <c r="S404" s="429"/>
      <c r="T404" s="356">
        <f t="shared" ref="T404" si="109">M404/G404-1</f>
        <v>0</v>
      </c>
    </row>
    <row r="405" spans="1:20">
      <c r="A405" s="352" t="s">
        <v>265</v>
      </c>
      <c r="C405" s="103">
        <f>SUM(C361:C404)</f>
        <v>397933.89803916984</v>
      </c>
      <c r="E405" s="103">
        <f>SUM(E361:E404)</f>
        <v>347387</v>
      </c>
      <c r="G405" s="427"/>
      <c r="I405" s="383">
        <f>SUM(I361:I404)</f>
        <v>5829761</v>
      </c>
      <c r="K405" s="383">
        <f>SUM(K361:K404)</f>
        <v>5089243</v>
      </c>
      <c r="M405" s="427"/>
      <c r="O405" s="383">
        <f>SUM(O361:O404)</f>
        <v>5089243</v>
      </c>
      <c r="P405" s="328"/>
      <c r="Q405" s="429"/>
      <c r="R405" s="429"/>
      <c r="S405" s="429"/>
    </row>
    <row r="406" spans="1:20" ht="16.5" thickBot="1">
      <c r="A406" s="352" t="s">
        <v>181</v>
      </c>
      <c r="C406" s="431">
        <v>19562562.607310005</v>
      </c>
      <c r="E406" s="431">
        <v>17077687</v>
      </c>
      <c r="G406" s="393"/>
      <c r="I406" s="393"/>
      <c r="K406" s="393"/>
      <c r="M406" s="393"/>
      <c r="O406" s="393"/>
      <c r="P406" s="328"/>
      <c r="Q406" s="429"/>
      <c r="R406" s="429"/>
      <c r="S406" s="429"/>
    </row>
    <row r="407" spans="1:20" ht="16.5" thickTop="1">
      <c r="A407" s="352" t="s">
        <v>9</v>
      </c>
      <c r="C407" s="346">
        <v>952.66666666666697</v>
      </c>
      <c r="E407" s="346">
        <v>834.33333333333337</v>
      </c>
      <c r="P407" s="384"/>
      <c r="Q407" s="429"/>
      <c r="R407" s="429"/>
      <c r="S407" s="429"/>
    </row>
    <row r="408" spans="1:20">
      <c r="A408" s="352" t="s">
        <v>182</v>
      </c>
      <c r="C408" s="432">
        <v>329284</v>
      </c>
      <c r="E408" s="432">
        <v>0</v>
      </c>
      <c r="G408" s="427"/>
      <c r="I408" s="383">
        <v>83289</v>
      </c>
      <c r="K408" s="383">
        <v>0</v>
      </c>
      <c r="M408" s="427"/>
      <c r="O408" s="383">
        <v>0</v>
      </c>
      <c r="P408" s="328"/>
      <c r="Q408" s="429"/>
      <c r="R408" s="429"/>
      <c r="S408" s="429"/>
    </row>
    <row r="409" spans="1:20" ht="16.5" thickBot="1">
      <c r="A409" s="352" t="s">
        <v>266</v>
      </c>
      <c r="C409" s="431">
        <f>C408+C406</f>
        <v>19891846.607310005</v>
      </c>
      <c r="E409" s="431">
        <f>E408+E406</f>
        <v>17077687</v>
      </c>
      <c r="G409" s="433"/>
      <c r="H409" s="434"/>
      <c r="I409" s="433">
        <f>I408+I405</f>
        <v>5913050</v>
      </c>
      <c r="K409" s="433">
        <f>K408+K405</f>
        <v>5089243</v>
      </c>
      <c r="M409" s="433"/>
      <c r="N409" s="434"/>
      <c r="O409" s="433">
        <f>O408+O405</f>
        <v>5089243</v>
      </c>
      <c r="P409" s="328"/>
      <c r="Q409" s="390">
        <f>O409/K409-1</f>
        <v>0</v>
      </c>
      <c r="R409" s="429"/>
      <c r="S409" s="429"/>
    </row>
    <row r="410" spans="1:20" ht="16.5" thickTop="1">
      <c r="C410" s="102"/>
      <c r="E410" s="102"/>
      <c r="P410" s="328"/>
      <c r="Q410" s="429"/>
      <c r="R410" s="429"/>
      <c r="S410" s="429"/>
    </row>
    <row r="411" spans="1:20">
      <c r="A411" s="348" t="s">
        <v>267</v>
      </c>
      <c r="C411" s="102"/>
      <c r="E411" s="102"/>
      <c r="P411" s="328"/>
      <c r="Q411" s="429"/>
      <c r="R411" s="429"/>
      <c r="S411" s="429"/>
    </row>
    <row r="412" spans="1:20">
      <c r="A412" s="435" t="s">
        <v>268</v>
      </c>
      <c r="C412" s="102"/>
      <c r="E412" s="102"/>
      <c r="I412" s="339"/>
      <c r="K412" s="339"/>
      <c r="O412" s="339"/>
      <c r="P412" s="328"/>
      <c r="Q412" s="328"/>
      <c r="S412" s="429"/>
    </row>
    <row r="413" spans="1:20">
      <c r="A413" s="408" t="s">
        <v>269</v>
      </c>
      <c r="C413" s="102"/>
      <c r="E413" s="102"/>
      <c r="I413" s="339"/>
      <c r="K413" s="339"/>
      <c r="O413" s="339"/>
      <c r="P413" s="328"/>
      <c r="Q413" s="328"/>
      <c r="S413" s="429"/>
    </row>
    <row r="414" spans="1:20">
      <c r="A414" s="352" t="s">
        <v>270</v>
      </c>
      <c r="C414" s="102">
        <v>109322.486187845</v>
      </c>
      <c r="E414" s="102">
        <f>ROUND(C414*$E$425/$C$425,0)</f>
        <v>112356</v>
      </c>
      <c r="G414" s="99">
        <v>1.83</v>
      </c>
      <c r="H414" s="353"/>
      <c r="I414" s="339">
        <f>ROUND(C414*$G414,0)</f>
        <v>200060</v>
      </c>
      <c r="J414" s="339"/>
      <c r="K414" s="339">
        <f>ROUND(E414*$G414,0)</f>
        <v>205611</v>
      </c>
      <c r="M414" s="99">
        <f>ROUND(G414*(1+$R$418),2)</f>
        <v>1.83</v>
      </c>
      <c r="N414" s="353"/>
      <c r="O414" s="339">
        <f>ROUND(E414*M414,0)</f>
        <v>205611</v>
      </c>
      <c r="P414" s="328"/>
      <c r="Q414" s="354" t="s">
        <v>87</v>
      </c>
      <c r="R414" s="355">
        <f>O503</f>
        <v>4058813</v>
      </c>
      <c r="S414" s="429"/>
      <c r="T414" s="356">
        <f t="shared" ref="T414:T418" si="110">M414/G414-1</f>
        <v>0</v>
      </c>
    </row>
    <row r="415" spans="1:20">
      <c r="A415" s="352" t="s">
        <v>271</v>
      </c>
      <c r="C415" s="102">
        <v>138151.987854251</v>
      </c>
      <c r="E415" s="102">
        <f>ROUND(C415*$E$425/$C$425,0)</f>
        <v>141986</v>
      </c>
      <c r="G415" s="99">
        <v>2.5</v>
      </c>
      <c r="H415" s="353"/>
      <c r="I415" s="339">
        <f>ROUND(C415*$G415,0)</f>
        <v>345380</v>
      </c>
      <c r="J415" s="339"/>
      <c r="K415" s="339">
        <f>ROUND(E415*$G415,0)</f>
        <v>354965</v>
      </c>
      <c r="M415" s="99">
        <f>ROUND(G415*(1+$R$418),2)</f>
        <v>2.5</v>
      </c>
      <c r="N415" s="353"/>
      <c r="O415" s="339">
        <f>ROUND(E415*M415,0)</f>
        <v>354965</v>
      </c>
      <c r="P415" s="328"/>
      <c r="Q415" s="358" t="s">
        <v>89</v>
      </c>
      <c r="R415" s="359">
        <f>'Baron Rate Spread'!M43*1000</f>
        <v>4058813</v>
      </c>
      <c r="S415" s="429"/>
      <c r="T415" s="356">
        <f t="shared" si="110"/>
        <v>0</v>
      </c>
    </row>
    <row r="416" spans="1:20">
      <c r="A416" s="352" t="s">
        <v>272</v>
      </c>
      <c r="C416" s="102">
        <v>123320.04972375699</v>
      </c>
      <c r="E416" s="102">
        <f>ROUND(C416*$E$425/$C$425,0)</f>
        <v>126742</v>
      </c>
      <c r="G416" s="99">
        <v>3.66</v>
      </c>
      <c r="H416" s="353"/>
      <c r="I416" s="339">
        <f>ROUND(C416*$G416,0)</f>
        <v>451351</v>
      </c>
      <c r="J416" s="339"/>
      <c r="K416" s="339">
        <f>ROUND(E416*$G416,0)</f>
        <v>463876</v>
      </c>
      <c r="M416" s="99">
        <f>ROUND(G416*(1+$R$418),2)</f>
        <v>3.66</v>
      </c>
      <c r="N416" s="353"/>
      <c r="O416" s="339">
        <f>ROUND(E416*M416,0)</f>
        <v>463876</v>
      </c>
      <c r="P416" s="328"/>
      <c r="Q416" s="360" t="s">
        <v>91</v>
      </c>
      <c r="R416" s="361">
        <f>R415-R414</f>
        <v>0</v>
      </c>
      <c r="S416" s="429"/>
      <c r="T416" s="356">
        <f t="shared" si="110"/>
        <v>0</v>
      </c>
    </row>
    <row r="417" spans="1:20">
      <c r="A417" s="352" t="s">
        <v>273</v>
      </c>
      <c r="C417" s="102">
        <v>52775.381395348799</v>
      </c>
      <c r="E417" s="102">
        <f>ROUND(C417*$E$425/$C$425,0)</f>
        <v>54240</v>
      </c>
      <c r="G417" s="99">
        <v>6.52</v>
      </c>
      <c r="H417" s="353"/>
      <c r="I417" s="339">
        <f>ROUND(C417*$G417,0)</f>
        <v>344095</v>
      </c>
      <c r="J417" s="339"/>
      <c r="K417" s="339">
        <f>ROUND(E417*$G417,0)</f>
        <v>353645</v>
      </c>
      <c r="M417" s="99">
        <f>ROUND(G417*(1+$R$418),2)</f>
        <v>6.52</v>
      </c>
      <c r="N417" s="353"/>
      <c r="O417" s="339">
        <f>ROUND(E417*M417,0)</f>
        <v>353645</v>
      </c>
      <c r="P417" s="328"/>
      <c r="Q417" s="364" t="s">
        <v>94</v>
      </c>
      <c r="R417" s="398">
        <f>R414/K503-1</f>
        <v>0</v>
      </c>
      <c r="S417" s="429"/>
      <c r="T417" s="356">
        <f t="shared" si="110"/>
        <v>0</v>
      </c>
    </row>
    <row r="418" spans="1:20">
      <c r="A418" s="352" t="s">
        <v>274</v>
      </c>
      <c r="C418" s="102">
        <v>72382.296370967699</v>
      </c>
      <c r="E418" s="102">
        <f>ROUND(C418*$E$425/$C$425,0)</f>
        <v>74391</v>
      </c>
      <c r="G418" s="99">
        <v>10.02</v>
      </c>
      <c r="H418" s="353"/>
      <c r="I418" s="339">
        <f>ROUND(C418*$G418,0)</f>
        <v>725271</v>
      </c>
      <c r="J418" s="339"/>
      <c r="K418" s="339">
        <f>ROUND(E418*$G418,0)</f>
        <v>745398</v>
      </c>
      <c r="M418" s="99">
        <f>ROUND(G418*(1+$R$418),2)</f>
        <v>10.02</v>
      </c>
      <c r="N418" s="353"/>
      <c r="O418" s="339">
        <f>ROUND(E418*M418,0)</f>
        <v>745398</v>
      </c>
      <c r="P418" s="328"/>
      <c r="Q418" s="380" t="s">
        <v>96</v>
      </c>
      <c r="R418" s="401">
        <f>R415/K503-1</f>
        <v>0</v>
      </c>
      <c r="S418" s="429"/>
      <c r="T418" s="356">
        <f t="shared" si="110"/>
        <v>0</v>
      </c>
    </row>
    <row r="419" spans="1:20">
      <c r="A419" s="408" t="s">
        <v>275</v>
      </c>
      <c r="C419" s="102"/>
      <c r="E419" s="102"/>
      <c r="G419" s="375"/>
      <c r="H419" s="374"/>
      <c r="I419" s="339"/>
      <c r="K419" s="339"/>
      <c r="M419" s="375"/>
      <c r="N419" s="374"/>
      <c r="O419" s="339"/>
      <c r="P419" s="328"/>
      <c r="Q419" s="350" t="s">
        <v>115</v>
      </c>
      <c r="R419" s="436">
        <f>(O503)/(K503)-1</f>
        <v>0</v>
      </c>
      <c r="S419" s="429"/>
    </row>
    <row r="420" spans="1:20">
      <c r="A420" s="352" t="s">
        <v>276</v>
      </c>
      <c r="C420" s="102">
        <v>6310.9722222222199</v>
      </c>
      <c r="E420" s="102">
        <f>ROUND(C420*$E$425/$C$425,0)</f>
        <v>6486</v>
      </c>
      <c r="G420" s="99">
        <v>2.5499999999999998</v>
      </c>
      <c r="H420" s="353"/>
      <c r="I420" s="339">
        <f>ROUND(C420*$G420,0)</f>
        <v>16093</v>
      </c>
      <c r="J420" s="339"/>
      <c r="K420" s="339">
        <f>ROUND(E420*$G420,0)</f>
        <v>16539</v>
      </c>
      <c r="M420" s="99">
        <f>ROUND(G420*(1+$R$418),2)</f>
        <v>2.5499999999999998</v>
      </c>
      <c r="N420" s="353"/>
      <c r="O420" s="339">
        <f>ROUND(E420*M420,0)</f>
        <v>16539</v>
      </c>
      <c r="P420" s="328"/>
      <c r="Q420" s="429"/>
      <c r="R420" s="429"/>
      <c r="S420" s="429"/>
      <c r="T420" s="356">
        <f t="shared" ref="T420:T424" si="111">M420/G420-1</f>
        <v>0</v>
      </c>
    </row>
    <row r="421" spans="1:20">
      <c r="A421" s="352" t="s">
        <v>277</v>
      </c>
      <c r="C421" s="102">
        <v>17582.718820861701</v>
      </c>
      <c r="E421" s="102">
        <f>ROUND(C421*$E$425/$C$425,0)</f>
        <v>18071</v>
      </c>
      <c r="G421" s="99">
        <v>4.46</v>
      </c>
      <c r="H421" s="353"/>
      <c r="I421" s="339">
        <f>ROUND(C421*$G421,0)</f>
        <v>78419</v>
      </c>
      <c r="J421" s="339"/>
      <c r="K421" s="339">
        <f>ROUND(E421*$G421,0)</f>
        <v>80597</v>
      </c>
      <c r="M421" s="99">
        <f>ROUND(G421*(1+$R$418),2)</f>
        <v>4.46</v>
      </c>
      <c r="N421" s="353"/>
      <c r="O421" s="339">
        <f>ROUND(E421*M421,0)</f>
        <v>80597</v>
      </c>
      <c r="P421" s="328"/>
      <c r="Q421" s="429"/>
      <c r="R421" s="429"/>
      <c r="S421" s="429"/>
      <c r="T421" s="356">
        <f t="shared" si="111"/>
        <v>0</v>
      </c>
    </row>
    <row r="422" spans="1:20">
      <c r="A422" s="352" t="s">
        <v>278</v>
      </c>
      <c r="C422" s="102">
        <v>28592.381342062199</v>
      </c>
      <c r="E422" s="102">
        <f>ROUND(C422*$E$425/$C$425,0)</f>
        <v>29386</v>
      </c>
      <c r="G422" s="99">
        <v>6.17</v>
      </c>
      <c r="H422" s="353"/>
      <c r="I422" s="339">
        <f>ROUND(C422*$G422,0)</f>
        <v>176415</v>
      </c>
      <c r="J422" s="339"/>
      <c r="K422" s="339">
        <f>ROUND(E422*$G422,0)</f>
        <v>181312</v>
      </c>
      <c r="M422" s="99">
        <f>ROUND(G422*(1+$R$418),2)</f>
        <v>6.17</v>
      </c>
      <c r="N422" s="353"/>
      <c r="O422" s="339">
        <f>ROUND(E422*M422,0)</f>
        <v>181312</v>
      </c>
      <c r="P422" s="328"/>
      <c r="Q422" s="429"/>
      <c r="R422" s="429"/>
      <c r="S422" s="429"/>
      <c r="T422" s="356">
        <f t="shared" si="111"/>
        <v>0</v>
      </c>
    </row>
    <row r="423" spans="1:20">
      <c r="A423" s="352" t="s">
        <v>279</v>
      </c>
      <c r="C423" s="102">
        <v>27991.885211995901</v>
      </c>
      <c r="E423" s="102">
        <f>ROUND(C423*$E$425/$C$425,0)</f>
        <v>28769</v>
      </c>
      <c r="G423" s="353">
        <v>9.77</v>
      </c>
      <c r="H423" s="353"/>
      <c r="I423" s="339">
        <f>ROUND(C423*$G423,0)</f>
        <v>273481</v>
      </c>
      <c r="J423" s="339"/>
      <c r="K423" s="339">
        <f>ROUND(E423*$G423,0)</f>
        <v>281073</v>
      </c>
      <c r="M423" s="353">
        <f>ROUND(G423*(1+$R$418),2)</f>
        <v>9.77</v>
      </c>
      <c r="N423" s="353"/>
      <c r="O423" s="339">
        <f>ROUND(E423*M423,0)</f>
        <v>281073</v>
      </c>
      <c r="P423" s="328"/>
      <c r="Q423" s="429"/>
      <c r="R423" s="429"/>
      <c r="S423" s="429"/>
      <c r="T423" s="356">
        <f t="shared" si="111"/>
        <v>0</v>
      </c>
    </row>
    <row r="424" spans="1:20">
      <c r="A424" s="408" t="s">
        <v>280</v>
      </c>
      <c r="C424" s="102">
        <v>7816106.6217774907</v>
      </c>
      <c r="E424" s="102">
        <f>ROUND(C424*$E$425/$C$425,0)</f>
        <v>8033000</v>
      </c>
      <c r="G424" s="437">
        <v>6.5278999999999998</v>
      </c>
      <c r="H424" s="363" t="s">
        <v>93</v>
      </c>
      <c r="I424" s="339">
        <f>ROUND(C424*$G424/100,0)</f>
        <v>510228</v>
      </c>
      <c r="J424" s="339"/>
      <c r="K424" s="339">
        <f>ROUND(E424*$G424/100,0)</f>
        <v>524386</v>
      </c>
      <c r="M424" s="437">
        <f>ROUND(G424*(1+$R$418),4)</f>
        <v>6.5278999999999998</v>
      </c>
      <c r="N424" s="363" t="s">
        <v>93</v>
      </c>
      <c r="O424" s="339">
        <f>ROUND(E424*M424/100,0)</f>
        <v>524386</v>
      </c>
      <c r="P424" s="328"/>
      <c r="Q424" s="429"/>
      <c r="R424" s="429"/>
      <c r="S424" s="429"/>
      <c r="T424" s="356">
        <f t="shared" si="111"/>
        <v>0</v>
      </c>
    </row>
    <row r="425" spans="1:20">
      <c r="A425" s="408" t="s">
        <v>281</v>
      </c>
      <c r="C425" s="357">
        <v>47497213.507768616</v>
      </c>
      <c r="E425" s="357">
        <f>E427</f>
        <v>48815242</v>
      </c>
      <c r="G425" s="437"/>
      <c r="H425" s="363"/>
      <c r="I425" s="376">
        <f>SUM(I414:I424)</f>
        <v>3120793</v>
      </c>
      <c r="K425" s="376">
        <f>SUM(K414:K424)</f>
        <v>3207402</v>
      </c>
      <c r="M425" s="437"/>
      <c r="N425" s="353"/>
      <c r="O425" s="376">
        <f>SUM(O414:O424)</f>
        <v>3207402</v>
      </c>
      <c r="P425" s="328"/>
      <c r="Q425" s="429"/>
      <c r="R425" s="429"/>
      <c r="S425" s="429"/>
    </row>
    <row r="426" spans="1:20">
      <c r="A426" s="408" t="s">
        <v>182</v>
      </c>
      <c r="C426" s="357">
        <v>795333</v>
      </c>
      <c r="E426" s="357"/>
      <c r="G426" s="437"/>
      <c r="H426" s="363"/>
      <c r="I426" s="376">
        <v>44594</v>
      </c>
      <c r="K426" s="376"/>
      <c r="M426" s="437"/>
      <c r="N426" s="353"/>
      <c r="O426" s="376"/>
      <c r="P426" s="328"/>
      <c r="Q426" s="429"/>
      <c r="R426" s="429"/>
      <c r="S426" s="429"/>
    </row>
    <row r="427" spans="1:20">
      <c r="A427" s="408" t="s">
        <v>266</v>
      </c>
      <c r="C427" s="357">
        <f>SUM(C425:C426)</f>
        <v>48292546.507768616</v>
      </c>
      <c r="E427" s="357">
        <v>48815242</v>
      </c>
      <c r="G427" s="437"/>
      <c r="H427" s="363"/>
      <c r="I427" s="376">
        <f>SUM(I425:I426)</f>
        <v>3165387</v>
      </c>
      <c r="K427" s="376">
        <f>SUM(K425:K426)</f>
        <v>3207402</v>
      </c>
      <c r="M427" s="437"/>
      <c r="N427" s="353"/>
      <c r="O427" s="376">
        <f>SUM(O425:O426)</f>
        <v>3207402</v>
      </c>
      <c r="P427" s="328"/>
      <c r="Q427" s="429"/>
      <c r="R427" s="429"/>
      <c r="S427" s="429"/>
    </row>
    <row r="428" spans="1:20">
      <c r="A428" s="408" t="s">
        <v>282</v>
      </c>
      <c r="C428" s="357">
        <v>440.83333333333297</v>
      </c>
      <c r="E428" s="357">
        <v>444.75</v>
      </c>
      <c r="G428" s="437"/>
      <c r="H428" s="363"/>
      <c r="I428" s="376"/>
      <c r="K428" s="376"/>
      <c r="M428" s="437"/>
      <c r="N428" s="353"/>
      <c r="O428" s="376"/>
      <c r="P428" s="328"/>
      <c r="Q428" s="429"/>
      <c r="R428" s="429"/>
      <c r="S428" s="429"/>
    </row>
    <row r="429" spans="1:20">
      <c r="A429" s="438" t="s">
        <v>283</v>
      </c>
      <c r="C429" s="102"/>
      <c r="E429" s="102"/>
      <c r="P429" s="328"/>
      <c r="Q429" s="429"/>
      <c r="R429" s="429"/>
      <c r="S429" s="429"/>
    </row>
    <row r="430" spans="1:20">
      <c r="A430" s="408" t="s">
        <v>284</v>
      </c>
      <c r="C430" s="102"/>
      <c r="E430" s="102"/>
      <c r="I430" s="339"/>
      <c r="K430" s="339"/>
      <c r="O430" s="339"/>
      <c r="P430" s="328"/>
      <c r="Q430" s="429"/>
      <c r="R430" s="429"/>
      <c r="S430" s="429"/>
    </row>
    <row r="431" spans="1:20">
      <c r="A431" s="352" t="s">
        <v>285</v>
      </c>
      <c r="C431" s="102">
        <v>96</v>
      </c>
      <c r="E431" s="102">
        <f>ROUND(C431*$E$468/$C$468,0)</f>
        <v>78</v>
      </c>
      <c r="G431" s="99">
        <v>8.9600000000000009</v>
      </c>
      <c r="H431" s="353"/>
      <c r="I431" s="339">
        <f>ROUND(C431*$G431,0)</f>
        <v>860</v>
      </c>
      <c r="K431" s="339">
        <f>ROUND(E431*$G431,0)</f>
        <v>699</v>
      </c>
      <c r="M431" s="99">
        <f>ROUND(G431*(1+$R$418),2)</f>
        <v>8.9600000000000009</v>
      </c>
      <c r="N431" s="353"/>
      <c r="O431" s="339">
        <f>ROUND(E431*M431,0)</f>
        <v>699</v>
      </c>
      <c r="P431" s="328"/>
      <c r="Q431" s="429"/>
      <c r="R431" s="429"/>
      <c r="S431" s="429"/>
      <c r="T431" s="356">
        <f t="shared" ref="T431:T433" si="112">M431/G431-1</f>
        <v>0</v>
      </c>
    </row>
    <row r="432" spans="1:20">
      <c r="A432" s="352" t="s">
        <v>286</v>
      </c>
      <c r="C432" s="102">
        <v>0</v>
      </c>
      <c r="E432" s="102">
        <f>ROUND(C432*$E$468/$C$468,0)</f>
        <v>0</v>
      </c>
      <c r="G432" s="99">
        <v>7.62</v>
      </c>
      <c r="H432" s="353"/>
      <c r="I432" s="339">
        <f>ROUND(C432*$G432,0)</f>
        <v>0</v>
      </c>
      <c r="K432" s="339">
        <f>ROUND(E432*$G432,0)</f>
        <v>0</v>
      </c>
      <c r="M432" s="99">
        <f>ROUND(G432*(1+$R$418),2)</f>
        <v>7.62</v>
      </c>
      <c r="N432" s="353"/>
      <c r="O432" s="339">
        <f>ROUND(E432*M432,0)</f>
        <v>0</v>
      </c>
      <c r="P432" s="328"/>
      <c r="Q432" s="429"/>
      <c r="R432" s="429"/>
      <c r="S432" s="429"/>
      <c r="T432" s="356">
        <f t="shared" si="112"/>
        <v>0</v>
      </c>
    </row>
    <row r="433" spans="1:20">
      <c r="A433" s="352" t="s">
        <v>253</v>
      </c>
      <c r="C433" s="102">
        <v>43.5</v>
      </c>
      <c r="E433" s="102">
        <f>ROUND(C433*$E$468/$C$468,0)</f>
        <v>35</v>
      </c>
      <c r="G433" s="99">
        <v>12.19</v>
      </c>
      <c r="H433" s="353"/>
      <c r="I433" s="339">
        <f>ROUND(C433*$G433,0)</f>
        <v>530</v>
      </c>
      <c r="K433" s="339">
        <f>ROUND(E433*$G433,0)</f>
        <v>427</v>
      </c>
      <c r="M433" s="99">
        <f>ROUND(G433*(1+$R$418),2)</f>
        <v>12.19</v>
      </c>
      <c r="N433" s="353"/>
      <c r="O433" s="339">
        <f>ROUND(E433*M433,0)</f>
        <v>427</v>
      </c>
      <c r="P433" s="328"/>
      <c r="Q433" s="429"/>
      <c r="R433" s="429"/>
      <c r="S433" s="429"/>
      <c r="T433" s="356">
        <f t="shared" si="112"/>
        <v>0</v>
      </c>
    </row>
    <row r="434" spans="1:20">
      <c r="A434" s="408" t="s">
        <v>287</v>
      </c>
      <c r="C434" s="102"/>
      <c r="E434" s="102"/>
      <c r="G434" s="99"/>
      <c r="H434" s="353"/>
      <c r="M434" s="99"/>
      <c r="N434" s="353"/>
      <c r="P434" s="328"/>
      <c r="Q434" s="429"/>
      <c r="R434" s="429"/>
      <c r="S434" s="429"/>
    </row>
    <row r="435" spans="1:20">
      <c r="A435" s="352" t="s">
        <v>253</v>
      </c>
      <c r="C435" s="102">
        <v>59.435729847494599</v>
      </c>
      <c r="E435" s="102">
        <f>ROUND(C435*$E$468/$C$468,0)</f>
        <v>48</v>
      </c>
      <c r="G435" s="99">
        <v>4.6399999999999997</v>
      </c>
      <c r="H435" s="353"/>
      <c r="I435" s="339">
        <f>ROUND(C435*$G435,0)</f>
        <v>276</v>
      </c>
      <c r="K435" s="339">
        <f>ROUND(E435*$G435,0)</f>
        <v>223</v>
      </c>
      <c r="M435" s="99">
        <f>ROUND(G435*(1+$R$418),2)</f>
        <v>4.6399999999999997</v>
      </c>
      <c r="N435" s="353"/>
      <c r="O435" s="339">
        <f>ROUND(E435*M435,0)</f>
        <v>223</v>
      </c>
      <c r="P435" s="328"/>
      <c r="Q435" s="429"/>
      <c r="R435" s="429"/>
      <c r="S435" s="429"/>
      <c r="T435" s="356">
        <f t="shared" ref="T435:T439" si="113">M435/G435-1</f>
        <v>0</v>
      </c>
    </row>
    <row r="436" spans="1:20">
      <c r="A436" s="352" t="s">
        <v>155</v>
      </c>
      <c r="C436" s="102">
        <v>691.25252525252495</v>
      </c>
      <c r="E436" s="357">
        <f>ROUND(C436*$E$468/$C$468,0)</f>
        <v>563</v>
      </c>
      <c r="G436" s="99">
        <v>7</v>
      </c>
      <c r="I436" s="339">
        <f>ROUND(C436*$G436,0)</f>
        <v>4839</v>
      </c>
      <c r="J436" s="363"/>
      <c r="K436" s="339">
        <f>ROUND(E436*$G436,0)</f>
        <v>3941</v>
      </c>
      <c r="M436" s="374">
        <f>ROUND(G436*(1+$R$418),2)</f>
        <v>7</v>
      </c>
      <c r="O436" s="339">
        <f>ROUND(E436*M436,0)</f>
        <v>3941</v>
      </c>
      <c r="P436" s="353"/>
      <c r="Q436" s="376"/>
      <c r="R436" s="429"/>
      <c r="S436" s="429"/>
      <c r="T436" s="356">
        <f t="shared" si="113"/>
        <v>0</v>
      </c>
    </row>
    <row r="437" spans="1:20">
      <c r="A437" s="352" t="s">
        <v>254</v>
      </c>
      <c r="C437" s="102">
        <v>0</v>
      </c>
      <c r="E437" s="102">
        <f>ROUND(C437*$E$468/$C$468,0)</f>
        <v>0</v>
      </c>
      <c r="G437" s="99">
        <v>9.08</v>
      </c>
      <c r="H437" s="353"/>
      <c r="I437" s="339">
        <f>ROUND(C437*$G437,0)</f>
        <v>0</v>
      </c>
      <c r="K437" s="339">
        <f>ROUND(E437*$G437,0)</f>
        <v>0</v>
      </c>
      <c r="M437" s="99">
        <f>ROUND(G437*(1+$R$418),2)</f>
        <v>9.08</v>
      </c>
      <c r="N437" s="353"/>
      <c r="O437" s="339">
        <f>ROUND(E437*M437,0)</f>
        <v>0</v>
      </c>
      <c r="P437" s="328"/>
      <c r="Q437" s="429"/>
      <c r="R437" s="429"/>
      <c r="S437" s="429"/>
      <c r="T437" s="356">
        <f t="shared" si="113"/>
        <v>0</v>
      </c>
    </row>
    <row r="438" spans="1:20">
      <c r="A438" s="352" t="s">
        <v>157</v>
      </c>
      <c r="C438" s="102">
        <v>101.120545868082</v>
      </c>
      <c r="E438" s="102">
        <f>ROUND(C438*$E$468/$C$468,0)</f>
        <v>82</v>
      </c>
      <c r="G438" s="99">
        <v>13.33</v>
      </c>
      <c r="H438" s="353"/>
      <c r="I438" s="339">
        <f>ROUND(C438*$G438,0)</f>
        <v>1348</v>
      </c>
      <c r="K438" s="339">
        <f>ROUND(E438*$G438,0)</f>
        <v>1093</v>
      </c>
      <c r="M438" s="99">
        <f>ROUND(G438*(1+$R$418),2)</f>
        <v>13.33</v>
      </c>
      <c r="N438" s="353"/>
      <c r="O438" s="339">
        <f>ROUND(E438*M438,0)</f>
        <v>1093</v>
      </c>
      <c r="P438" s="328"/>
      <c r="Q438" s="429"/>
      <c r="R438" s="429"/>
      <c r="S438" s="429"/>
      <c r="T438" s="356">
        <f t="shared" si="113"/>
        <v>0</v>
      </c>
    </row>
    <row r="439" spans="1:20">
      <c r="A439" s="352" t="s">
        <v>288</v>
      </c>
      <c r="C439" s="102">
        <v>0</v>
      </c>
      <c r="E439" s="102">
        <f>ROUND(C439*$E$468/$C$468,0)</f>
        <v>0</v>
      </c>
      <c r="G439" s="99">
        <v>28.38</v>
      </c>
      <c r="H439" s="353"/>
      <c r="I439" s="339">
        <f>ROUND(C439*$G439,0)</f>
        <v>0</v>
      </c>
      <c r="K439" s="339">
        <f>ROUND(E439*$G439,0)</f>
        <v>0</v>
      </c>
      <c r="M439" s="99">
        <f>ROUND(G439*(1+$R$418),2)</f>
        <v>28.38</v>
      </c>
      <c r="N439" s="353"/>
      <c r="O439" s="339">
        <f>ROUND(E439*M439,0)</f>
        <v>0</v>
      </c>
      <c r="P439" s="328"/>
      <c r="Q439" s="429"/>
      <c r="R439" s="429"/>
      <c r="S439" s="429"/>
      <c r="T439" s="356">
        <f t="shared" si="113"/>
        <v>0</v>
      </c>
    </row>
    <row r="440" spans="1:20">
      <c r="A440" s="408" t="s">
        <v>289</v>
      </c>
      <c r="C440" s="102"/>
      <c r="E440" s="102"/>
      <c r="G440" s="99"/>
      <c r="H440" s="353"/>
      <c r="I440" s="339"/>
      <c r="K440" s="339"/>
      <c r="M440" s="99"/>
      <c r="N440" s="353"/>
      <c r="O440" s="339"/>
      <c r="P440" s="328"/>
      <c r="Q440" s="429"/>
      <c r="R440" s="429"/>
      <c r="S440" s="429"/>
    </row>
    <row r="441" spans="1:20">
      <c r="A441" s="352" t="s">
        <v>270</v>
      </c>
      <c r="C441" s="102">
        <v>36339.259900990102</v>
      </c>
      <c r="E441" s="102">
        <f t="shared" ref="E441:E455" si="114">ROUND(C441*$E$468/$C$468,0)</f>
        <v>29589</v>
      </c>
      <c r="G441" s="99">
        <v>4.08</v>
      </c>
      <c r="H441" s="353"/>
      <c r="I441" s="339">
        <f t="shared" ref="I441:I455" si="115">ROUND(C441*$G441,0)</f>
        <v>148264</v>
      </c>
      <c r="K441" s="339">
        <f t="shared" ref="K441:K455" si="116">ROUND(E441*$G441,0)</f>
        <v>120723</v>
      </c>
      <c r="M441" s="99">
        <f t="shared" ref="M441:M455" si="117">ROUND(G441*(1+$R$418),2)</f>
        <v>4.08</v>
      </c>
      <c r="N441" s="353"/>
      <c r="O441" s="339">
        <f t="shared" ref="O441:O455" si="118">ROUND(E441*M441,0)</f>
        <v>120723</v>
      </c>
      <c r="P441" s="328"/>
      <c r="Q441" s="429"/>
      <c r="R441" s="429"/>
      <c r="S441" s="429"/>
      <c r="T441" s="356">
        <f t="shared" ref="T441:T455" si="119">M441/G441-1</f>
        <v>0</v>
      </c>
    </row>
    <row r="442" spans="1:20">
      <c r="A442" s="352" t="s">
        <v>271</v>
      </c>
      <c r="C442" s="102">
        <v>15143.6930320151</v>
      </c>
      <c r="E442" s="102">
        <f t="shared" si="114"/>
        <v>12331</v>
      </c>
      <c r="G442" s="99">
        <v>5.37</v>
      </c>
      <c r="H442" s="353"/>
      <c r="I442" s="339">
        <f t="shared" si="115"/>
        <v>81322</v>
      </c>
      <c r="K442" s="339">
        <f t="shared" si="116"/>
        <v>66217</v>
      </c>
      <c r="M442" s="99">
        <f t="shared" si="117"/>
        <v>5.37</v>
      </c>
      <c r="N442" s="353"/>
      <c r="O442" s="339">
        <f t="shared" si="118"/>
        <v>66217</v>
      </c>
      <c r="P442" s="328"/>
      <c r="Q442" s="429"/>
      <c r="R442" s="429"/>
      <c r="S442" s="429"/>
      <c r="T442" s="356">
        <f t="shared" si="119"/>
        <v>0</v>
      </c>
    </row>
    <row r="443" spans="1:20">
      <c r="A443" s="352" t="s">
        <v>290</v>
      </c>
      <c r="C443" s="102">
        <v>12</v>
      </c>
      <c r="E443" s="102">
        <f t="shared" si="114"/>
        <v>10</v>
      </c>
      <c r="G443" s="99">
        <v>4.5599999999999996</v>
      </c>
      <c r="H443" s="353"/>
      <c r="I443" s="339">
        <f t="shared" si="115"/>
        <v>55</v>
      </c>
      <c r="K443" s="339">
        <f t="shared" si="116"/>
        <v>46</v>
      </c>
      <c r="M443" s="99">
        <f t="shared" si="117"/>
        <v>4.5599999999999996</v>
      </c>
      <c r="N443" s="353"/>
      <c r="O443" s="339">
        <f t="shared" si="118"/>
        <v>46</v>
      </c>
      <c r="P443" s="328"/>
      <c r="Q443" s="429"/>
      <c r="R443" s="429"/>
      <c r="S443" s="429"/>
      <c r="T443" s="356">
        <f t="shared" si="119"/>
        <v>0</v>
      </c>
    </row>
    <row r="444" spans="1:20">
      <c r="A444" s="352" t="s">
        <v>291</v>
      </c>
      <c r="C444" s="102">
        <v>8911.4862119013105</v>
      </c>
      <c r="E444" s="102">
        <f t="shared" si="114"/>
        <v>7256</v>
      </c>
      <c r="G444" s="99">
        <v>6.96</v>
      </c>
      <c r="H444" s="353"/>
      <c r="I444" s="339">
        <f t="shared" si="115"/>
        <v>62024</v>
      </c>
      <c r="K444" s="339">
        <f t="shared" si="116"/>
        <v>50502</v>
      </c>
      <c r="M444" s="99">
        <f t="shared" si="117"/>
        <v>6.96</v>
      </c>
      <c r="N444" s="353"/>
      <c r="O444" s="339">
        <f t="shared" si="118"/>
        <v>50502</v>
      </c>
      <c r="P444" s="328"/>
      <c r="Q444" s="429"/>
      <c r="R444" s="429"/>
      <c r="S444" s="429"/>
      <c r="T444" s="356">
        <f t="shared" si="119"/>
        <v>0</v>
      </c>
    </row>
    <row r="445" spans="1:20">
      <c r="A445" s="352" t="s">
        <v>272</v>
      </c>
      <c r="C445" s="102">
        <v>3936.2325581395398</v>
      </c>
      <c r="E445" s="102">
        <f t="shared" si="114"/>
        <v>3205</v>
      </c>
      <c r="G445" s="99">
        <v>6.52</v>
      </c>
      <c r="H445" s="353"/>
      <c r="I445" s="339">
        <f t="shared" si="115"/>
        <v>25664</v>
      </c>
      <c r="K445" s="339">
        <f t="shared" si="116"/>
        <v>20897</v>
      </c>
      <c r="M445" s="99">
        <f t="shared" si="117"/>
        <v>6.52</v>
      </c>
      <c r="N445" s="353"/>
      <c r="O445" s="339">
        <f t="shared" si="118"/>
        <v>20897</v>
      </c>
      <c r="P445" s="328"/>
      <c r="Q445" s="429"/>
      <c r="R445" s="429"/>
      <c r="S445" s="429"/>
      <c r="T445" s="356">
        <f t="shared" si="119"/>
        <v>0</v>
      </c>
    </row>
    <row r="446" spans="1:20">
      <c r="A446" s="352" t="s">
        <v>292</v>
      </c>
      <c r="C446" s="102">
        <v>0</v>
      </c>
      <c r="E446" s="102">
        <f t="shared" si="114"/>
        <v>0</v>
      </c>
      <c r="G446" s="99">
        <v>5.54</v>
      </c>
      <c r="H446" s="353"/>
      <c r="I446" s="339">
        <f t="shared" si="115"/>
        <v>0</v>
      </c>
      <c r="K446" s="339">
        <f t="shared" si="116"/>
        <v>0</v>
      </c>
      <c r="M446" s="99">
        <f t="shared" si="117"/>
        <v>5.54</v>
      </c>
      <c r="N446" s="353"/>
      <c r="O446" s="339">
        <f t="shared" si="118"/>
        <v>0</v>
      </c>
      <c r="P446" s="328"/>
      <c r="Q446" s="429"/>
      <c r="R446" s="429"/>
      <c r="S446" s="429"/>
      <c r="T446" s="356">
        <f t="shared" si="119"/>
        <v>0</v>
      </c>
    </row>
    <row r="447" spans="1:20">
      <c r="A447" s="352" t="s">
        <v>293</v>
      </c>
      <c r="C447" s="102">
        <v>1172.03545232274</v>
      </c>
      <c r="E447" s="102">
        <f t="shared" si="114"/>
        <v>954</v>
      </c>
      <c r="G447" s="99">
        <v>8.27</v>
      </c>
      <c r="H447" s="353"/>
      <c r="I447" s="339">
        <f t="shared" si="115"/>
        <v>9693</v>
      </c>
      <c r="K447" s="339">
        <f t="shared" si="116"/>
        <v>7890</v>
      </c>
      <c r="M447" s="99">
        <f t="shared" si="117"/>
        <v>8.27</v>
      </c>
      <c r="N447" s="353"/>
      <c r="O447" s="339">
        <f t="shared" si="118"/>
        <v>7890</v>
      </c>
      <c r="P447" s="328"/>
      <c r="Q447" s="429"/>
      <c r="R447" s="429"/>
      <c r="S447" s="429"/>
      <c r="T447" s="356">
        <f t="shared" si="119"/>
        <v>0</v>
      </c>
    </row>
    <row r="448" spans="1:20">
      <c r="A448" s="352" t="s">
        <v>294</v>
      </c>
      <c r="C448" s="102">
        <v>0</v>
      </c>
      <c r="E448" s="102">
        <f t="shared" si="114"/>
        <v>0</v>
      </c>
      <c r="G448" s="99">
        <v>8.26</v>
      </c>
      <c r="H448" s="353"/>
      <c r="I448" s="339">
        <f t="shared" si="115"/>
        <v>0</v>
      </c>
      <c r="K448" s="339">
        <f t="shared" si="116"/>
        <v>0</v>
      </c>
      <c r="M448" s="99">
        <f t="shared" si="117"/>
        <v>8.26</v>
      </c>
      <c r="N448" s="353"/>
      <c r="O448" s="339">
        <f t="shared" si="118"/>
        <v>0</v>
      </c>
      <c r="P448" s="328"/>
      <c r="Q448" s="429"/>
      <c r="R448" s="429"/>
      <c r="S448" s="429"/>
      <c r="T448" s="356">
        <f t="shared" si="119"/>
        <v>0</v>
      </c>
    </row>
    <row r="449" spans="1:20">
      <c r="A449" s="352" t="s">
        <v>273</v>
      </c>
      <c r="C449" s="102">
        <v>6489.0389884088499</v>
      </c>
      <c r="E449" s="102">
        <f t="shared" si="114"/>
        <v>5284</v>
      </c>
      <c r="G449" s="99">
        <v>9.59</v>
      </c>
      <c r="H449" s="353"/>
      <c r="I449" s="339">
        <f t="shared" si="115"/>
        <v>62230</v>
      </c>
      <c r="K449" s="339">
        <f t="shared" si="116"/>
        <v>50674</v>
      </c>
      <c r="M449" s="99">
        <f t="shared" si="117"/>
        <v>9.59</v>
      </c>
      <c r="N449" s="353"/>
      <c r="O449" s="339">
        <f t="shared" si="118"/>
        <v>50674</v>
      </c>
      <c r="P449" s="328"/>
      <c r="Q449" s="429"/>
      <c r="R449" s="429"/>
      <c r="S449" s="429"/>
      <c r="T449" s="356">
        <f t="shared" si="119"/>
        <v>0</v>
      </c>
    </row>
    <row r="450" spans="1:20">
      <c r="A450" s="352" t="s">
        <v>295</v>
      </c>
      <c r="C450" s="102">
        <v>0</v>
      </c>
      <c r="E450" s="102">
        <f t="shared" si="114"/>
        <v>0</v>
      </c>
      <c r="G450" s="99">
        <v>8.16</v>
      </c>
      <c r="H450" s="353"/>
      <c r="I450" s="339">
        <f t="shared" si="115"/>
        <v>0</v>
      </c>
      <c r="K450" s="339">
        <f t="shared" si="116"/>
        <v>0</v>
      </c>
      <c r="M450" s="99">
        <f t="shared" si="117"/>
        <v>8.16</v>
      </c>
      <c r="N450" s="353"/>
      <c r="O450" s="339">
        <f t="shared" si="118"/>
        <v>0</v>
      </c>
      <c r="P450" s="328"/>
      <c r="Q450" s="429"/>
      <c r="R450" s="429"/>
      <c r="S450" s="429"/>
      <c r="T450" s="356">
        <f t="shared" si="119"/>
        <v>0</v>
      </c>
    </row>
    <row r="451" spans="1:20">
      <c r="A451" s="352" t="s">
        <v>296</v>
      </c>
      <c r="C451" s="102">
        <v>132</v>
      </c>
      <c r="E451" s="102">
        <f t="shared" si="114"/>
        <v>107</v>
      </c>
      <c r="G451" s="99">
        <v>11.93</v>
      </c>
      <c r="H451" s="353"/>
      <c r="I451" s="339">
        <f t="shared" si="115"/>
        <v>1575</v>
      </c>
      <c r="K451" s="339">
        <f t="shared" si="116"/>
        <v>1277</v>
      </c>
      <c r="M451" s="99">
        <f t="shared" si="117"/>
        <v>11.93</v>
      </c>
      <c r="N451" s="353"/>
      <c r="O451" s="339">
        <f t="shared" si="118"/>
        <v>1277</v>
      </c>
      <c r="P451" s="328"/>
      <c r="Q451" s="429"/>
      <c r="R451" s="429"/>
      <c r="S451" s="429"/>
      <c r="T451" s="356">
        <f t="shared" si="119"/>
        <v>0</v>
      </c>
    </row>
    <row r="452" spans="1:20">
      <c r="A452" s="352" t="s">
        <v>274</v>
      </c>
      <c r="C452" s="102">
        <v>11059.7819494585</v>
      </c>
      <c r="E452" s="102">
        <f t="shared" si="114"/>
        <v>9005</v>
      </c>
      <c r="G452" s="99">
        <v>14</v>
      </c>
      <c r="H452" s="353"/>
      <c r="I452" s="339">
        <f t="shared" si="115"/>
        <v>154837</v>
      </c>
      <c r="K452" s="339">
        <f t="shared" si="116"/>
        <v>126070</v>
      </c>
      <c r="M452" s="99">
        <f t="shared" si="117"/>
        <v>14</v>
      </c>
      <c r="N452" s="353"/>
      <c r="O452" s="339">
        <f t="shared" si="118"/>
        <v>126070</v>
      </c>
      <c r="P452" s="328"/>
      <c r="Q452" s="429"/>
      <c r="R452" s="429"/>
      <c r="S452" s="429"/>
      <c r="T452" s="356">
        <f t="shared" si="119"/>
        <v>0</v>
      </c>
    </row>
    <row r="453" spans="1:20">
      <c r="A453" s="378" t="s">
        <v>297</v>
      </c>
      <c r="B453" s="333"/>
      <c r="C453" s="102">
        <v>0</v>
      </c>
      <c r="E453" s="102">
        <f t="shared" si="114"/>
        <v>0</v>
      </c>
      <c r="G453" s="353">
        <v>11.89</v>
      </c>
      <c r="H453" s="353"/>
      <c r="I453" s="339">
        <f t="shared" si="115"/>
        <v>0</v>
      </c>
      <c r="K453" s="339">
        <f t="shared" si="116"/>
        <v>0</v>
      </c>
      <c r="M453" s="353">
        <f t="shared" si="117"/>
        <v>11.89</v>
      </c>
      <c r="N453" s="353"/>
      <c r="O453" s="376">
        <f t="shared" si="118"/>
        <v>0</v>
      </c>
      <c r="P453" s="328"/>
      <c r="Q453" s="429"/>
      <c r="R453" s="429"/>
      <c r="S453" s="429"/>
      <c r="T453" s="356">
        <f t="shared" si="119"/>
        <v>0</v>
      </c>
    </row>
    <row r="454" spans="1:20">
      <c r="A454" s="352" t="s">
        <v>298</v>
      </c>
      <c r="C454" s="102">
        <v>192</v>
      </c>
      <c r="E454" s="102">
        <f t="shared" si="114"/>
        <v>156</v>
      </c>
      <c r="G454" s="99">
        <v>15.56</v>
      </c>
      <c r="H454" s="353"/>
      <c r="I454" s="339">
        <f t="shared" si="115"/>
        <v>2988</v>
      </c>
      <c r="K454" s="339">
        <f t="shared" si="116"/>
        <v>2427</v>
      </c>
      <c r="M454" s="99">
        <f t="shared" si="117"/>
        <v>15.56</v>
      </c>
      <c r="N454" s="353"/>
      <c r="O454" s="339">
        <f t="shared" si="118"/>
        <v>2427</v>
      </c>
      <c r="P454" s="328"/>
      <c r="Q454" s="429"/>
      <c r="R454" s="429"/>
      <c r="S454" s="429"/>
      <c r="T454" s="356">
        <f t="shared" si="119"/>
        <v>0</v>
      </c>
    </row>
    <row r="455" spans="1:20">
      <c r="A455" s="352" t="s">
        <v>239</v>
      </c>
      <c r="C455" s="102">
        <v>0</v>
      </c>
      <c r="E455" s="357">
        <f t="shared" si="114"/>
        <v>0</v>
      </c>
      <c r="G455" s="353">
        <v>26.38</v>
      </c>
      <c r="H455" s="353"/>
      <c r="I455" s="339">
        <f t="shared" si="115"/>
        <v>0</v>
      </c>
      <c r="K455" s="339">
        <f t="shared" si="116"/>
        <v>0</v>
      </c>
      <c r="M455" s="353">
        <f t="shared" si="117"/>
        <v>26.38</v>
      </c>
      <c r="N455" s="353"/>
      <c r="O455" s="376">
        <f t="shared" si="118"/>
        <v>0</v>
      </c>
      <c r="P455" s="328"/>
      <c r="Q455" s="429"/>
      <c r="R455" s="429"/>
      <c r="S455" s="429"/>
      <c r="T455" s="356">
        <f t="shared" si="119"/>
        <v>0</v>
      </c>
    </row>
    <row r="456" spans="1:20">
      <c r="A456" s="408" t="s">
        <v>275</v>
      </c>
      <c r="C456" s="102"/>
      <c r="E456" s="102"/>
      <c r="G456" s="99"/>
      <c r="H456" s="353"/>
      <c r="M456" s="99"/>
      <c r="N456" s="353"/>
      <c r="P456" s="328"/>
      <c r="Q456" s="429"/>
      <c r="R456" s="429"/>
      <c r="S456" s="429"/>
    </row>
    <row r="457" spans="1:20">
      <c r="A457" s="352" t="s">
        <v>299</v>
      </c>
      <c r="C457" s="102">
        <v>562.93179317931799</v>
      </c>
      <c r="E457" s="102">
        <f t="shared" ref="E457:E464" si="120">ROUND(C457*$E$468/$C$468,0)</f>
        <v>458</v>
      </c>
      <c r="G457" s="99">
        <v>9.19</v>
      </c>
      <c r="H457" s="353"/>
      <c r="I457" s="339">
        <f t="shared" ref="I457:I464" si="121">ROUND(C457*$G457,0)</f>
        <v>5173</v>
      </c>
      <c r="K457" s="339">
        <f t="shared" ref="K457:K464" si="122">ROUND(E457*$G457,0)</f>
        <v>4209</v>
      </c>
      <c r="M457" s="99">
        <f t="shared" ref="M457:M464" si="123">ROUND(G457*(1+$R$418),2)</f>
        <v>9.19</v>
      </c>
      <c r="N457" s="353"/>
      <c r="O457" s="339">
        <f t="shared" ref="O457:O464" si="124">ROUND(E457*M457,0)</f>
        <v>4209</v>
      </c>
      <c r="P457" s="328"/>
      <c r="Q457" s="429"/>
      <c r="R457" s="429"/>
      <c r="S457" s="429"/>
      <c r="T457" s="356">
        <f t="shared" ref="T457:T464" si="125">M457/G457-1</f>
        <v>0</v>
      </c>
    </row>
    <row r="458" spans="1:20">
      <c r="A458" s="352" t="s">
        <v>277</v>
      </c>
      <c r="C458" s="102">
        <v>1157.5443037974701</v>
      </c>
      <c r="E458" s="102">
        <f t="shared" si="120"/>
        <v>943</v>
      </c>
      <c r="G458" s="99">
        <v>13.57</v>
      </c>
      <c r="H458" s="353"/>
      <c r="I458" s="339">
        <f t="shared" si="121"/>
        <v>15708</v>
      </c>
      <c r="K458" s="339">
        <f t="shared" si="122"/>
        <v>12797</v>
      </c>
      <c r="M458" s="99">
        <f t="shared" si="123"/>
        <v>13.57</v>
      </c>
      <c r="N458" s="353"/>
      <c r="O458" s="339">
        <f t="shared" si="124"/>
        <v>12797</v>
      </c>
      <c r="P458" s="328"/>
      <c r="Q458" s="429"/>
      <c r="R458" s="429"/>
      <c r="S458" s="429"/>
      <c r="T458" s="356">
        <f t="shared" si="125"/>
        <v>0</v>
      </c>
    </row>
    <row r="459" spans="1:20">
      <c r="A459" s="352" t="s">
        <v>300</v>
      </c>
      <c r="C459" s="102">
        <v>0</v>
      </c>
      <c r="E459" s="102">
        <f t="shared" si="120"/>
        <v>0</v>
      </c>
      <c r="G459" s="99">
        <v>11.54</v>
      </c>
      <c r="H459" s="353"/>
      <c r="I459" s="339">
        <f t="shared" si="121"/>
        <v>0</v>
      </c>
      <c r="K459" s="339">
        <f t="shared" si="122"/>
        <v>0</v>
      </c>
      <c r="M459" s="99">
        <f t="shared" si="123"/>
        <v>11.54</v>
      </c>
      <c r="N459" s="353"/>
      <c r="O459" s="339">
        <f t="shared" si="124"/>
        <v>0</v>
      </c>
      <c r="P459" s="328"/>
      <c r="Q459" s="429"/>
      <c r="R459" s="429"/>
      <c r="S459" s="429"/>
      <c r="T459" s="356">
        <f t="shared" si="125"/>
        <v>0</v>
      </c>
    </row>
    <row r="460" spans="1:20">
      <c r="A460" s="352" t="s">
        <v>301</v>
      </c>
      <c r="C460" s="102">
        <v>788.14402917046505</v>
      </c>
      <c r="E460" s="102">
        <f t="shared" si="120"/>
        <v>642</v>
      </c>
      <c r="G460" s="99">
        <v>11.09</v>
      </c>
      <c r="H460" s="353"/>
      <c r="I460" s="339">
        <f t="shared" si="121"/>
        <v>8741</v>
      </c>
      <c r="K460" s="339">
        <f t="shared" si="122"/>
        <v>7120</v>
      </c>
      <c r="M460" s="99">
        <f t="shared" si="123"/>
        <v>11.09</v>
      </c>
      <c r="N460" s="353"/>
      <c r="O460" s="339">
        <f t="shared" si="124"/>
        <v>7120</v>
      </c>
      <c r="P460" s="328"/>
      <c r="Q460" s="429"/>
      <c r="R460" s="429"/>
      <c r="S460" s="429"/>
      <c r="T460" s="356">
        <f t="shared" si="125"/>
        <v>0</v>
      </c>
    </row>
    <row r="461" spans="1:20">
      <c r="A461" s="352" t="s">
        <v>278</v>
      </c>
      <c r="C461" s="102">
        <v>705.60427413411901</v>
      </c>
      <c r="E461" s="102">
        <f t="shared" si="120"/>
        <v>575</v>
      </c>
      <c r="G461" s="99">
        <v>13.71</v>
      </c>
      <c r="H461" s="353"/>
      <c r="I461" s="339">
        <f t="shared" si="121"/>
        <v>9674</v>
      </c>
      <c r="K461" s="339">
        <f t="shared" si="122"/>
        <v>7883</v>
      </c>
      <c r="M461" s="99">
        <f t="shared" si="123"/>
        <v>13.71</v>
      </c>
      <c r="N461" s="353"/>
      <c r="O461" s="339">
        <f t="shared" si="124"/>
        <v>7883</v>
      </c>
      <c r="P461" s="328"/>
      <c r="Q461" s="429"/>
      <c r="R461" s="429"/>
      <c r="S461" s="429"/>
      <c r="T461" s="356">
        <f t="shared" si="125"/>
        <v>0</v>
      </c>
    </row>
    <row r="462" spans="1:20">
      <c r="A462" s="352" t="s">
        <v>302</v>
      </c>
      <c r="C462" s="102">
        <v>5430.1573676681001</v>
      </c>
      <c r="E462" s="102">
        <f t="shared" si="120"/>
        <v>4421</v>
      </c>
      <c r="G462" s="99">
        <v>14.13</v>
      </c>
      <c r="H462" s="353"/>
      <c r="I462" s="339">
        <f t="shared" si="121"/>
        <v>76728</v>
      </c>
      <c r="K462" s="339">
        <f t="shared" si="122"/>
        <v>62469</v>
      </c>
      <c r="M462" s="99">
        <f t="shared" si="123"/>
        <v>14.13</v>
      </c>
      <c r="N462" s="353"/>
      <c r="O462" s="339">
        <f t="shared" si="124"/>
        <v>62469</v>
      </c>
      <c r="P462" s="328"/>
      <c r="Q462" s="429"/>
      <c r="R462" s="429"/>
      <c r="S462" s="429"/>
      <c r="T462" s="356">
        <f t="shared" si="125"/>
        <v>0</v>
      </c>
    </row>
    <row r="463" spans="1:20">
      <c r="A463" s="352" t="s">
        <v>279</v>
      </c>
      <c r="C463" s="102">
        <v>487.63409563409601</v>
      </c>
      <c r="E463" s="102">
        <f t="shared" si="120"/>
        <v>397</v>
      </c>
      <c r="G463" s="99">
        <v>14.58</v>
      </c>
      <c r="H463" s="353"/>
      <c r="I463" s="339">
        <f t="shared" si="121"/>
        <v>7110</v>
      </c>
      <c r="K463" s="339">
        <f t="shared" si="122"/>
        <v>5788</v>
      </c>
      <c r="M463" s="99">
        <f t="shared" si="123"/>
        <v>14.58</v>
      </c>
      <c r="N463" s="353"/>
      <c r="O463" s="339">
        <f t="shared" si="124"/>
        <v>5788</v>
      </c>
      <c r="P463" s="328"/>
      <c r="Q463" s="429"/>
      <c r="R463" s="429"/>
      <c r="S463" s="429"/>
      <c r="T463" s="356">
        <f t="shared" si="125"/>
        <v>0</v>
      </c>
    </row>
    <row r="464" spans="1:20">
      <c r="A464" s="352" t="s">
        <v>303</v>
      </c>
      <c r="C464" s="102">
        <v>578.70934699103702</v>
      </c>
      <c r="E464" s="357">
        <f t="shared" si="120"/>
        <v>471</v>
      </c>
      <c r="G464" s="353">
        <v>15.79</v>
      </c>
      <c r="H464" s="353"/>
      <c r="I464" s="339">
        <f t="shared" si="121"/>
        <v>9138</v>
      </c>
      <c r="K464" s="339">
        <f t="shared" si="122"/>
        <v>7437</v>
      </c>
      <c r="M464" s="353">
        <f t="shared" si="123"/>
        <v>15.79</v>
      </c>
      <c r="N464" s="353"/>
      <c r="O464" s="376">
        <f t="shared" si="124"/>
        <v>7437</v>
      </c>
      <c r="P464" s="328"/>
      <c r="Q464" s="429"/>
      <c r="R464" s="429"/>
      <c r="S464" s="429"/>
      <c r="T464" s="356">
        <f t="shared" si="125"/>
        <v>0</v>
      </c>
    </row>
    <row r="465" spans="1:20">
      <c r="A465" s="408" t="s">
        <v>304</v>
      </c>
      <c r="C465" s="102"/>
      <c r="E465" s="102"/>
      <c r="G465" s="99"/>
      <c r="H465" s="353"/>
      <c r="I465" s="339"/>
      <c r="K465" s="339"/>
      <c r="M465" s="99"/>
      <c r="N465" s="353"/>
      <c r="O465" s="339"/>
      <c r="P465" s="328"/>
      <c r="Q465" s="429"/>
      <c r="R465" s="429"/>
      <c r="S465" s="429"/>
    </row>
    <row r="466" spans="1:20">
      <c r="A466" s="352" t="s">
        <v>305</v>
      </c>
      <c r="C466" s="102">
        <v>3.4663072776280299</v>
      </c>
      <c r="E466" s="102">
        <f>ROUND(C466*$E$468/$C$468,0)</f>
        <v>3</v>
      </c>
      <c r="G466" s="99">
        <v>3.75</v>
      </c>
      <c r="H466" s="353"/>
      <c r="I466" s="339">
        <f>ROUND(C466*$G466,0)</f>
        <v>13</v>
      </c>
      <c r="K466" s="339">
        <f>ROUND(E466*$G466,0)</f>
        <v>11</v>
      </c>
      <c r="M466" s="99">
        <f>ROUND(G466*(1+$R$418),2)</f>
        <v>3.75</v>
      </c>
      <c r="N466" s="353"/>
      <c r="O466" s="339">
        <f>ROUND(E466*M466,0)</f>
        <v>11</v>
      </c>
      <c r="P466" s="328"/>
      <c r="Q466" s="429"/>
      <c r="R466" s="429"/>
      <c r="S466" s="429"/>
      <c r="T466" s="356">
        <f t="shared" ref="T466:T467" si="126">M466/G466-1</f>
        <v>0</v>
      </c>
    </row>
    <row r="467" spans="1:20">
      <c r="A467" s="352" t="s">
        <v>306</v>
      </c>
      <c r="C467" s="102">
        <v>84.066811909949195</v>
      </c>
      <c r="E467" s="102">
        <f>ROUND(C467*$E$468/$C$468,0)</f>
        <v>68</v>
      </c>
      <c r="G467" s="99">
        <v>13.92</v>
      </c>
      <c r="H467" s="353"/>
      <c r="I467" s="339">
        <f>ROUND(C467*$G467,0)</f>
        <v>1170</v>
      </c>
      <c r="K467" s="339">
        <f>ROUND(E467*$G467,0)</f>
        <v>947</v>
      </c>
      <c r="M467" s="99">
        <f>ROUND(G467*(1+$R$418),2)</f>
        <v>13.92</v>
      </c>
      <c r="N467" s="353"/>
      <c r="O467" s="339">
        <f>ROUND(E467*M467,0)</f>
        <v>947</v>
      </c>
      <c r="P467" s="328"/>
      <c r="Q467" s="429"/>
      <c r="R467" s="429"/>
      <c r="S467" s="429"/>
      <c r="T467" s="356">
        <f t="shared" si="126"/>
        <v>0</v>
      </c>
    </row>
    <row r="468" spans="1:20">
      <c r="A468" s="408" t="s">
        <v>281</v>
      </c>
      <c r="C468" s="357">
        <v>5526433.823147228</v>
      </c>
      <c r="E468" s="357">
        <f>E470</f>
        <v>4499863</v>
      </c>
      <c r="G468" s="99"/>
      <c r="H468" s="363"/>
      <c r="I468" s="376">
        <f>SUM(I431:I467)</f>
        <v>689960</v>
      </c>
      <c r="K468" s="376">
        <f>SUM(K431:K467)</f>
        <v>561767</v>
      </c>
      <c r="M468" s="437"/>
      <c r="N468" s="353"/>
      <c r="O468" s="376">
        <f>SUM(O431:O467)</f>
        <v>561767</v>
      </c>
      <c r="P468" s="328"/>
      <c r="Q468" s="429"/>
      <c r="R468" s="429"/>
      <c r="S468" s="429"/>
    </row>
    <row r="469" spans="1:20">
      <c r="A469" s="408" t="s">
        <v>182</v>
      </c>
      <c r="C469" s="357">
        <v>93354</v>
      </c>
      <c r="E469" s="357"/>
      <c r="G469" s="99"/>
      <c r="H469" s="363"/>
      <c r="I469" s="376">
        <v>9872</v>
      </c>
      <c r="K469" s="376"/>
      <c r="M469" s="437"/>
      <c r="N469" s="353"/>
      <c r="O469" s="376"/>
      <c r="P469" s="328"/>
      <c r="Q469" s="429"/>
      <c r="R469" s="429"/>
      <c r="S469" s="429"/>
    </row>
    <row r="470" spans="1:20">
      <c r="A470" s="408" t="s">
        <v>266</v>
      </c>
      <c r="C470" s="357">
        <f>SUM(C468:C469)</f>
        <v>5619787.823147228</v>
      </c>
      <c r="E470" s="357">
        <v>4499863</v>
      </c>
      <c r="G470" s="99"/>
      <c r="H470" s="363"/>
      <c r="I470" s="376">
        <f>SUM(I468:I469)</f>
        <v>699832</v>
      </c>
      <c r="K470" s="376">
        <f>SUM(K468:K469)</f>
        <v>561767</v>
      </c>
      <c r="M470" s="437"/>
      <c r="N470" s="353"/>
      <c r="O470" s="376">
        <f>SUM(O468:O469)</f>
        <v>561767</v>
      </c>
      <c r="P470" s="328"/>
      <c r="Q470" s="429"/>
      <c r="R470" s="429"/>
      <c r="S470" s="429"/>
    </row>
    <row r="471" spans="1:20">
      <c r="A471" s="408" t="s">
        <v>282</v>
      </c>
      <c r="C471" s="357">
        <v>236.333333333333</v>
      </c>
      <c r="E471" s="357">
        <v>234.58333333333334</v>
      </c>
      <c r="G471" s="437"/>
      <c r="H471" s="363"/>
      <c r="I471" s="376"/>
      <c r="K471" s="376"/>
      <c r="M471" s="437"/>
      <c r="N471" s="353"/>
      <c r="O471" s="376"/>
      <c r="P471" s="328"/>
      <c r="Q471" s="429"/>
      <c r="R471" s="429"/>
      <c r="S471" s="429"/>
    </row>
    <row r="472" spans="1:20">
      <c r="A472" s="438" t="s">
        <v>307</v>
      </c>
      <c r="C472" s="102"/>
      <c r="E472" s="102"/>
      <c r="G472" s="99"/>
      <c r="H472" s="353"/>
      <c r="M472" s="99"/>
      <c r="N472" s="353"/>
      <c r="P472" s="328"/>
      <c r="Q472" s="429"/>
      <c r="R472" s="429"/>
      <c r="S472" s="429"/>
    </row>
    <row r="473" spans="1:20">
      <c r="A473" s="408" t="s">
        <v>284</v>
      </c>
      <c r="C473" s="102"/>
      <c r="E473" s="102"/>
      <c r="G473" s="99"/>
      <c r="H473" s="353"/>
      <c r="I473" s="339"/>
      <c r="K473" s="339"/>
      <c r="M473" s="99"/>
      <c r="N473" s="353"/>
      <c r="O473" s="339"/>
      <c r="P473" s="328"/>
      <c r="Q473" s="429"/>
      <c r="R473" s="429"/>
      <c r="S473" s="429"/>
    </row>
    <row r="474" spans="1:20">
      <c r="A474" s="352" t="s">
        <v>260</v>
      </c>
      <c r="C474" s="102">
        <v>36</v>
      </c>
      <c r="E474" s="102">
        <f>ROUND(C474*$E$495/$C$495,0)</f>
        <v>32</v>
      </c>
      <c r="G474" s="99">
        <v>17.73</v>
      </c>
      <c r="H474" s="353"/>
      <c r="I474" s="339">
        <f>ROUND(C474*$G474,0)</f>
        <v>638</v>
      </c>
      <c r="K474" s="339">
        <f>ROUND(E474*$G474,0)</f>
        <v>567</v>
      </c>
      <c r="M474" s="99">
        <f>ROUND(G474*(1+$R$418),2)</f>
        <v>17.73</v>
      </c>
      <c r="N474" s="353"/>
      <c r="O474" s="339">
        <f>ROUND(E474*M474,0)</f>
        <v>567</v>
      </c>
      <c r="P474" s="328"/>
      <c r="Q474" s="429"/>
      <c r="R474" s="429"/>
      <c r="S474" s="429"/>
      <c r="T474" s="356">
        <f t="shared" ref="T474:T475" si="127">M474/G474-1</f>
        <v>0</v>
      </c>
    </row>
    <row r="475" spans="1:20">
      <c r="A475" s="352" t="s">
        <v>254</v>
      </c>
      <c r="C475" s="102">
        <v>12</v>
      </c>
      <c r="E475" s="102">
        <f>ROUND(C475*$E$495/$C$495,0)</f>
        <v>11</v>
      </c>
      <c r="G475" s="99">
        <v>23.4</v>
      </c>
      <c r="H475" s="353"/>
      <c r="I475" s="339">
        <f>ROUND(C475*$G475,0)</f>
        <v>281</v>
      </c>
      <c r="K475" s="339">
        <f>ROUND(E475*$G475,0)</f>
        <v>257</v>
      </c>
      <c r="M475" s="99">
        <f>ROUND(G475*(1+$R$418),2)</f>
        <v>23.4</v>
      </c>
      <c r="N475" s="353"/>
      <c r="O475" s="339">
        <f>ROUND(E475*M475,0)</f>
        <v>257</v>
      </c>
      <c r="P475" s="328"/>
      <c r="Q475" s="429"/>
      <c r="R475" s="429"/>
      <c r="S475" s="429"/>
      <c r="T475" s="356">
        <f t="shared" si="127"/>
        <v>0</v>
      </c>
    </row>
    <row r="476" spans="1:20">
      <c r="A476" s="408" t="s">
        <v>287</v>
      </c>
      <c r="C476" s="102"/>
      <c r="E476" s="102"/>
      <c r="P476" s="328"/>
      <c r="Q476" s="429"/>
      <c r="R476" s="429"/>
      <c r="S476" s="429"/>
    </row>
    <row r="477" spans="1:20">
      <c r="A477" s="352" t="s">
        <v>155</v>
      </c>
      <c r="C477" s="102">
        <v>48</v>
      </c>
      <c r="E477" s="102">
        <f>ROUND(C477*$E$495/$C$495,0)</f>
        <v>42</v>
      </c>
      <c r="G477" s="99">
        <v>8.0299999999999994</v>
      </c>
      <c r="H477" s="353"/>
      <c r="I477" s="339">
        <f>ROUND(C477*$G477,0)</f>
        <v>385</v>
      </c>
      <c r="K477" s="339">
        <f>ROUND(E477*$G477,0)</f>
        <v>337</v>
      </c>
      <c r="M477" s="99">
        <f>ROUND(G477*(1+$R$418),2)</f>
        <v>8.0299999999999994</v>
      </c>
      <c r="N477" s="353"/>
      <c r="O477" s="339">
        <f>ROUND(E477*M477,0)</f>
        <v>337</v>
      </c>
      <c r="P477" s="328"/>
      <c r="Q477" s="429"/>
      <c r="R477" s="429"/>
      <c r="S477" s="429"/>
      <c r="T477" s="356">
        <f t="shared" ref="T477:T479" si="128">M477/G477-1</f>
        <v>0</v>
      </c>
    </row>
    <row r="478" spans="1:20">
      <c r="A478" s="352" t="s">
        <v>157</v>
      </c>
      <c r="C478" s="102">
        <v>0</v>
      </c>
      <c r="E478" s="102">
        <f>ROUND(C478*$E$495/$C$495,0)</f>
        <v>0</v>
      </c>
      <c r="G478" s="99">
        <v>15.3</v>
      </c>
      <c r="H478" s="353"/>
      <c r="I478" s="339">
        <f>ROUND(C478*$G478,0)</f>
        <v>0</v>
      </c>
      <c r="K478" s="339">
        <f>ROUND(E478*$G478,0)</f>
        <v>0</v>
      </c>
      <c r="M478" s="99">
        <f>ROUND(G478*(1+$R$418),2)</f>
        <v>15.3</v>
      </c>
      <c r="N478" s="353"/>
      <c r="O478" s="339">
        <f>ROUND(E478*M478,0)</f>
        <v>0</v>
      </c>
      <c r="P478" s="328"/>
      <c r="Q478" s="429"/>
      <c r="R478" s="429"/>
      <c r="S478" s="429"/>
      <c r="T478" s="356">
        <f t="shared" si="128"/>
        <v>0</v>
      </c>
    </row>
    <row r="479" spans="1:20">
      <c r="A479" s="352" t="s">
        <v>288</v>
      </c>
      <c r="C479" s="357">
        <v>96</v>
      </c>
      <c r="E479" s="102">
        <f>ROUND(C479*$E$495/$C$495,0)</f>
        <v>85</v>
      </c>
      <c r="G479" s="353">
        <v>32.479999999999997</v>
      </c>
      <c r="H479" s="353"/>
      <c r="I479" s="339">
        <f>ROUND(C479*$G479,0)</f>
        <v>3118</v>
      </c>
      <c r="K479" s="339">
        <f>ROUND(E479*$G479,0)</f>
        <v>2761</v>
      </c>
      <c r="M479" s="353">
        <f>ROUND(G479*(1+$R$418),2)</f>
        <v>32.479999999999997</v>
      </c>
      <c r="N479" s="353"/>
      <c r="O479" s="376">
        <f>ROUND(E479*M479,0)</f>
        <v>2761</v>
      </c>
      <c r="P479" s="328"/>
      <c r="Q479" s="429"/>
      <c r="R479" s="429"/>
      <c r="S479" s="429"/>
      <c r="T479" s="356">
        <f t="shared" si="128"/>
        <v>0</v>
      </c>
    </row>
    <row r="480" spans="1:20" ht="14.25" customHeight="1">
      <c r="A480" s="408" t="s">
        <v>308</v>
      </c>
      <c r="C480" s="102"/>
      <c r="E480" s="102"/>
      <c r="G480" s="375"/>
      <c r="H480" s="374"/>
      <c r="I480" s="339"/>
      <c r="K480" s="339"/>
      <c r="M480" s="375"/>
      <c r="N480" s="374"/>
      <c r="O480" s="339"/>
      <c r="P480" s="328"/>
      <c r="Q480" s="429"/>
      <c r="R480" s="429"/>
      <c r="S480" s="429"/>
    </row>
    <row r="481" spans="1:20">
      <c r="A481" s="352" t="s">
        <v>270</v>
      </c>
      <c r="C481" s="102">
        <v>5953.0302375809997</v>
      </c>
      <c r="E481" s="102">
        <f t="shared" ref="E481:E489" si="129">ROUND(C481*$E$495/$C$495,0)</f>
        <v>5268</v>
      </c>
      <c r="G481" s="99">
        <v>4.68</v>
      </c>
      <c r="H481" s="353"/>
      <c r="I481" s="339">
        <f t="shared" ref="I481:I489" si="130">ROUND(C481*$G481,0)</f>
        <v>27860</v>
      </c>
      <c r="K481" s="339">
        <f t="shared" ref="K481:K489" si="131">ROUND(E481*$G481,0)</f>
        <v>24654</v>
      </c>
      <c r="M481" s="99">
        <f t="shared" ref="M481:M489" si="132">ROUND(G481*(1+$R$418),2)</f>
        <v>4.68</v>
      </c>
      <c r="N481" s="353"/>
      <c r="O481" s="339">
        <f t="shared" ref="O481:O489" si="133">ROUND(E481*M481,0)</f>
        <v>24654</v>
      </c>
      <c r="P481" s="328"/>
      <c r="Q481" s="429"/>
      <c r="R481" s="429"/>
      <c r="S481" s="429"/>
      <c r="T481" s="356">
        <f t="shared" ref="T481:T489" si="134">M481/G481-1</f>
        <v>0</v>
      </c>
    </row>
    <row r="482" spans="1:20">
      <c r="A482" s="352" t="s">
        <v>271</v>
      </c>
      <c r="C482" s="102">
        <v>18614.265573770499</v>
      </c>
      <c r="E482" s="102">
        <f t="shared" si="129"/>
        <v>16472</v>
      </c>
      <c r="G482" s="99">
        <v>6.16</v>
      </c>
      <c r="H482" s="353"/>
      <c r="I482" s="339">
        <f t="shared" si="130"/>
        <v>114664</v>
      </c>
      <c r="K482" s="339">
        <f t="shared" si="131"/>
        <v>101468</v>
      </c>
      <c r="M482" s="99">
        <f t="shared" si="132"/>
        <v>6.16</v>
      </c>
      <c r="N482" s="353"/>
      <c r="O482" s="339">
        <f t="shared" si="133"/>
        <v>101468</v>
      </c>
      <c r="P482" s="328"/>
      <c r="Q482" s="429"/>
      <c r="R482" s="429"/>
      <c r="S482" s="429"/>
      <c r="T482" s="356">
        <f t="shared" si="134"/>
        <v>0</v>
      </c>
    </row>
    <row r="483" spans="1:20">
      <c r="A483" s="352" t="s">
        <v>309</v>
      </c>
      <c r="C483" s="102">
        <v>0</v>
      </c>
      <c r="E483" s="102">
        <f t="shared" si="129"/>
        <v>0</v>
      </c>
      <c r="G483" s="99">
        <v>5.55</v>
      </c>
      <c r="H483" s="353"/>
      <c r="I483" s="339">
        <f t="shared" si="130"/>
        <v>0</v>
      </c>
      <c r="K483" s="339">
        <f t="shared" si="131"/>
        <v>0</v>
      </c>
      <c r="M483" s="99">
        <f t="shared" si="132"/>
        <v>5.55</v>
      </c>
      <c r="N483" s="353"/>
      <c r="O483" s="339">
        <f t="shared" si="133"/>
        <v>0</v>
      </c>
      <c r="P483" s="328"/>
      <c r="Q483" s="429"/>
      <c r="R483" s="429"/>
      <c r="S483" s="429"/>
      <c r="T483" s="356">
        <f t="shared" si="134"/>
        <v>0</v>
      </c>
    </row>
    <row r="484" spans="1:20">
      <c r="A484" s="352" t="s">
        <v>272</v>
      </c>
      <c r="C484" s="102">
        <v>6088.2043301759104</v>
      </c>
      <c r="E484" s="102">
        <f t="shared" si="129"/>
        <v>5387</v>
      </c>
      <c r="G484" s="99">
        <v>7.47</v>
      </c>
      <c r="H484" s="353"/>
      <c r="I484" s="339">
        <f t="shared" si="130"/>
        <v>45479</v>
      </c>
      <c r="K484" s="339">
        <f t="shared" si="131"/>
        <v>40241</v>
      </c>
      <c r="M484" s="99">
        <f t="shared" si="132"/>
        <v>7.47</v>
      </c>
      <c r="N484" s="353"/>
      <c r="O484" s="339">
        <f t="shared" si="133"/>
        <v>40241</v>
      </c>
      <c r="P484" s="328"/>
      <c r="Q484" s="429"/>
      <c r="R484" s="429"/>
      <c r="S484" s="429"/>
      <c r="T484" s="356">
        <f t="shared" si="134"/>
        <v>0</v>
      </c>
    </row>
    <row r="485" spans="1:20">
      <c r="A485" s="352" t="s">
        <v>310</v>
      </c>
      <c r="C485" s="102">
        <v>0</v>
      </c>
      <c r="E485" s="102">
        <f t="shared" si="129"/>
        <v>0</v>
      </c>
      <c r="G485" s="99">
        <v>6.72</v>
      </c>
      <c r="H485" s="353"/>
      <c r="I485" s="339">
        <f t="shared" si="130"/>
        <v>0</v>
      </c>
      <c r="K485" s="339">
        <f t="shared" si="131"/>
        <v>0</v>
      </c>
      <c r="M485" s="99">
        <f t="shared" si="132"/>
        <v>6.72</v>
      </c>
      <c r="N485" s="353"/>
      <c r="O485" s="339">
        <f t="shared" si="133"/>
        <v>0</v>
      </c>
      <c r="P485" s="328"/>
      <c r="Q485" s="429"/>
      <c r="R485" s="429"/>
      <c r="S485" s="429"/>
      <c r="T485" s="356">
        <f t="shared" si="134"/>
        <v>0</v>
      </c>
    </row>
    <row r="486" spans="1:20">
      <c r="A486" s="352" t="s">
        <v>165</v>
      </c>
      <c r="C486" s="102">
        <v>0</v>
      </c>
      <c r="E486" s="102">
        <f t="shared" si="129"/>
        <v>0</v>
      </c>
      <c r="G486" s="99">
        <v>9.44</v>
      </c>
      <c r="H486" s="353"/>
      <c r="I486" s="339">
        <f t="shared" si="130"/>
        <v>0</v>
      </c>
      <c r="K486" s="339">
        <f t="shared" si="131"/>
        <v>0</v>
      </c>
      <c r="M486" s="99">
        <f t="shared" si="132"/>
        <v>9.44</v>
      </c>
      <c r="N486" s="353"/>
      <c r="O486" s="339">
        <f t="shared" si="133"/>
        <v>0</v>
      </c>
      <c r="P486" s="328"/>
      <c r="Q486" s="429"/>
      <c r="R486" s="429"/>
      <c r="S486" s="429"/>
      <c r="T486" s="356">
        <f t="shared" si="134"/>
        <v>0</v>
      </c>
    </row>
    <row r="487" spans="1:20">
      <c r="A487" s="352" t="s">
        <v>273</v>
      </c>
      <c r="C487" s="102">
        <v>3852.5073529411802</v>
      </c>
      <c r="E487" s="102">
        <f>ROUND(C487*$E$495/$C$495,0)</f>
        <v>3409</v>
      </c>
      <c r="G487" s="99">
        <v>10.99</v>
      </c>
      <c r="H487" s="353"/>
      <c r="I487" s="339">
        <f t="shared" si="130"/>
        <v>42339</v>
      </c>
      <c r="K487" s="339">
        <f t="shared" si="131"/>
        <v>37465</v>
      </c>
      <c r="M487" s="99">
        <f t="shared" si="132"/>
        <v>10.99</v>
      </c>
      <c r="N487" s="353"/>
      <c r="O487" s="339">
        <f t="shared" si="133"/>
        <v>37465</v>
      </c>
      <c r="P487" s="328"/>
      <c r="Q487" s="429"/>
      <c r="R487" s="429"/>
      <c r="S487" s="429"/>
      <c r="T487" s="356">
        <f t="shared" si="134"/>
        <v>0</v>
      </c>
    </row>
    <row r="488" spans="1:20">
      <c r="A488" s="352" t="s">
        <v>274</v>
      </c>
      <c r="C488" s="102">
        <v>2706.9287066246102</v>
      </c>
      <c r="E488" s="102">
        <f t="shared" si="129"/>
        <v>2395</v>
      </c>
      <c r="G488" s="99">
        <v>16.02</v>
      </c>
      <c r="H488" s="353"/>
      <c r="I488" s="339">
        <f t="shared" si="130"/>
        <v>43365</v>
      </c>
      <c r="K488" s="339">
        <f t="shared" si="131"/>
        <v>38368</v>
      </c>
      <c r="M488" s="99">
        <f t="shared" si="132"/>
        <v>16.02</v>
      </c>
      <c r="N488" s="353"/>
      <c r="O488" s="339">
        <f t="shared" si="133"/>
        <v>38368</v>
      </c>
      <c r="P488" s="328"/>
      <c r="Q488" s="429"/>
      <c r="R488" s="429"/>
      <c r="S488" s="429"/>
      <c r="T488" s="356">
        <f t="shared" si="134"/>
        <v>0</v>
      </c>
    </row>
    <row r="489" spans="1:20">
      <c r="A489" s="352" t="s">
        <v>311</v>
      </c>
      <c r="C489" s="102">
        <v>0</v>
      </c>
      <c r="E489" s="102">
        <f t="shared" si="129"/>
        <v>0</v>
      </c>
      <c r="G489" s="353">
        <v>14.42</v>
      </c>
      <c r="H489" s="374"/>
      <c r="I489" s="339">
        <f t="shared" si="130"/>
        <v>0</v>
      </c>
      <c r="K489" s="339">
        <f t="shared" si="131"/>
        <v>0</v>
      </c>
      <c r="M489" s="353">
        <f t="shared" si="132"/>
        <v>14.42</v>
      </c>
      <c r="N489" s="374"/>
      <c r="O489" s="376">
        <f t="shared" si="133"/>
        <v>0</v>
      </c>
      <c r="P489" s="328"/>
      <c r="Q489" s="429"/>
      <c r="R489" s="429"/>
      <c r="S489" s="429"/>
      <c r="T489" s="356">
        <f t="shared" si="134"/>
        <v>0</v>
      </c>
    </row>
    <row r="490" spans="1:20">
      <c r="A490" s="408" t="s">
        <v>275</v>
      </c>
      <c r="C490" s="102"/>
      <c r="E490" s="102"/>
      <c r="P490" s="328"/>
      <c r="Q490" s="429"/>
      <c r="R490" s="429"/>
      <c r="S490" s="429"/>
    </row>
    <row r="491" spans="1:20">
      <c r="A491" s="352" t="s">
        <v>277</v>
      </c>
      <c r="C491" s="102">
        <v>1202.8664072632901</v>
      </c>
      <c r="E491" s="102">
        <f>ROUND(C491*$E$495/$C$495,0)</f>
        <v>1064</v>
      </c>
      <c r="G491" s="99">
        <v>15.58</v>
      </c>
      <c r="H491" s="353"/>
      <c r="I491" s="339">
        <f>ROUND(C491*$G491,0)</f>
        <v>18741</v>
      </c>
      <c r="K491" s="339">
        <f>ROUND(E491*$G491,0)</f>
        <v>16577</v>
      </c>
      <c r="M491" s="99">
        <f>ROUND(G491*(1+$R$418),2)</f>
        <v>15.58</v>
      </c>
      <c r="N491" s="353"/>
      <c r="O491" s="339">
        <f>ROUND(E491*M491,0)</f>
        <v>16577</v>
      </c>
      <c r="P491" s="328"/>
      <c r="Q491" s="429"/>
      <c r="R491" s="429"/>
      <c r="S491" s="429"/>
      <c r="T491" s="356">
        <f t="shared" ref="T491:T494" si="135">M491/G491-1</f>
        <v>0</v>
      </c>
    </row>
    <row r="492" spans="1:20">
      <c r="A492" s="352" t="s">
        <v>278</v>
      </c>
      <c r="C492" s="102">
        <v>709.59987154784801</v>
      </c>
      <c r="E492" s="102">
        <f>ROUND(C492*$E$495/$C$495,0)</f>
        <v>628</v>
      </c>
      <c r="G492" s="99">
        <v>15.73</v>
      </c>
      <c r="H492" s="353"/>
      <c r="I492" s="339">
        <f>ROUND(C492*$G492,0)</f>
        <v>11162</v>
      </c>
      <c r="K492" s="339">
        <f>ROUND(E492*$G492,0)</f>
        <v>9878</v>
      </c>
      <c r="M492" s="99">
        <f>ROUND(G492*(1+$R$418),2)</f>
        <v>15.73</v>
      </c>
      <c r="N492" s="353"/>
      <c r="O492" s="339">
        <f>ROUND(E492*M492,0)</f>
        <v>9878</v>
      </c>
      <c r="P492" s="328"/>
      <c r="Q492" s="429"/>
      <c r="R492" s="429"/>
      <c r="S492" s="429"/>
      <c r="T492" s="356">
        <f t="shared" si="135"/>
        <v>0</v>
      </c>
    </row>
    <row r="493" spans="1:20">
      <c r="A493" s="352" t="s">
        <v>279</v>
      </c>
      <c r="C493" s="102">
        <v>963.81993957703901</v>
      </c>
      <c r="E493" s="102">
        <f>ROUND(C493*$E$495/$C$495,0)</f>
        <v>853</v>
      </c>
      <c r="G493" s="99">
        <v>16.72</v>
      </c>
      <c r="H493" s="353"/>
      <c r="I493" s="339">
        <f>ROUND(C493*$G493,0)</f>
        <v>16115</v>
      </c>
      <c r="K493" s="339">
        <f>ROUND(E493*$G493,0)</f>
        <v>14262</v>
      </c>
      <c r="M493" s="99">
        <f>ROUND(G493*(1+$R$418),2)</f>
        <v>16.72</v>
      </c>
      <c r="N493" s="353"/>
      <c r="O493" s="339">
        <f>ROUND(E493*M493,0)</f>
        <v>14262</v>
      </c>
      <c r="P493" s="328"/>
      <c r="Q493" s="429"/>
      <c r="R493" s="429"/>
      <c r="S493" s="429"/>
      <c r="T493" s="356">
        <f t="shared" si="135"/>
        <v>0</v>
      </c>
    </row>
    <row r="494" spans="1:20">
      <c r="A494" s="352" t="s">
        <v>312</v>
      </c>
      <c r="C494" s="103">
        <v>96</v>
      </c>
      <c r="E494" s="102">
        <f>ROUND(C494*$E$495/$C$495,0)</f>
        <v>85</v>
      </c>
      <c r="G494" s="439">
        <v>33.049999999999997</v>
      </c>
      <c r="H494" s="353"/>
      <c r="I494" s="414">
        <f>ROUND(C494*$G494,0)</f>
        <v>3173</v>
      </c>
      <c r="K494" s="414">
        <f>ROUND(E494*$G494,0)</f>
        <v>2809</v>
      </c>
      <c r="M494" s="439">
        <f>ROUND(G494*(1+$R$418),2)</f>
        <v>33.049999999999997</v>
      </c>
      <c r="N494" s="353"/>
      <c r="O494" s="383">
        <f>ROUND(E494*M494,0)</f>
        <v>2809</v>
      </c>
      <c r="P494" s="328"/>
      <c r="Q494" s="429"/>
      <c r="R494" s="429"/>
      <c r="S494" s="429"/>
      <c r="T494" s="356">
        <f t="shared" si="135"/>
        <v>0</v>
      </c>
    </row>
    <row r="495" spans="1:20">
      <c r="A495" s="408" t="s">
        <v>281</v>
      </c>
      <c r="C495" s="357">
        <v>2389355.8753662789</v>
      </c>
      <c r="E495" s="357">
        <f>E497</f>
        <v>2114324</v>
      </c>
      <c r="G495" s="353"/>
      <c r="H495" s="363"/>
      <c r="I495" s="376">
        <f>SUM(I474:I494)</f>
        <v>327320</v>
      </c>
      <c r="K495" s="376">
        <f>SUM(K474:K494)</f>
        <v>289644</v>
      </c>
      <c r="M495" s="437"/>
      <c r="N495" s="353"/>
      <c r="O495" s="376">
        <f>SUM(O474:O494)</f>
        <v>289644</v>
      </c>
      <c r="P495" s="328"/>
      <c r="Q495" s="429"/>
      <c r="R495" s="429"/>
      <c r="S495" s="429"/>
    </row>
    <row r="496" spans="1:20">
      <c r="A496" s="408" t="s">
        <v>182</v>
      </c>
      <c r="C496" s="357">
        <v>40470</v>
      </c>
      <c r="E496" s="357"/>
      <c r="G496" s="353"/>
      <c r="H496" s="363"/>
      <c r="I496" s="376">
        <v>4712</v>
      </c>
      <c r="K496" s="376"/>
      <c r="M496" s="437"/>
      <c r="N496" s="353"/>
      <c r="O496" s="376"/>
      <c r="P496" s="328"/>
      <c r="Q496" s="429"/>
      <c r="R496" s="429"/>
      <c r="S496" s="429"/>
    </row>
    <row r="497" spans="1:20">
      <c r="A497" s="408" t="s">
        <v>266</v>
      </c>
      <c r="C497" s="357">
        <f>SUM(C495:C496)</f>
        <v>2429825.8753662789</v>
      </c>
      <c r="E497" s="357">
        <v>2114324</v>
      </c>
      <c r="G497" s="353"/>
      <c r="H497" s="363"/>
      <c r="I497" s="376">
        <f>SUM(I495:I496)</f>
        <v>332032</v>
      </c>
      <c r="K497" s="376">
        <f>SUM(K495:K496)</f>
        <v>289644</v>
      </c>
      <c r="M497" s="437"/>
      <c r="N497" s="353"/>
      <c r="O497" s="376">
        <f>SUM(O495:O496)</f>
        <v>289644</v>
      </c>
      <c r="P497" s="328"/>
      <c r="Q497" s="429"/>
      <c r="R497" s="429"/>
      <c r="S497" s="429"/>
    </row>
    <row r="498" spans="1:20">
      <c r="A498" s="408" t="s">
        <v>282</v>
      </c>
      <c r="C498" s="357">
        <v>115.25</v>
      </c>
      <c r="E498" s="357">
        <v>102.33333333333333</v>
      </c>
      <c r="G498" s="437"/>
      <c r="H498" s="363"/>
      <c r="I498" s="376"/>
      <c r="K498" s="376"/>
      <c r="M498" s="437"/>
      <c r="N498" s="353"/>
      <c r="O498" s="376"/>
      <c r="P498" s="328"/>
      <c r="Q498" s="429"/>
      <c r="R498" s="429"/>
      <c r="S498" s="429"/>
    </row>
    <row r="499" spans="1:20">
      <c r="A499" s="352"/>
      <c r="C499" s="103"/>
      <c r="E499" s="103"/>
      <c r="G499" s="353"/>
      <c r="H499" s="353"/>
      <c r="I499" s="376"/>
      <c r="K499" s="376"/>
      <c r="M499" s="353"/>
      <c r="N499" s="353"/>
      <c r="O499" s="383"/>
      <c r="P499" s="328"/>
      <c r="Q499" s="429"/>
      <c r="R499" s="429"/>
      <c r="S499" s="429"/>
    </row>
    <row r="500" spans="1:20">
      <c r="A500" s="352" t="s">
        <v>313</v>
      </c>
      <c r="C500" s="432">
        <f>C425+C468+C495</f>
        <v>55413003.206282124</v>
      </c>
      <c r="E500" s="432">
        <f>E503</f>
        <v>55429429</v>
      </c>
      <c r="G500" s="427"/>
      <c r="I500" s="383">
        <f>I425+I468+I495</f>
        <v>4138073</v>
      </c>
      <c r="K500" s="383">
        <f>K425+K468+K495</f>
        <v>4058813</v>
      </c>
      <c r="M500" s="427"/>
      <c r="O500" s="383">
        <f>O425+O468+O495</f>
        <v>4058813</v>
      </c>
      <c r="P500" s="384"/>
      <c r="Q500" s="429"/>
      <c r="R500" s="429"/>
      <c r="S500" s="429"/>
    </row>
    <row r="501" spans="1:20">
      <c r="A501" s="352" t="s">
        <v>9</v>
      </c>
      <c r="C501" s="346">
        <f>C428+C471+C498</f>
        <v>792.41666666666595</v>
      </c>
      <c r="E501" s="346">
        <f>E428+E471+E498</f>
        <v>781.66666666666674</v>
      </c>
      <c r="P501" s="384"/>
      <c r="Q501" s="429"/>
      <c r="R501" s="429"/>
      <c r="S501" s="429"/>
    </row>
    <row r="502" spans="1:20">
      <c r="A502" s="352" t="s">
        <v>182</v>
      </c>
      <c r="C502" s="432">
        <f>C426+C469+C496</f>
        <v>929157</v>
      </c>
      <c r="E502" s="432"/>
      <c r="G502" s="427"/>
      <c r="I502" s="383">
        <f>I426+I469+I496</f>
        <v>59178</v>
      </c>
      <c r="K502" s="383">
        <v>0</v>
      </c>
      <c r="M502" s="427"/>
      <c r="O502" s="383">
        <v>0</v>
      </c>
      <c r="P502" s="328"/>
      <c r="Q502" s="429"/>
      <c r="R502" s="429"/>
      <c r="S502" s="429"/>
    </row>
    <row r="503" spans="1:20" ht="16.5" thickBot="1">
      <c r="A503" s="352" t="s">
        <v>266</v>
      </c>
      <c r="C503" s="431">
        <f>C502+C500</f>
        <v>56342160.206282124</v>
      </c>
      <c r="E503" s="431">
        <f>E427+E470+E497</f>
        <v>55429429</v>
      </c>
      <c r="G503" s="433"/>
      <c r="H503" s="434"/>
      <c r="I503" s="433">
        <f>I502+I500</f>
        <v>4197251</v>
      </c>
      <c r="K503" s="433">
        <f>K502+K500</f>
        <v>4058813</v>
      </c>
      <c r="M503" s="433"/>
      <c r="N503" s="434"/>
      <c r="O503" s="433">
        <f>O502+O500</f>
        <v>4058813</v>
      </c>
      <c r="P503" s="328"/>
      <c r="Q503" s="390">
        <f>O503/K503-1</f>
        <v>0</v>
      </c>
      <c r="R503" s="429"/>
      <c r="S503" s="429"/>
    </row>
    <row r="504" spans="1:20" ht="16.5" thickTop="1">
      <c r="A504" s="352"/>
      <c r="C504" s="440"/>
      <c r="E504" s="440"/>
      <c r="G504" s="333"/>
      <c r="I504" s="376"/>
      <c r="K504" s="376"/>
      <c r="M504" s="333"/>
      <c r="O504" s="376"/>
      <c r="P504" s="328"/>
      <c r="Q504" s="429"/>
      <c r="R504" s="429"/>
      <c r="S504" s="429"/>
    </row>
    <row r="505" spans="1:20">
      <c r="A505" s="438" t="s">
        <v>314</v>
      </c>
      <c r="C505" s="102"/>
      <c r="E505" s="102"/>
      <c r="P505" s="339"/>
      <c r="Q505" s="429"/>
      <c r="R505" s="429"/>
      <c r="S505" s="429"/>
    </row>
    <row r="506" spans="1:20">
      <c r="A506" s="352" t="s">
        <v>315</v>
      </c>
      <c r="C506" s="102">
        <v>20184.576162614601</v>
      </c>
      <c r="E506" s="102">
        <f>ROUND(C506*E510/C510,0)</f>
        <v>20558</v>
      </c>
      <c r="G506" s="99">
        <v>11</v>
      </c>
      <c r="H506" s="353"/>
      <c r="I506" s="339">
        <f>ROUND(C506*$G506,0)</f>
        <v>222030</v>
      </c>
      <c r="K506" s="339">
        <f>ROUND(E506*$G506,0)</f>
        <v>226138</v>
      </c>
      <c r="M506" s="99">
        <f>MROUND(G506*(1+$R$510),0.5)</f>
        <v>11</v>
      </c>
      <c r="N506" s="353"/>
      <c r="O506" s="339">
        <f>ROUND(E506*M506,0)</f>
        <v>226138</v>
      </c>
      <c r="P506" s="339"/>
      <c r="Q506" s="354" t="s">
        <v>87</v>
      </c>
      <c r="R506" s="355">
        <f>O512</f>
        <v>1144626</v>
      </c>
      <c r="S506" s="429"/>
      <c r="T506" s="356">
        <f t="shared" ref="T506:T510" si="136">M506/G506-1</f>
        <v>0</v>
      </c>
    </row>
    <row r="507" spans="1:20">
      <c r="A507" s="352" t="s">
        <v>316</v>
      </c>
      <c r="C507" s="102">
        <v>443.92577717459744</v>
      </c>
      <c r="E507" s="102">
        <f>ROUND(C507*E509/C509,0)</f>
        <v>531</v>
      </c>
      <c r="G507" s="99">
        <v>72.5</v>
      </c>
      <c r="H507" s="353"/>
      <c r="I507" s="339">
        <f>ROUND(C507*$G507,0)</f>
        <v>32185</v>
      </c>
      <c r="K507" s="339">
        <f>ROUND(E507*$G507,0)</f>
        <v>38498</v>
      </c>
      <c r="M507" s="99">
        <f>MROUND(G507*(1+$R$510),0.5)</f>
        <v>72.5</v>
      </c>
      <c r="N507" s="353"/>
      <c r="O507" s="339">
        <f>ROUND(E507*M507,0)</f>
        <v>38498</v>
      </c>
      <c r="P507" s="339"/>
      <c r="Q507" s="358" t="s">
        <v>89</v>
      </c>
      <c r="R507" s="359">
        <f>('Baron Rate Spread'!M44)*1000</f>
        <v>1144626</v>
      </c>
      <c r="S507" s="429"/>
      <c r="T507" s="356">
        <f t="shared" si="136"/>
        <v>0</v>
      </c>
    </row>
    <row r="508" spans="1:20">
      <c r="A508" s="352" t="s">
        <v>317</v>
      </c>
      <c r="C508" s="441">
        <v>0</v>
      </c>
      <c r="E508" s="102">
        <f>ROUND(C508*E509/C509,0)</f>
        <v>0</v>
      </c>
      <c r="G508" s="99">
        <v>127.5</v>
      </c>
      <c r="H508" s="353"/>
      <c r="I508" s="339">
        <f>ROUND(C508*$G508,0)</f>
        <v>0</v>
      </c>
      <c r="K508" s="339">
        <f>ROUND(E508*$G508,0)</f>
        <v>0</v>
      </c>
      <c r="M508" s="99">
        <f>M506*5+M507</f>
        <v>127.5</v>
      </c>
      <c r="N508" s="353"/>
      <c r="O508" s="339">
        <f>ROUND(E508*M508,0)</f>
        <v>0</v>
      </c>
      <c r="P508" s="328"/>
      <c r="Q508" s="360" t="s">
        <v>91</v>
      </c>
      <c r="R508" s="361">
        <f>R507-R506</f>
        <v>0</v>
      </c>
      <c r="S508" s="429"/>
      <c r="T508" s="356">
        <f t="shared" si="136"/>
        <v>0</v>
      </c>
    </row>
    <row r="509" spans="1:20">
      <c r="A509" s="352" t="s">
        <v>318</v>
      </c>
      <c r="C509" s="102">
        <v>5405.0130932896909</v>
      </c>
      <c r="E509" s="102">
        <v>6467</v>
      </c>
      <c r="G509" s="99">
        <v>6.2</v>
      </c>
      <c r="H509" s="353"/>
      <c r="I509" s="339">
        <f>ROUND(C509*$G509,0)</f>
        <v>33511</v>
      </c>
      <c r="K509" s="339">
        <f>ROUND(E509*$G509,0)</f>
        <v>40095</v>
      </c>
      <c r="M509" s="99">
        <f>MROUND(G509*(1+$R$510),0.2)</f>
        <v>6.2</v>
      </c>
      <c r="N509" s="353"/>
      <c r="O509" s="339">
        <f>ROUND(E509*M509,0)</f>
        <v>40095</v>
      </c>
      <c r="P509" s="328"/>
      <c r="Q509" s="364" t="s">
        <v>94</v>
      </c>
      <c r="R509" s="398">
        <f>R506/(K512)-1</f>
        <v>0</v>
      </c>
      <c r="S509" s="429"/>
      <c r="T509" s="356">
        <f t="shared" si="136"/>
        <v>0</v>
      </c>
    </row>
    <row r="510" spans="1:20">
      <c r="A510" s="352" t="s">
        <v>319</v>
      </c>
      <c r="C510" s="102">
        <v>15432320</v>
      </c>
      <c r="E510" s="102">
        <v>15717486</v>
      </c>
      <c r="G510" s="420">
        <v>5.3437000000000001</v>
      </c>
      <c r="H510" s="363" t="s">
        <v>93</v>
      </c>
      <c r="I510" s="339">
        <f>ROUND(C510*$G510/100,0)</f>
        <v>824657</v>
      </c>
      <c r="K510" s="339">
        <f>ROUND(E510*$G510/100,0)</f>
        <v>839895</v>
      </c>
      <c r="M510" s="416">
        <f>ROUND((R507-SUM(O506:O509))/E510*100,4)</f>
        <v>5.3437000000000001</v>
      </c>
      <c r="N510" s="363" t="s">
        <v>93</v>
      </c>
      <c r="O510" s="339">
        <f>ROUND(E510*M510/100,0)</f>
        <v>839895</v>
      </c>
      <c r="P510" s="328"/>
      <c r="Q510" s="380" t="s">
        <v>96</v>
      </c>
      <c r="R510" s="401">
        <f>R507/(K512)-1</f>
        <v>0</v>
      </c>
      <c r="S510" s="429"/>
      <c r="T510" s="356">
        <f t="shared" si="136"/>
        <v>0</v>
      </c>
    </row>
    <row r="511" spans="1:20">
      <c r="A511" s="352" t="s">
        <v>320</v>
      </c>
      <c r="C511" s="103">
        <v>16904</v>
      </c>
      <c r="E511" s="103">
        <v>0</v>
      </c>
      <c r="I511" s="383">
        <v>1156</v>
      </c>
      <c r="K511" s="383">
        <v>0</v>
      </c>
      <c r="O511" s="383">
        <v>0</v>
      </c>
      <c r="P511" s="328"/>
      <c r="Q511" s="350" t="s">
        <v>115</v>
      </c>
      <c r="R511" s="411">
        <f>(O512)/(K512)-1</f>
        <v>0</v>
      </c>
      <c r="S511" s="429"/>
    </row>
    <row r="512" spans="1:20" ht="16.5" thickBot="1">
      <c r="A512" s="332" t="s">
        <v>266</v>
      </c>
      <c r="C512" s="400">
        <f>C510+C511</f>
        <v>15449224</v>
      </c>
      <c r="E512" s="400">
        <f>E510+E511</f>
        <v>15717486</v>
      </c>
      <c r="G512" s="393"/>
      <c r="I512" s="394">
        <f>SUM(I506:I511)</f>
        <v>1113539</v>
      </c>
      <c r="K512" s="394">
        <f>SUM(K506:K511)</f>
        <v>1144626</v>
      </c>
      <c r="M512" s="393"/>
      <c r="O512" s="394">
        <f>SUM(O506:O511)</f>
        <v>1144626</v>
      </c>
      <c r="P512" s="328"/>
      <c r="Q512" s="390"/>
      <c r="R512" s="429"/>
      <c r="S512" s="429"/>
    </row>
    <row r="513" spans="1:22" ht="16.5" thickTop="1">
      <c r="C513" s="102"/>
      <c r="E513" s="102"/>
      <c r="P513" s="328"/>
      <c r="Q513" s="429"/>
      <c r="R513" s="429"/>
      <c r="S513" s="429"/>
    </row>
    <row r="514" spans="1:22">
      <c r="A514" s="438" t="s">
        <v>321</v>
      </c>
      <c r="C514" s="102"/>
      <c r="E514" s="102"/>
      <c r="G514" s="333"/>
      <c r="I514" s="376"/>
      <c r="K514" s="376"/>
      <c r="M514" s="333"/>
      <c r="O514" s="376"/>
      <c r="P514" s="328"/>
      <c r="Q514" s="354" t="s">
        <v>87</v>
      </c>
      <c r="R514" s="355">
        <f>O518</f>
        <v>644825</v>
      </c>
      <c r="S514" s="429"/>
    </row>
    <row r="515" spans="1:22">
      <c r="A515" s="352" t="s">
        <v>322</v>
      </c>
      <c r="C515" s="102">
        <v>27365.473023923787</v>
      </c>
      <c r="E515" s="102">
        <v>29744</v>
      </c>
      <c r="G515" s="99">
        <v>5</v>
      </c>
      <c r="H515" s="353"/>
      <c r="I515" s="339">
        <f>ROUND(C515*$G515,0)</f>
        <v>136827</v>
      </c>
      <c r="K515" s="339">
        <f>ROUND(E515*$G515,0)</f>
        <v>148720</v>
      </c>
      <c r="M515" s="99">
        <f>MROUND(G515*(1+$R$518),0.5)</f>
        <v>5.5</v>
      </c>
      <c r="N515" s="353"/>
      <c r="O515" s="339">
        <f>ROUND(E515*M515,0)</f>
        <v>163592</v>
      </c>
      <c r="P515" s="328"/>
      <c r="Q515" s="358" t="s">
        <v>89</v>
      </c>
      <c r="R515" s="359">
        <f>('Baron Rate Spread'!M45)*1000</f>
        <v>644824</v>
      </c>
      <c r="S515" s="429"/>
      <c r="T515" s="356">
        <f t="shared" ref="T515:T516" si="137">M515/G515-1</f>
        <v>0.10000000000000009</v>
      </c>
    </row>
    <row r="516" spans="1:22">
      <c r="A516" s="352" t="s">
        <v>319</v>
      </c>
      <c r="C516" s="102">
        <v>5659986.0126479864</v>
      </c>
      <c r="E516" s="102">
        <v>5662763</v>
      </c>
      <c r="G516" s="421">
        <v>7.7024999999999997</v>
      </c>
      <c r="H516" s="363" t="s">
        <v>93</v>
      </c>
      <c r="I516" s="339">
        <f>ROUND(C516*$G516/100,0)</f>
        <v>435960</v>
      </c>
      <c r="K516" s="339">
        <f>ROUND(E516*$G516/100,0)</f>
        <v>436174</v>
      </c>
      <c r="M516" s="416">
        <f>ROUND((R515-O515)/E516*100,4)</f>
        <v>8.4982000000000006</v>
      </c>
      <c r="N516" s="363" t="s">
        <v>93</v>
      </c>
      <c r="O516" s="339">
        <f>ROUND(E516*M516/100,0)</f>
        <v>481233</v>
      </c>
      <c r="P516" s="328"/>
      <c r="Q516" s="360" t="s">
        <v>91</v>
      </c>
      <c r="R516" s="361">
        <f>R515-R514</f>
        <v>-1</v>
      </c>
      <c r="S516" s="429"/>
      <c r="T516" s="356">
        <f t="shared" si="137"/>
        <v>0.10330412203829931</v>
      </c>
    </row>
    <row r="517" spans="1:22">
      <c r="A517" s="352" t="s">
        <v>320</v>
      </c>
      <c r="C517" s="442">
        <v>65313</v>
      </c>
      <c r="E517" s="103">
        <v>0</v>
      </c>
      <c r="I517" s="383">
        <v>5342.9400000000023</v>
      </c>
      <c r="K517" s="383">
        <v>0</v>
      </c>
      <c r="O517" s="383">
        <v>0</v>
      </c>
      <c r="P517" s="339"/>
      <c r="Q517" s="364" t="s">
        <v>94</v>
      </c>
      <c r="R517" s="398">
        <f>R514/K518-1</f>
        <v>0.1024647201031299</v>
      </c>
      <c r="S517" s="429"/>
    </row>
    <row r="518" spans="1:22" ht="16.5" thickBot="1">
      <c r="A518" s="332" t="s">
        <v>266</v>
      </c>
      <c r="C518" s="400">
        <f>C516+C517</f>
        <v>5725299.0126479864</v>
      </c>
      <c r="E518" s="400">
        <f>E516+E517</f>
        <v>5662763</v>
      </c>
      <c r="G518" s="393"/>
      <c r="I518" s="394">
        <f>SUM(I515:I517)</f>
        <v>578129.93999999994</v>
      </c>
      <c r="K518" s="394">
        <f>SUM(K515:K517)</f>
        <v>584894</v>
      </c>
      <c r="M518" s="393"/>
      <c r="O518" s="394">
        <f>SUM(O515:O517)</f>
        <v>644825</v>
      </c>
      <c r="P518" s="328"/>
      <c r="Q518" s="380" t="s">
        <v>96</v>
      </c>
      <c r="R518" s="401">
        <f>R515/K518-1</f>
        <v>0.10246301039162642</v>
      </c>
    </row>
    <row r="519" spans="1:22" ht="16.5" thickTop="1">
      <c r="A519" s="352"/>
      <c r="C519" s="102"/>
      <c r="E519" s="102"/>
      <c r="G519" s="347"/>
      <c r="H519" s="443"/>
      <c r="I519" s="376"/>
      <c r="K519" s="376"/>
      <c r="M519" s="347"/>
      <c r="N519" s="443"/>
      <c r="O519" s="376"/>
      <c r="P519" s="328"/>
      <c r="Q519" s="328"/>
    </row>
    <row r="520" spans="1:22">
      <c r="A520" s="348" t="s">
        <v>323</v>
      </c>
      <c r="C520" s="102"/>
      <c r="E520" s="102"/>
      <c r="P520" s="328"/>
    </row>
    <row r="521" spans="1:22">
      <c r="A521" s="444" t="s">
        <v>324</v>
      </c>
      <c r="C521" s="102"/>
      <c r="E521" s="102"/>
      <c r="P521" s="384"/>
      <c r="Q521" s="99"/>
      <c r="R521" s="396"/>
    </row>
    <row r="522" spans="1:22">
      <c r="A522" s="352" t="s">
        <v>124</v>
      </c>
      <c r="C522" s="102">
        <v>35.9998974041822</v>
      </c>
      <c r="E522" s="357">
        <v>36</v>
      </c>
      <c r="G522" s="99">
        <v>110</v>
      </c>
      <c r="H522" s="353"/>
      <c r="I522" s="339">
        <f>ROUND($G522*C522,0)</f>
        <v>3960</v>
      </c>
      <c r="K522" s="339">
        <f>ROUND($G522*E522,0)</f>
        <v>3960</v>
      </c>
      <c r="M522" s="99">
        <f>ROUND(G522*(1+$R$533),0)</f>
        <v>125</v>
      </c>
      <c r="N522" s="353"/>
      <c r="O522" s="339">
        <f>ROUND(M522*$E522,0)</f>
        <v>4500</v>
      </c>
      <c r="P522" s="328"/>
      <c r="R522" s="396"/>
      <c r="S522" s="395"/>
      <c r="T522" s="356">
        <f t="shared" ref="T522:T525" si="138">M522/G522-1</f>
        <v>0.13636363636363646</v>
      </c>
    </row>
    <row r="523" spans="1:22">
      <c r="A523" s="352" t="s">
        <v>325</v>
      </c>
      <c r="C523" s="102">
        <v>9425.0011893749197</v>
      </c>
      <c r="E523" s="357">
        <f>ROUND(C523*$E$527/$C$527,0)</f>
        <v>9527</v>
      </c>
      <c r="G523" s="99">
        <v>3.75</v>
      </c>
      <c r="H523" s="353"/>
      <c r="I523" s="339">
        <f>ROUND($G523*C523,0)</f>
        <v>35344</v>
      </c>
      <c r="K523" s="339">
        <f>ROUND($G523*E523,0)</f>
        <v>35726</v>
      </c>
      <c r="M523" s="99">
        <f>ROUND(G523*(1+$R$534),2)</f>
        <v>4.25</v>
      </c>
      <c r="N523" s="353"/>
      <c r="O523" s="339">
        <f>ROUND(M523*$E523,0)</f>
        <v>40490</v>
      </c>
      <c r="P523" s="339"/>
      <c r="R523" s="396"/>
      <c r="S523" s="395"/>
      <c r="T523" s="356">
        <f t="shared" si="138"/>
        <v>0.1333333333333333</v>
      </c>
      <c r="V523" s="102"/>
    </row>
    <row r="524" spans="1:22">
      <c r="A524" s="352" t="s">
        <v>326</v>
      </c>
      <c r="C524" s="102">
        <v>486615</v>
      </c>
      <c r="E524" s="357">
        <f>ROUND(C524*($E$527-$E$526)/($C$527-$C$526),0)</f>
        <v>491863</v>
      </c>
      <c r="G524" s="445">
        <v>5.9694000000000003</v>
      </c>
      <c r="H524" s="363" t="s">
        <v>93</v>
      </c>
      <c r="I524" s="339">
        <f>ROUND($G524*C524/100,0)</f>
        <v>29048</v>
      </c>
      <c r="K524" s="339">
        <f>ROUND($G524*E524/100,0)</f>
        <v>29361</v>
      </c>
      <c r="M524" s="445">
        <f>ROUND(G524*(1+$R$534),4)</f>
        <v>6.7596999999999996</v>
      </c>
      <c r="N524" s="363" t="s">
        <v>93</v>
      </c>
      <c r="O524" s="339">
        <f>ROUND(M524*$E524/100,0)</f>
        <v>33248</v>
      </c>
      <c r="R524" s="396"/>
      <c r="S524" s="395"/>
      <c r="T524" s="356">
        <f t="shared" si="138"/>
        <v>0.13239186517907986</v>
      </c>
      <c r="U524" s="339"/>
    </row>
    <row r="525" spans="1:22">
      <c r="A525" s="352" t="s">
        <v>211</v>
      </c>
      <c r="C525" s="102">
        <v>0</v>
      </c>
      <c r="E525" s="357">
        <f>E527-E524</f>
        <v>0</v>
      </c>
      <c r="G525" s="445">
        <v>5.0122999999999998</v>
      </c>
      <c r="H525" s="363" t="s">
        <v>93</v>
      </c>
      <c r="I525" s="339">
        <f>ROUND($G525*C525/100,0)</f>
        <v>0</v>
      </c>
      <c r="K525" s="339">
        <f>ROUND($G525*E525/100,0)</f>
        <v>0</v>
      </c>
      <c r="M525" s="445">
        <f>ROUND(G525*(1+$R$534),4)</f>
        <v>5.6759000000000004</v>
      </c>
      <c r="N525" s="363" t="s">
        <v>93</v>
      </c>
      <c r="O525" s="339">
        <f>ROUND(M525*$E525/100,0)</f>
        <v>0</v>
      </c>
      <c r="P525" s="339"/>
      <c r="S525" s="395"/>
      <c r="T525" s="356">
        <f t="shared" si="138"/>
        <v>0.13239430999740653</v>
      </c>
      <c r="U525" s="339"/>
    </row>
    <row r="526" spans="1:22">
      <c r="A526" s="352" t="s">
        <v>112</v>
      </c>
      <c r="C526" s="103">
        <v>0</v>
      </c>
      <c r="E526" s="103">
        <v>0</v>
      </c>
      <c r="G526" s="445"/>
      <c r="H526" s="437"/>
      <c r="I526" s="383">
        <v>0</v>
      </c>
      <c r="K526" s="383"/>
      <c r="M526" s="445"/>
      <c r="N526" s="437"/>
      <c r="O526" s="383">
        <v>0</v>
      </c>
      <c r="P526" s="339"/>
      <c r="S526" s="384"/>
      <c r="T526" s="395"/>
      <c r="U526" s="339"/>
      <c r="V526" s="102"/>
    </row>
    <row r="527" spans="1:22">
      <c r="A527" s="352" t="s">
        <v>327</v>
      </c>
      <c r="C527" s="102">
        <f>C525+C524+C526</f>
        <v>486615</v>
      </c>
      <c r="E527" s="102">
        <f>ROUND(E535*C527/(C535-C533),0)</f>
        <v>491863</v>
      </c>
      <c r="G527" s="397"/>
      <c r="H527" s="405"/>
      <c r="I527" s="339">
        <f>SUM(I522:I526)</f>
        <v>68352</v>
      </c>
      <c r="K527" s="339">
        <f>SUM(K522:K526)</f>
        <v>69047</v>
      </c>
      <c r="M527" s="397"/>
      <c r="N527" s="405"/>
      <c r="O527" s="339">
        <f>SUM(O522:O526)</f>
        <v>78238</v>
      </c>
      <c r="P527" s="339"/>
      <c r="T527" s="395"/>
      <c r="U527" s="339"/>
      <c r="V527" s="102"/>
    </row>
    <row r="528" spans="1:22">
      <c r="A528" s="444" t="s">
        <v>328</v>
      </c>
      <c r="C528" s="102"/>
      <c r="E528" s="357"/>
      <c r="G528" s="397"/>
      <c r="H528" s="405"/>
      <c r="M528" s="397"/>
      <c r="N528" s="405"/>
      <c r="P528" s="339"/>
      <c r="Q528" s="99"/>
      <c r="R528" s="396"/>
      <c r="T528" s="384"/>
      <c r="U528" s="384"/>
      <c r="V528" s="102"/>
    </row>
    <row r="529" spans="1:22">
      <c r="A529" s="352" t="s">
        <v>124</v>
      </c>
      <c r="C529" s="102">
        <v>24.000005687496902</v>
      </c>
      <c r="E529" s="357">
        <v>24</v>
      </c>
      <c r="G529" s="99">
        <v>110</v>
      </c>
      <c r="H529" s="353"/>
      <c r="I529" s="339">
        <f>ROUND($G529*C529,0)</f>
        <v>2640</v>
      </c>
      <c r="K529" s="339">
        <f>ROUND($G529*E529,0)</f>
        <v>2640</v>
      </c>
      <c r="M529" s="99">
        <f>M522</f>
        <v>125</v>
      </c>
      <c r="N529" s="353"/>
      <c r="O529" s="339">
        <f>ROUND(M529*$E529,0)</f>
        <v>3000</v>
      </c>
      <c r="P529" s="376"/>
      <c r="Q529" s="354" t="s">
        <v>87</v>
      </c>
      <c r="R529" s="355">
        <f>O535</f>
        <v>388199</v>
      </c>
      <c r="T529" s="356">
        <f t="shared" ref="T529:T532" si="139">M529/G529-1</f>
        <v>0.13636363636363646</v>
      </c>
      <c r="U529" s="339"/>
      <c r="V529" s="102"/>
    </row>
    <row r="530" spans="1:22">
      <c r="A530" s="352" t="s">
        <v>325</v>
      </c>
      <c r="C530" s="102">
        <v>37930</v>
      </c>
      <c r="E530" s="357">
        <f>ROUND(C530*$E$534/$C$534,0)</f>
        <v>38097</v>
      </c>
      <c r="G530" s="99">
        <v>3.75</v>
      </c>
      <c r="H530" s="353"/>
      <c r="I530" s="339">
        <f>ROUND($G530*C530,0)</f>
        <v>142238</v>
      </c>
      <c r="K530" s="339">
        <f>ROUND($G530*E530,0)</f>
        <v>142864</v>
      </c>
      <c r="M530" s="99">
        <f>M523</f>
        <v>4.25</v>
      </c>
      <c r="N530" s="353"/>
      <c r="O530" s="339">
        <f>ROUND(M530*$E530,0)</f>
        <v>161912</v>
      </c>
      <c r="P530" s="339"/>
      <c r="Q530" s="358" t="s">
        <v>89</v>
      </c>
      <c r="R530" s="359">
        <f>'Baron Rate Spread'!M31*1000</f>
        <v>388198.99999999994</v>
      </c>
      <c r="T530" s="356">
        <f t="shared" si="139"/>
        <v>0.1333333333333333</v>
      </c>
    </row>
    <row r="531" spans="1:22">
      <c r="A531" s="352" t="s">
        <v>326</v>
      </c>
      <c r="C531" s="102">
        <v>2243230</v>
      </c>
      <c r="E531" s="357">
        <f>ROUND(C531*($E$534-$E$533)/($C$534-$C$533),0)</f>
        <v>2267423</v>
      </c>
      <c r="G531" s="445">
        <v>4.6963999999999997</v>
      </c>
      <c r="H531" s="363" t="s">
        <v>93</v>
      </c>
      <c r="I531" s="339">
        <f>ROUND($G531*C531/100,0)</f>
        <v>105351</v>
      </c>
      <c r="K531" s="339">
        <f>ROUND($G531*E531/100,0)</f>
        <v>106487</v>
      </c>
      <c r="M531" s="445">
        <f>ROUND(G531*(1+$R$534),4)</f>
        <v>5.3181000000000003</v>
      </c>
      <c r="N531" s="363" t="s">
        <v>93</v>
      </c>
      <c r="O531" s="339">
        <f>ROUND(M531*$E531/100,0)</f>
        <v>120584</v>
      </c>
      <c r="P531" s="376"/>
      <c r="Q531" s="360" t="s">
        <v>91</v>
      </c>
      <c r="R531" s="361">
        <f>R530-R529</f>
        <v>0</v>
      </c>
      <c r="T531" s="356">
        <f t="shared" si="139"/>
        <v>0.13237799165318132</v>
      </c>
      <c r="U531" s="339"/>
      <c r="V531" s="384"/>
    </row>
    <row r="532" spans="1:22">
      <c r="A532" s="352" t="s">
        <v>211</v>
      </c>
      <c r="C532" s="102">
        <v>523012</v>
      </c>
      <c r="E532" s="357">
        <f>E534-E531</f>
        <v>528653</v>
      </c>
      <c r="G532" s="445">
        <v>4.1148999999999996</v>
      </c>
      <c r="H532" s="363" t="s">
        <v>93</v>
      </c>
      <c r="I532" s="339">
        <f>ROUND($G532*C532/100,0)</f>
        <v>21521</v>
      </c>
      <c r="K532" s="339">
        <f>ROUND($G532*E532/100,0)</f>
        <v>21754</v>
      </c>
      <c r="M532" s="445">
        <f>ROUND((R530-SUM(O527,O529:O531))/E532*100,4)</f>
        <v>4.6277999999999997</v>
      </c>
      <c r="N532" s="363" t="s">
        <v>93</v>
      </c>
      <c r="O532" s="339">
        <f>ROUND(M532*$E532/100,0)</f>
        <v>24465</v>
      </c>
      <c r="P532" s="376"/>
      <c r="Q532" s="364" t="s">
        <v>94</v>
      </c>
      <c r="R532" s="398">
        <f>R529/K535-1</f>
        <v>0.13246225116105403</v>
      </c>
      <c r="T532" s="356">
        <f t="shared" si="139"/>
        <v>0.12464458431553638</v>
      </c>
      <c r="V532" s="384"/>
    </row>
    <row r="533" spans="1:22">
      <c r="A533" s="352" t="s">
        <v>112</v>
      </c>
      <c r="C533" s="103">
        <v>17596</v>
      </c>
      <c r="E533" s="103">
        <v>0</v>
      </c>
      <c r="G533" s="445"/>
      <c r="H533" s="437"/>
      <c r="I533" s="383">
        <v>803</v>
      </c>
      <c r="K533" s="383">
        <v>0</v>
      </c>
      <c r="M533" s="445"/>
      <c r="N533" s="437"/>
      <c r="O533" s="383">
        <v>0</v>
      </c>
      <c r="P533" s="376"/>
      <c r="Q533" s="368" t="s">
        <v>96</v>
      </c>
      <c r="R533" s="399">
        <f>R530/K535-1</f>
        <v>0.13246225116105381</v>
      </c>
      <c r="S533" s="446"/>
      <c r="V533" s="384"/>
    </row>
    <row r="534" spans="1:22">
      <c r="A534" s="352" t="s">
        <v>327</v>
      </c>
      <c r="C534" s="102">
        <f>C532+C531+C533</f>
        <v>2783838</v>
      </c>
      <c r="E534" s="102">
        <f>E535-E527</f>
        <v>2796076</v>
      </c>
      <c r="G534" s="397"/>
      <c r="H534" s="405"/>
      <c r="I534" s="339">
        <f>SUM(I529:I533)</f>
        <v>272553</v>
      </c>
      <c r="K534" s="339">
        <f>SUM(K529:K533)</f>
        <v>273745</v>
      </c>
      <c r="M534" s="397"/>
      <c r="N534" s="405"/>
      <c r="O534" s="339">
        <f>SUM(O529:O533)</f>
        <v>309961</v>
      </c>
      <c r="Q534" s="368" t="s">
        <v>132</v>
      </c>
      <c r="R534" s="399">
        <f>(R530-O522-O529)/(K535-K522-K529)-1</f>
        <v>0.13238566057490941</v>
      </c>
      <c r="S534" s="446"/>
    </row>
    <row r="535" spans="1:22" ht="16.5" thickBot="1">
      <c r="A535" s="352" t="s">
        <v>113</v>
      </c>
      <c r="C535" s="400">
        <f>C534+C527</f>
        <v>3270453</v>
      </c>
      <c r="E535" s="400">
        <v>3287939</v>
      </c>
      <c r="G535" s="393"/>
      <c r="I535" s="394">
        <f>I534+I527</f>
        <v>340905</v>
      </c>
      <c r="K535" s="394">
        <f>K534+K527</f>
        <v>342792</v>
      </c>
      <c r="M535" s="393"/>
      <c r="O535" s="394">
        <f>O534+O527</f>
        <v>388199</v>
      </c>
      <c r="Q535" s="380" t="s">
        <v>115</v>
      </c>
      <c r="R535" s="401">
        <f>(O535)/(K535)-1</f>
        <v>0.13246225116105403</v>
      </c>
      <c r="S535" s="447"/>
      <c r="T535" s="446"/>
      <c r="U535" s="339"/>
    </row>
    <row r="536" spans="1:22" ht="16.5" thickTop="1">
      <c r="C536" s="102"/>
      <c r="E536" s="102"/>
      <c r="P536" s="339"/>
      <c r="R536" s="356"/>
      <c r="S536" s="446"/>
      <c r="T536" s="446"/>
      <c r="U536" s="339"/>
      <c r="V536" s="102"/>
    </row>
    <row r="537" spans="1:22">
      <c r="A537" s="348" t="s">
        <v>329</v>
      </c>
      <c r="C537" s="102"/>
      <c r="E537" s="102"/>
      <c r="P537" s="339"/>
      <c r="S537" s="446"/>
      <c r="T537" s="446"/>
      <c r="U537" s="339"/>
      <c r="V537" s="102"/>
    </row>
    <row r="538" spans="1:22">
      <c r="A538" s="352" t="s">
        <v>124</v>
      </c>
      <c r="C538" s="102">
        <f t="shared" ref="C538:C548" si="140">C551+C564+C577</f>
        <v>936895.49910296593</v>
      </c>
      <c r="E538" s="102">
        <f t="shared" ref="E538:E548" si="141">E551+E564+E577</f>
        <v>936624</v>
      </c>
      <c r="G538" s="99">
        <v>9</v>
      </c>
      <c r="H538" s="353"/>
      <c r="I538" s="339">
        <f>ROUND($G538*C538,0)</f>
        <v>8432059</v>
      </c>
      <c r="K538" s="339">
        <f>ROUND($G538*E538,0)</f>
        <v>8429616</v>
      </c>
      <c r="M538" s="99">
        <v>10</v>
      </c>
      <c r="N538" s="353"/>
      <c r="O538" s="339">
        <f>ROUND(M538*$E538,0)</f>
        <v>9366240</v>
      </c>
      <c r="P538" s="339"/>
      <c r="Q538" s="354" t="s">
        <v>87</v>
      </c>
      <c r="R538" s="355">
        <f>O548</f>
        <v>139309003</v>
      </c>
      <c r="S538" s="395"/>
      <c r="T538" s="356">
        <f t="shared" ref="T538:T546" si="142">M538/G538-1</f>
        <v>0.11111111111111116</v>
      </c>
      <c r="U538" s="339"/>
      <c r="V538" s="102"/>
    </row>
    <row r="539" spans="1:22">
      <c r="A539" s="352" t="s">
        <v>330</v>
      </c>
      <c r="C539" s="102">
        <f t="shared" si="140"/>
        <v>353117.34130480402</v>
      </c>
      <c r="E539" s="102">
        <f t="shared" si="141"/>
        <v>375308</v>
      </c>
      <c r="G539" s="99">
        <v>8</v>
      </c>
      <c r="H539" s="353"/>
      <c r="I539" s="339">
        <f>ROUND($G539*C539,0)</f>
        <v>2824939</v>
      </c>
      <c r="K539" s="339">
        <f>ROUND($G539*E539,0)</f>
        <v>3002464</v>
      </c>
      <c r="M539" s="99">
        <f>MROUND(G539*(1+$R$543),0.05)</f>
        <v>8.5500000000000007</v>
      </c>
      <c r="N539" s="353"/>
      <c r="O539" s="339">
        <f>ROUND(M539*$E539,0)</f>
        <v>3208883</v>
      </c>
      <c r="P539" s="339"/>
      <c r="Q539" s="358" t="s">
        <v>89</v>
      </c>
      <c r="R539" s="359">
        <f>'Baron Rate Spread'!M32*1000</f>
        <v>139310604</v>
      </c>
      <c r="T539" s="356">
        <f t="shared" si="142"/>
        <v>6.8750000000000089E-2</v>
      </c>
      <c r="U539" s="339"/>
      <c r="V539" s="102"/>
    </row>
    <row r="540" spans="1:22">
      <c r="A540" s="352" t="s">
        <v>331</v>
      </c>
      <c r="C540" s="102">
        <f t="shared" si="140"/>
        <v>342382.52739725821</v>
      </c>
      <c r="E540" s="102">
        <f t="shared" si="141"/>
        <v>363172</v>
      </c>
      <c r="G540" s="99">
        <v>8.0500000000000007</v>
      </c>
      <c r="H540" s="353"/>
      <c r="I540" s="339">
        <f>ROUND($G540*C540,0)</f>
        <v>2756179</v>
      </c>
      <c r="K540" s="339">
        <f>ROUND($G540*E540,0)</f>
        <v>2923535</v>
      </c>
      <c r="M540" s="99">
        <f>MROUND(G540*(1+$R$543),0.05)</f>
        <v>8.6</v>
      </c>
      <c r="N540" s="353"/>
      <c r="O540" s="339">
        <f>ROUND(M540*$E540,0)</f>
        <v>3123279</v>
      </c>
      <c r="P540" s="339"/>
      <c r="Q540" s="360" t="s">
        <v>91</v>
      </c>
      <c r="R540" s="361">
        <f>R539-R538</f>
        <v>1601</v>
      </c>
      <c r="T540" s="356">
        <f t="shared" si="142"/>
        <v>6.8322981366459423E-2</v>
      </c>
      <c r="U540" s="339"/>
      <c r="V540" s="102"/>
    </row>
    <row r="541" spans="1:22">
      <c r="A541" s="352" t="s">
        <v>127</v>
      </c>
      <c r="C541" s="102">
        <f t="shared" si="140"/>
        <v>9659.4878048780502</v>
      </c>
      <c r="E541" s="102">
        <f t="shared" si="141"/>
        <v>9858</v>
      </c>
      <c r="G541" s="99">
        <v>-0.45</v>
      </c>
      <c r="H541" s="353"/>
      <c r="I541" s="339">
        <f>ROUND($G541*C541,0)</f>
        <v>-4347</v>
      </c>
      <c r="K541" s="339">
        <f>ROUND($G541*E541,0)</f>
        <v>-4436</v>
      </c>
      <c r="M541" s="99">
        <f>ROUND(G541*(1+$R$543),2)</f>
        <v>-0.48</v>
      </c>
      <c r="N541" s="353"/>
      <c r="O541" s="339">
        <f>ROUND(M541*$E541,0)</f>
        <v>-4732</v>
      </c>
      <c r="P541" s="339"/>
      <c r="Q541" s="364" t="s">
        <v>94</v>
      </c>
      <c r="R541" s="398">
        <f>R538/(K548)-1</f>
        <v>7.2449910299173359E-2</v>
      </c>
      <c r="T541" s="356">
        <f t="shared" si="142"/>
        <v>6.6666666666666652E-2</v>
      </c>
      <c r="U541" s="339"/>
      <c r="V541" s="102"/>
    </row>
    <row r="542" spans="1:22">
      <c r="A542" s="352" t="s">
        <v>332</v>
      </c>
      <c r="C542" s="102">
        <f t="shared" si="140"/>
        <v>287782082.50469536</v>
      </c>
      <c r="E542" s="102">
        <f t="shared" si="141"/>
        <v>307226245</v>
      </c>
      <c r="G542" s="372">
        <v>10.8148</v>
      </c>
      <c r="H542" s="363" t="s">
        <v>93</v>
      </c>
      <c r="I542" s="339">
        <f>ROUND($G542*C542/100,0)</f>
        <v>31123057</v>
      </c>
      <c r="K542" s="339">
        <f>ROUND($G542*E542/100,0)</f>
        <v>33225904</v>
      </c>
      <c r="M542" s="372">
        <f>ROUND(G542*(1+$R$543),4)</f>
        <v>11.5695</v>
      </c>
      <c r="N542" s="363" t="s">
        <v>93</v>
      </c>
      <c r="O542" s="339">
        <f>ROUND(M542*$E542/100,0)</f>
        <v>35544540</v>
      </c>
      <c r="P542" s="339"/>
      <c r="Q542" s="368" t="s">
        <v>96</v>
      </c>
      <c r="R542" s="399">
        <f>R539/(K548)-1</f>
        <v>7.2462235362661165E-2</v>
      </c>
      <c r="T542" s="356">
        <f t="shared" si="142"/>
        <v>6.9783999704109201E-2</v>
      </c>
      <c r="U542" s="339"/>
      <c r="V542" s="102"/>
    </row>
    <row r="543" spans="1:22">
      <c r="A543" s="352" t="s">
        <v>333</v>
      </c>
      <c r="C543" s="102">
        <f t="shared" si="140"/>
        <v>291287410.4946968</v>
      </c>
      <c r="E543" s="102">
        <f t="shared" si="141"/>
        <v>310947215</v>
      </c>
      <c r="G543" s="372">
        <v>6.0632000000000001</v>
      </c>
      <c r="H543" s="363" t="s">
        <v>93</v>
      </c>
      <c r="I543" s="339">
        <f>ROUND($G543*C543/100,0)</f>
        <v>17661338</v>
      </c>
      <c r="K543" s="339">
        <f>ROUND($G543*E543/100,0)</f>
        <v>18853352</v>
      </c>
      <c r="M543" s="372">
        <f t="shared" ref="M543:M544" si="143">ROUND(G543*(1+$R$543),4)</f>
        <v>6.4863</v>
      </c>
      <c r="N543" s="363" t="s">
        <v>93</v>
      </c>
      <c r="O543" s="339">
        <f>ROUND(M543*$E543/100,0)</f>
        <v>20168969</v>
      </c>
      <c r="P543" s="376"/>
      <c r="Q543" s="368" t="s">
        <v>132</v>
      </c>
      <c r="R543" s="399">
        <f>(R539-O538-O546)/(K548-K538-K546)-1</f>
        <v>6.9780093645012364E-2</v>
      </c>
      <c r="T543" s="356">
        <f t="shared" si="142"/>
        <v>6.9781633460878734E-2</v>
      </c>
      <c r="V543" s="102"/>
    </row>
    <row r="544" spans="1:22">
      <c r="A544" s="352" t="s">
        <v>334</v>
      </c>
      <c r="C544" s="102">
        <f t="shared" si="140"/>
        <v>402052099.07194877</v>
      </c>
      <c r="E544" s="102">
        <f t="shared" si="141"/>
        <v>429169061</v>
      </c>
      <c r="G544" s="372">
        <v>9.9543999999999997</v>
      </c>
      <c r="H544" s="363" t="s">
        <v>93</v>
      </c>
      <c r="I544" s="339">
        <f>ROUND($G544*C544/100,0)</f>
        <v>40021874</v>
      </c>
      <c r="K544" s="339">
        <f>ROUND($G544*E544/100,0)</f>
        <v>42721205</v>
      </c>
      <c r="M544" s="372">
        <f t="shared" si="143"/>
        <v>10.648999999999999</v>
      </c>
      <c r="N544" s="363" t="s">
        <v>93</v>
      </c>
      <c r="O544" s="339">
        <f>ROUND(M544*$E544/100,0)</f>
        <v>45702213</v>
      </c>
      <c r="P544" s="376"/>
      <c r="Q544" s="380" t="s">
        <v>100</v>
      </c>
      <c r="R544" s="401">
        <f>M538/G538-1</f>
        <v>0.11111111111111116</v>
      </c>
      <c r="S544" s="384"/>
      <c r="T544" s="356">
        <f t="shared" si="142"/>
        <v>6.977818853974127E-2</v>
      </c>
      <c r="U544" s="339"/>
    </row>
    <row r="545" spans="1:22">
      <c r="A545" s="352" t="s">
        <v>335</v>
      </c>
      <c r="C545" s="102">
        <f t="shared" si="140"/>
        <v>348709197.85514063</v>
      </c>
      <c r="E545" s="102">
        <f t="shared" si="141"/>
        <v>371983628.63277793</v>
      </c>
      <c r="G545" s="372">
        <v>5.5771999999999995</v>
      </c>
      <c r="H545" s="363" t="s">
        <v>93</v>
      </c>
      <c r="I545" s="339">
        <f>ROUND($G545*C545/100,0)</f>
        <v>19448209</v>
      </c>
      <c r="K545" s="339">
        <f>ROUND($G545*E545/100,0)</f>
        <v>20746271</v>
      </c>
      <c r="M545" s="372">
        <f>ROUND((R539-SUM(O538:O544,O546))/(E545)*100,4)+R545</f>
        <v>5.9679000000000002</v>
      </c>
      <c r="N545" s="363" t="s">
        <v>93</v>
      </c>
      <c r="O545" s="339">
        <f>ROUND(M545*$E545/100,0)</f>
        <v>22199611</v>
      </c>
      <c r="P545" s="376"/>
      <c r="Q545" s="448" t="s">
        <v>336</v>
      </c>
      <c r="R545" s="449">
        <v>-4.0000000000000002E-4</v>
      </c>
      <c r="T545" s="356">
        <f t="shared" si="142"/>
        <v>7.005307322670884E-2</v>
      </c>
      <c r="U545" s="339"/>
    </row>
    <row r="546" spans="1:22">
      <c r="A546" s="352" t="s">
        <v>131</v>
      </c>
      <c r="C546" s="102">
        <f t="shared" si="140"/>
        <v>0</v>
      </c>
      <c r="E546" s="102">
        <f t="shared" si="141"/>
        <v>0</v>
      </c>
      <c r="G546" s="99">
        <v>108</v>
      </c>
      <c r="H546" s="353"/>
      <c r="I546" s="339">
        <f>ROUND($G546*C546,0)</f>
        <v>0</v>
      </c>
      <c r="K546" s="339">
        <f>ROUND($G546*E546,0)</f>
        <v>0</v>
      </c>
      <c r="M546" s="99">
        <f>M538*12</f>
        <v>120</v>
      </c>
      <c r="N546" s="353"/>
      <c r="O546" s="339">
        <f>ROUND(M546*$E546,0)</f>
        <v>0</v>
      </c>
      <c r="P546" s="376"/>
      <c r="Q546" s="448" t="s">
        <v>337</v>
      </c>
      <c r="R546" s="449"/>
      <c r="T546" s="356">
        <f t="shared" si="142"/>
        <v>0.11111111111111116</v>
      </c>
      <c r="U546" s="384"/>
    </row>
    <row r="547" spans="1:22">
      <c r="A547" s="352" t="s">
        <v>112</v>
      </c>
      <c r="C547" s="103">
        <f t="shared" si="140"/>
        <v>4448526</v>
      </c>
      <c r="E547" s="103">
        <f t="shared" si="141"/>
        <v>0</v>
      </c>
      <c r="I547" s="383">
        <f>I560+I573+I586</f>
        <v>177720.54</v>
      </c>
      <c r="K547" s="383">
        <f>K560+K573+K586</f>
        <v>0</v>
      </c>
      <c r="O547" s="383">
        <f>O560+O573+O586</f>
        <v>0</v>
      </c>
      <c r="Q547" s="364" t="s">
        <v>45</v>
      </c>
      <c r="R547" s="450">
        <f>'SJB-2'!O51</f>
        <v>172268.69499999995</v>
      </c>
    </row>
    <row r="548" spans="1:22" ht="16.5" thickBot="1">
      <c r="A548" s="352" t="s">
        <v>113</v>
      </c>
      <c r="C548" s="400">
        <f t="shared" si="140"/>
        <v>1334279315.9264817</v>
      </c>
      <c r="E548" s="400">
        <f t="shared" si="141"/>
        <v>1419326149.6327779</v>
      </c>
      <c r="G548" s="393"/>
      <c r="I548" s="394">
        <f>SUM(I538:I547)</f>
        <v>122441028.54000001</v>
      </c>
      <c r="K548" s="394">
        <f>SUM(K538:K547)</f>
        <v>129897911</v>
      </c>
      <c r="M548" s="393"/>
      <c r="O548" s="394">
        <f>SUM(O538:O547)</f>
        <v>139309003</v>
      </c>
      <c r="Q548" s="368" t="s">
        <v>89</v>
      </c>
      <c r="R548" s="451">
        <f>'Baron Rate Spread'!O51</f>
        <v>172267.33899999998</v>
      </c>
    </row>
    <row r="549" spans="1:22" ht="16.5" thickTop="1">
      <c r="C549" s="102"/>
      <c r="E549" s="102"/>
      <c r="P549" s="339"/>
    </row>
    <row r="550" spans="1:22">
      <c r="A550" s="348" t="s">
        <v>338</v>
      </c>
      <c r="C550" s="102"/>
      <c r="E550" s="102"/>
      <c r="P550" s="339"/>
    </row>
    <row r="551" spans="1:22">
      <c r="A551" s="352" t="s">
        <v>124</v>
      </c>
      <c r="C551" s="102">
        <v>893551.26743629947</v>
      </c>
      <c r="E551" s="357">
        <v>895282</v>
      </c>
      <c r="G551" s="375">
        <v>9</v>
      </c>
      <c r="H551" s="374"/>
      <c r="I551" s="339">
        <f>ROUND($G551*C551,0)</f>
        <v>8041961</v>
      </c>
      <c r="K551" s="339">
        <f>ROUND($G551*E551,0)</f>
        <v>8057538</v>
      </c>
      <c r="M551" s="375">
        <f t="shared" ref="M551:M559" si="144">M538</f>
        <v>10</v>
      </c>
      <c r="N551" s="374"/>
      <c r="O551" s="339">
        <f>ROUND(M551*$E551,0)</f>
        <v>8952820</v>
      </c>
      <c r="P551" s="339"/>
      <c r="Q551" s="452"/>
      <c r="T551" s="356">
        <f t="shared" ref="T551:T559" si="145">M551/G551-1</f>
        <v>0.11111111111111116</v>
      </c>
    </row>
    <row r="552" spans="1:22">
      <c r="A552" s="352" t="s">
        <v>330</v>
      </c>
      <c r="C552" s="102">
        <v>333640.18205368164</v>
      </c>
      <c r="E552" s="357">
        <f>ROUND(E$561*C552/C$561,0)</f>
        <v>356373</v>
      </c>
      <c r="G552" s="375">
        <v>8</v>
      </c>
      <c r="H552" s="374"/>
      <c r="I552" s="339">
        <f>ROUND($G552*C552,0)</f>
        <v>2669121</v>
      </c>
      <c r="K552" s="339">
        <f>ROUND($G552*E552,0)</f>
        <v>2850984</v>
      </c>
      <c r="M552" s="375">
        <f t="shared" si="144"/>
        <v>8.5500000000000007</v>
      </c>
      <c r="N552" s="374"/>
      <c r="O552" s="339">
        <f>ROUND(M552*$E552,0)</f>
        <v>3046989</v>
      </c>
      <c r="P552" s="339"/>
      <c r="Q552" s="99"/>
      <c r="T552" s="356">
        <f t="shared" si="145"/>
        <v>6.8750000000000089E-2</v>
      </c>
    </row>
    <row r="553" spans="1:22">
      <c r="A553" s="352" t="s">
        <v>331</v>
      </c>
      <c r="C553" s="102">
        <v>315926.49178081978</v>
      </c>
      <c r="E553" s="357">
        <f>ROUND(E$561*C553/C$561,0)</f>
        <v>337453</v>
      </c>
      <c r="G553" s="375">
        <v>8.0500000000000007</v>
      </c>
      <c r="H553" s="374"/>
      <c r="I553" s="339">
        <f>ROUND($G553*C553,0)</f>
        <v>2543208</v>
      </c>
      <c r="K553" s="339">
        <f>ROUND($G553*E553,0)</f>
        <v>2716497</v>
      </c>
      <c r="M553" s="375">
        <f t="shared" si="144"/>
        <v>8.6</v>
      </c>
      <c r="N553" s="374"/>
      <c r="O553" s="339">
        <f>ROUND(M553*$E553,0)</f>
        <v>2902096</v>
      </c>
      <c r="P553" s="339"/>
      <c r="Q553" s="99"/>
      <c r="T553" s="356">
        <f t="shared" si="145"/>
        <v>6.8322981366459423E-2</v>
      </c>
    </row>
    <row r="554" spans="1:22">
      <c r="A554" s="352" t="s">
        <v>127</v>
      </c>
      <c r="C554" s="102">
        <v>4870.3658536585399</v>
      </c>
      <c r="E554" s="357">
        <f>ROUND(E$561*C554/C$561,0)</f>
        <v>5202</v>
      </c>
      <c r="G554" s="375">
        <v>-0.45</v>
      </c>
      <c r="H554" s="374"/>
      <c r="I554" s="339">
        <f>ROUND($G554*C554,0)</f>
        <v>-2192</v>
      </c>
      <c r="K554" s="339">
        <f>ROUND($G554*E554,0)</f>
        <v>-2341</v>
      </c>
      <c r="M554" s="375">
        <f t="shared" si="144"/>
        <v>-0.48</v>
      </c>
      <c r="N554" s="374"/>
      <c r="O554" s="339">
        <f>ROUND(M554*$E554,0)</f>
        <v>-2497</v>
      </c>
      <c r="P554" s="339"/>
      <c r="Q554" s="99"/>
      <c r="T554" s="356">
        <f t="shared" si="145"/>
        <v>6.6666666666666652E-2</v>
      </c>
    </row>
    <row r="555" spans="1:22">
      <c r="A555" s="352" t="s">
        <v>332</v>
      </c>
      <c r="C555" s="102">
        <v>275435982.48673129</v>
      </c>
      <c r="E555" s="357">
        <f>ROUND(E$561*C555/SUM(C$555:C$558),0)</f>
        <v>295159202</v>
      </c>
      <c r="G555" s="397">
        <v>10.8148</v>
      </c>
      <c r="H555" s="363" t="s">
        <v>93</v>
      </c>
      <c r="I555" s="339">
        <f>ROUND($G555*C555/100,0)</f>
        <v>29787851</v>
      </c>
      <c r="K555" s="339">
        <f>ROUND($G555*E555/100,0)</f>
        <v>31920877</v>
      </c>
      <c r="M555" s="397">
        <f t="shared" si="144"/>
        <v>11.5695</v>
      </c>
      <c r="N555" s="363" t="s">
        <v>93</v>
      </c>
      <c r="O555" s="339">
        <f>ROUND(M555*$E555/100,0)</f>
        <v>34148444</v>
      </c>
      <c r="P555" s="339"/>
      <c r="R555" s="396"/>
      <c r="S555" s="384"/>
      <c r="T555" s="356">
        <f t="shared" si="145"/>
        <v>6.9783999704109201E-2</v>
      </c>
    </row>
    <row r="556" spans="1:22">
      <c r="A556" s="352" t="s">
        <v>333</v>
      </c>
      <c r="C556" s="102">
        <v>278570838.7083348</v>
      </c>
      <c r="E556" s="357">
        <f>ROUND(E$561*C556/SUM(C$555:C$558),0)</f>
        <v>298518536</v>
      </c>
      <c r="G556" s="397">
        <v>6.0632000000000001</v>
      </c>
      <c r="H556" s="363" t="s">
        <v>93</v>
      </c>
      <c r="I556" s="339">
        <f>ROUND($G556*C556/100,0)</f>
        <v>16890307</v>
      </c>
      <c r="K556" s="339">
        <f>ROUND($G556*E556/100,0)</f>
        <v>18099776</v>
      </c>
      <c r="M556" s="397">
        <f t="shared" si="144"/>
        <v>6.4863</v>
      </c>
      <c r="N556" s="363" t="s">
        <v>93</v>
      </c>
      <c r="O556" s="339">
        <f>ROUND(M556*$E556/100,0)</f>
        <v>19362808</v>
      </c>
      <c r="P556" s="376"/>
      <c r="Q556" s="99"/>
      <c r="R556" s="396"/>
      <c r="T556" s="356">
        <f t="shared" si="145"/>
        <v>6.9781633460878734E-2</v>
      </c>
    </row>
    <row r="557" spans="1:22">
      <c r="A557" s="352" t="s">
        <v>334</v>
      </c>
      <c r="C557" s="102">
        <v>384290562.06545526</v>
      </c>
      <c r="E557" s="357">
        <f>ROUND(E$561*C557/SUM(C$555:C$558),0)</f>
        <v>411808561</v>
      </c>
      <c r="G557" s="397">
        <v>9.9543999999999997</v>
      </c>
      <c r="H557" s="363" t="s">
        <v>93</v>
      </c>
      <c r="I557" s="339">
        <f>ROUND($G557*C557/100,0)</f>
        <v>38253820</v>
      </c>
      <c r="K557" s="339">
        <f>ROUND($G557*E557/100,0)</f>
        <v>40993071</v>
      </c>
      <c r="M557" s="397">
        <f t="shared" si="144"/>
        <v>10.648999999999999</v>
      </c>
      <c r="N557" s="363" t="s">
        <v>93</v>
      </c>
      <c r="O557" s="339">
        <f>ROUND(M557*$E557/100,0)</f>
        <v>43853494</v>
      </c>
      <c r="P557" s="376"/>
      <c r="R557" s="396"/>
      <c r="T557" s="356">
        <f t="shared" si="145"/>
        <v>6.977818853974127E-2</v>
      </c>
      <c r="U557" s="384"/>
    </row>
    <row r="558" spans="1:22">
      <c r="A558" s="352" t="s">
        <v>335</v>
      </c>
      <c r="C558" s="102">
        <v>330718328.27574342</v>
      </c>
      <c r="E558" s="357">
        <f>E561-SUM(E555:E557)</f>
        <v>354400165.63277793</v>
      </c>
      <c r="G558" s="397">
        <v>5.5771999999999995</v>
      </c>
      <c r="H558" s="363" t="s">
        <v>93</v>
      </c>
      <c r="I558" s="339">
        <f>ROUND($G558*C558/100,0)</f>
        <v>18444823</v>
      </c>
      <c r="K558" s="339">
        <f>ROUND($G558*E558/100,0)</f>
        <v>19765606</v>
      </c>
      <c r="M558" s="397">
        <f t="shared" si="144"/>
        <v>5.9679000000000002</v>
      </c>
      <c r="N558" s="363" t="s">
        <v>93</v>
      </c>
      <c r="O558" s="339">
        <f>ROUND(M558*$E558/100,0)</f>
        <v>21150247</v>
      </c>
      <c r="P558" s="376"/>
      <c r="R558" s="396"/>
      <c r="T558" s="356">
        <f t="shared" si="145"/>
        <v>7.005307322670884E-2</v>
      </c>
    </row>
    <row r="559" spans="1:22">
      <c r="A559" s="352" t="s">
        <v>131</v>
      </c>
      <c r="C559" s="102">
        <v>0</v>
      </c>
      <c r="E559" s="357">
        <f>ROUND(C559*E551/C551,0)</f>
        <v>0</v>
      </c>
      <c r="G559" s="375">
        <v>108</v>
      </c>
      <c r="H559" s="374"/>
      <c r="I559" s="339">
        <f>ROUND($G559*C559,0)</f>
        <v>0</v>
      </c>
      <c r="K559" s="339">
        <f>ROUND($G559*E559,0)</f>
        <v>0</v>
      </c>
      <c r="M559" s="375">
        <f t="shared" si="144"/>
        <v>120</v>
      </c>
      <c r="N559" s="374"/>
      <c r="O559" s="339">
        <f>ROUND(M559*$E559,0)</f>
        <v>0</v>
      </c>
      <c r="P559" s="376"/>
      <c r="T559" s="356">
        <f t="shared" si="145"/>
        <v>0.11111111111111116</v>
      </c>
      <c r="V559" s="384"/>
    </row>
    <row r="560" spans="1:22">
      <c r="A560" s="352" t="s">
        <v>112</v>
      </c>
      <c r="C560" s="103">
        <v>4123914</v>
      </c>
      <c r="E560" s="103">
        <v>0</v>
      </c>
      <c r="I560" s="383">
        <v>164164</v>
      </c>
      <c r="K560" s="383">
        <v>0</v>
      </c>
      <c r="O560" s="383">
        <v>0</v>
      </c>
    </row>
    <row r="561" spans="1:22" ht="16.5" thickBot="1">
      <c r="A561" s="352" t="s">
        <v>113</v>
      </c>
      <c r="C561" s="400">
        <f>SUM(C555:C558,C560)</f>
        <v>1273139625.5362649</v>
      </c>
      <c r="E561" s="400">
        <v>1359886464.6327779</v>
      </c>
      <c r="G561" s="393"/>
      <c r="I561" s="394">
        <f>SUM(I551:I560)</f>
        <v>116793063</v>
      </c>
      <c r="K561" s="394">
        <f>SUM(K551:K560)</f>
        <v>124402008</v>
      </c>
      <c r="M561" s="393"/>
      <c r="O561" s="394">
        <f>SUM(O551:O560)</f>
        <v>133414401</v>
      </c>
      <c r="Q561" s="332" t="s">
        <v>94</v>
      </c>
      <c r="R561" s="390">
        <f>O561/K561-1</f>
        <v>7.2445719686453858E-2</v>
      </c>
    </row>
    <row r="562" spans="1:22" ht="16.5" thickTop="1">
      <c r="C562" s="102"/>
      <c r="E562" s="102"/>
      <c r="P562" s="339"/>
    </row>
    <row r="563" spans="1:22">
      <c r="A563" s="348" t="s">
        <v>339</v>
      </c>
      <c r="C563" s="102"/>
      <c r="E563" s="102"/>
      <c r="P563" s="339"/>
    </row>
    <row r="564" spans="1:22">
      <c r="A564" s="352" t="s">
        <v>124</v>
      </c>
      <c r="C564" s="102">
        <v>43308.231666666499</v>
      </c>
      <c r="E564" s="357">
        <v>41306</v>
      </c>
      <c r="G564" s="375">
        <v>9</v>
      </c>
      <c r="H564" s="374"/>
      <c r="I564" s="339">
        <f>ROUND($G564*C564,0)</f>
        <v>389774</v>
      </c>
      <c r="K564" s="339">
        <f>ROUND($G564*E564,0)</f>
        <v>371754</v>
      </c>
      <c r="M564" s="375">
        <f t="shared" ref="M564:M572" si="146">M538</f>
        <v>10</v>
      </c>
      <c r="N564" s="374"/>
      <c r="O564" s="339">
        <f>ROUND(M564*$E564,0)</f>
        <v>413060</v>
      </c>
      <c r="P564" s="339"/>
      <c r="T564" s="356">
        <f t="shared" ref="T564:T572" si="147">M564/G564-1</f>
        <v>0.11111111111111116</v>
      </c>
    </row>
    <row r="565" spans="1:22">
      <c r="A565" s="352" t="s">
        <v>330</v>
      </c>
      <c r="C565" s="102">
        <v>19477.159251122401</v>
      </c>
      <c r="E565" s="357">
        <f>ROUND(C565*$E$574/$C$574,0)</f>
        <v>18935</v>
      </c>
      <c r="G565" s="375">
        <v>8</v>
      </c>
      <c r="H565" s="374"/>
      <c r="I565" s="339">
        <f>ROUND($G565*C565,0)</f>
        <v>155817</v>
      </c>
      <c r="K565" s="339">
        <f>ROUND($G565*E565,0)</f>
        <v>151480</v>
      </c>
      <c r="M565" s="375">
        <f t="shared" si="146"/>
        <v>8.5500000000000007</v>
      </c>
      <c r="N565" s="374"/>
      <c r="O565" s="339">
        <f>ROUND(M565*$E565,0)</f>
        <v>161894</v>
      </c>
      <c r="P565" s="339"/>
      <c r="T565" s="356">
        <f t="shared" si="147"/>
        <v>6.8750000000000089E-2</v>
      </c>
    </row>
    <row r="566" spans="1:22">
      <c r="A566" s="352" t="s">
        <v>331</v>
      </c>
      <c r="C566" s="102">
        <v>26456.035616438399</v>
      </c>
      <c r="E566" s="357">
        <f>ROUND(C566*$E$574/$C$574,0)</f>
        <v>25719</v>
      </c>
      <c r="G566" s="375">
        <v>8.0500000000000007</v>
      </c>
      <c r="H566" s="374"/>
      <c r="I566" s="339">
        <f>ROUND($G566*C566,0)</f>
        <v>212971</v>
      </c>
      <c r="K566" s="339">
        <f>ROUND($G566*E566,0)</f>
        <v>207038</v>
      </c>
      <c r="M566" s="375">
        <f t="shared" si="146"/>
        <v>8.6</v>
      </c>
      <c r="N566" s="374"/>
      <c r="O566" s="339">
        <f>ROUND(M566*$E566,0)</f>
        <v>221183</v>
      </c>
      <c r="P566" s="339"/>
      <c r="T566" s="356">
        <f t="shared" si="147"/>
        <v>6.8322981366459423E-2</v>
      </c>
    </row>
    <row r="567" spans="1:22">
      <c r="A567" s="352" t="s">
        <v>127</v>
      </c>
      <c r="C567" s="102">
        <v>4789.1219512195103</v>
      </c>
      <c r="E567" s="357">
        <f>ROUND(C567*$E$574/$C$574,0)</f>
        <v>4656</v>
      </c>
      <c r="G567" s="375">
        <v>-0.45</v>
      </c>
      <c r="H567" s="374"/>
      <c r="I567" s="339">
        <f>ROUND($G567*C567,0)</f>
        <v>-2155</v>
      </c>
      <c r="K567" s="339">
        <f>ROUND($G567*E567,0)</f>
        <v>-2095</v>
      </c>
      <c r="M567" s="375">
        <f t="shared" si="146"/>
        <v>-0.48</v>
      </c>
      <c r="N567" s="374"/>
      <c r="O567" s="339">
        <f>ROUND(M567*$E567,0)</f>
        <v>-2235</v>
      </c>
      <c r="P567" s="339"/>
      <c r="T567" s="356">
        <f t="shared" si="147"/>
        <v>6.6666666666666652E-2</v>
      </c>
    </row>
    <row r="568" spans="1:22">
      <c r="A568" s="352" t="s">
        <v>332</v>
      </c>
      <c r="C568" s="102">
        <v>12336301.017964073</v>
      </c>
      <c r="E568" s="357">
        <f>ROUND(C568*($E$574-$E$573)/($C$574-$C$573),0)</f>
        <v>12056849</v>
      </c>
      <c r="G568" s="407">
        <v>10.8148</v>
      </c>
      <c r="H568" s="363" t="s">
        <v>93</v>
      </c>
      <c r="I568" s="339">
        <f>ROUND($G568*C568/100,0)</f>
        <v>1334146</v>
      </c>
      <c r="K568" s="339">
        <f>ROUND($G568*E568/100,0)</f>
        <v>1303924</v>
      </c>
      <c r="M568" s="407">
        <f t="shared" si="146"/>
        <v>11.5695</v>
      </c>
      <c r="N568" s="363" t="s">
        <v>93</v>
      </c>
      <c r="O568" s="339">
        <f>ROUND(M568*$E568/100,0)</f>
        <v>1394917</v>
      </c>
      <c r="P568" s="339"/>
      <c r="S568" s="384"/>
      <c r="T568" s="356">
        <f t="shared" si="147"/>
        <v>6.9783999704109201E-2</v>
      </c>
    </row>
    <row r="569" spans="1:22">
      <c r="A569" s="352" t="s">
        <v>333</v>
      </c>
      <c r="C569" s="102">
        <v>12713822.786362013</v>
      </c>
      <c r="E569" s="357">
        <f>ROUND(C569*($E$574-$E$573)/($C$574-$C$573),0)</f>
        <v>12425819</v>
      </c>
      <c r="G569" s="407">
        <v>6.0632000000000001</v>
      </c>
      <c r="H569" s="363" t="s">
        <v>93</v>
      </c>
      <c r="I569" s="339">
        <f>ROUND($G569*C569/100,0)</f>
        <v>770865</v>
      </c>
      <c r="K569" s="339">
        <f>ROUND($G569*E569/100,0)</f>
        <v>753402</v>
      </c>
      <c r="M569" s="407">
        <f t="shared" si="146"/>
        <v>6.4863</v>
      </c>
      <c r="N569" s="363" t="s">
        <v>93</v>
      </c>
      <c r="O569" s="339">
        <f>ROUND(M569*$E569/100,0)</f>
        <v>805976</v>
      </c>
      <c r="P569" s="376"/>
      <c r="T569" s="356">
        <f t="shared" si="147"/>
        <v>6.9781633460878734E-2</v>
      </c>
    </row>
    <row r="570" spans="1:22">
      <c r="A570" s="352" t="s">
        <v>334</v>
      </c>
      <c r="C570" s="102">
        <v>17740706.006493505</v>
      </c>
      <c r="E570" s="357">
        <f>ROUND(C570*($E$574-$E$573)/($C$574-$C$573),0)</f>
        <v>17338829</v>
      </c>
      <c r="G570" s="407">
        <v>9.9543999999999997</v>
      </c>
      <c r="H570" s="363" t="s">
        <v>93</v>
      </c>
      <c r="I570" s="339">
        <f>ROUND($G570*C570/100,0)</f>
        <v>1765981</v>
      </c>
      <c r="K570" s="339">
        <f>ROUND($G570*E570/100,0)</f>
        <v>1725976</v>
      </c>
      <c r="M570" s="407">
        <f t="shared" si="146"/>
        <v>10.648999999999999</v>
      </c>
      <c r="N570" s="363" t="s">
        <v>93</v>
      </c>
      <c r="O570" s="339">
        <f>ROUND(M570*$E570/100,0)</f>
        <v>1846412</v>
      </c>
      <c r="P570" s="376"/>
      <c r="T570" s="356">
        <f t="shared" si="147"/>
        <v>6.977818853974127E-2</v>
      </c>
      <c r="U570" s="384"/>
    </row>
    <row r="571" spans="1:22">
      <c r="A571" s="352" t="s">
        <v>335</v>
      </c>
      <c r="C571" s="102">
        <v>17988705.579397228</v>
      </c>
      <c r="E571" s="357">
        <f>E574-E568-E569-E570</f>
        <v>17581212</v>
      </c>
      <c r="G571" s="407">
        <v>5.5771999999999995</v>
      </c>
      <c r="H571" s="363" t="s">
        <v>93</v>
      </c>
      <c r="I571" s="339">
        <f>ROUND($G571*C571/100,0)</f>
        <v>1003266</v>
      </c>
      <c r="K571" s="339">
        <f>ROUND($G571*E571/100,0)</f>
        <v>980539</v>
      </c>
      <c r="M571" s="407">
        <f t="shared" si="146"/>
        <v>5.9679000000000002</v>
      </c>
      <c r="N571" s="363" t="s">
        <v>93</v>
      </c>
      <c r="O571" s="339">
        <f>ROUND(M571*$E571/100,0)</f>
        <v>1049229</v>
      </c>
      <c r="P571" s="376"/>
      <c r="T571" s="356">
        <f t="shared" si="147"/>
        <v>7.005307322670884E-2</v>
      </c>
    </row>
    <row r="572" spans="1:22">
      <c r="A572" s="352" t="s">
        <v>131</v>
      </c>
      <c r="C572" s="102">
        <v>0</v>
      </c>
      <c r="E572" s="357">
        <f>ROUND(C572*E564/C564,0)</f>
        <v>0</v>
      </c>
      <c r="G572" s="375">
        <v>108</v>
      </c>
      <c r="H572" s="374"/>
      <c r="I572" s="339">
        <f>ROUND($G572*C572,0)</f>
        <v>0</v>
      </c>
      <c r="K572" s="339">
        <f>ROUND($G572*E572,0)</f>
        <v>0</v>
      </c>
      <c r="M572" s="375">
        <f t="shared" si="146"/>
        <v>120</v>
      </c>
      <c r="N572" s="374"/>
      <c r="O572" s="339">
        <f>ROUND(M572*$E572,0)</f>
        <v>0</v>
      </c>
      <c r="P572" s="376"/>
      <c r="T572" s="356">
        <f t="shared" si="147"/>
        <v>0.11111111111111116</v>
      </c>
      <c r="V572" s="384"/>
    </row>
    <row r="573" spans="1:22">
      <c r="A573" s="352" t="s">
        <v>112</v>
      </c>
      <c r="C573" s="103">
        <v>324785</v>
      </c>
      <c r="E573" s="103">
        <v>0</v>
      </c>
      <c r="I573" s="383">
        <v>13568</v>
      </c>
      <c r="K573" s="383">
        <v>0</v>
      </c>
      <c r="O573" s="383">
        <v>0</v>
      </c>
    </row>
    <row r="574" spans="1:22" ht="16.5" thickBot="1">
      <c r="A574" s="352" t="s">
        <v>113</v>
      </c>
      <c r="C574" s="400">
        <f>SUM(C568:C571,C573)</f>
        <v>61104320.390216827</v>
      </c>
      <c r="E574" s="400">
        <v>59402709</v>
      </c>
      <c r="G574" s="393"/>
      <c r="I574" s="394">
        <f>SUM(I564:I573)</f>
        <v>5644233</v>
      </c>
      <c r="K574" s="394">
        <f>SUM(K564:K573)</f>
        <v>5492018</v>
      </c>
      <c r="M574" s="393"/>
      <c r="O574" s="394">
        <f>SUM(O564:O573)</f>
        <v>5890436</v>
      </c>
      <c r="Q574" s="332" t="s">
        <v>94</v>
      </c>
      <c r="R574" s="390">
        <f>O574/K574-1</f>
        <v>7.2544918825830473E-2</v>
      </c>
    </row>
    <row r="575" spans="1:22" ht="16.5" thickTop="1">
      <c r="C575" s="102"/>
      <c r="E575" s="102"/>
      <c r="P575" s="339"/>
    </row>
    <row r="576" spans="1:22">
      <c r="A576" s="348" t="s">
        <v>340</v>
      </c>
      <c r="C576" s="102"/>
      <c r="E576" s="102"/>
      <c r="P576" s="339"/>
    </row>
    <row r="577" spans="1:22">
      <c r="A577" s="352" t="s">
        <v>124</v>
      </c>
      <c r="C577" s="102">
        <v>36</v>
      </c>
      <c r="E577" s="357">
        <v>36</v>
      </c>
      <c r="G577" s="375">
        <v>9</v>
      </c>
      <c r="H577" s="374"/>
      <c r="I577" s="339">
        <f>ROUND($G577*C577,0)</f>
        <v>324</v>
      </c>
      <c r="K577" s="339">
        <f>ROUND($G577*E577,0)</f>
        <v>324</v>
      </c>
      <c r="M577" s="375">
        <f t="shared" ref="M577:M585" si="148">M538</f>
        <v>10</v>
      </c>
      <c r="N577" s="374"/>
      <c r="O577" s="339">
        <f>ROUND(M577*$E577,0)</f>
        <v>360</v>
      </c>
      <c r="P577" s="339"/>
      <c r="T577" s="356">
        <f t="shared" ref="T577:T585" si="149">M577/G577-1</f>
        <v>0.11111111111111116</v>
      </c>
    </row>
    <row r="578" spans="1:22">
      <c r="A578" s="352" t="s">
        <v>330</v>
      </c>
      <c r="C578" s="102">
        <v>0</v>
      </c>
      <c r="E578" s="357">
        <f>ROUND(C578*$E$587/$C$587,0)</f>
        <v>0</v>
      </c>
      <c r="G578" s="375">
        <v>8</v>
      </c>
      <c r="H578" s="374"/>
      <c r="I578" s="339">
        <f>ROUND($G578*C578,0)</f>
        <v>0</v>
      </c>
      <c r="K578" s="339">
        <f>ROUND($G578*E578,0)</f>
        <v>0</v>
      </c>
      <c r="M578" s="375">
        <f t="shared" si="148"/>
        <v>8.5500000000000007</v>
      </c>
      <c r="N578" s="374"/>
      <c r="O578" s="339">
        <f>ROUND(M578*$E578,0)</f>
        <v>0</v>
      </c>
      <c r="P578" s="339"/>
      <c r="T578" s="356">
        <f t="shared" si="149"/>
        <v>6.8750000000000089E-2</v>
      </c>
    </row>
    <row r="579" spans="1:22">
      <c r="A579" s="352" t="s">
        <v>331</v>
      </c>
      <c r="C579" s="102">
        <v>0</v>
      </c>
      <c r="E579" s="357">
        <f>ROUND(C579*$E$587/$C$587,0)</f>
        <v>0</v>
      </c>
      <c r="G579" s="375">
        <v>8.0500000000000007</v>
      </c>
      <c r="H579" s="374"/>
      <c r="I579" s="339">
        <f>ROUND($G579*C579,0)</f>
        <v>0</v>
      </c>
      <c r="K579" s="339">
        <f>ROUND($G579*E579,0)</f>
        <v>0</v>
      </c>
      <c r="M579" s="375">
        <f t="shared" si="148"/>
        <v>8.6</v>
      </c>
      <c r="N579" s="374"/>
      <c r="O579" s="339">
        <f>ROUND(M579*$E579,0)</f>
        <v>0</v>
      </c>
      <c r="P579" s="339"/>
      <c r="T579" s="356">
        <f t="shared" si="149"/>
        <v>6.8322981366459423E-2</v>
      </c>
    </row>
    <row r="580" spans="1:22">
      <c r="A580" s="352" t="s">
        <v>127</v>
      </c>
      <c r="C580" s="102">
        <v>0</v>
      </c>
      <c r="E580" s="357">
        <f>ROUND(C580*$E$587/$C$587,0)</f>
        <v>0</v>
      </c>
      <c r="G580" s="375">
        <v>-0.45</v>
      </c>
      <c r="H580" s="374"/>
      <c r="I580" s="339">
        <f>ROUND($G580*C580,0)</f>
        <v>0</v>
      </c>
      <c r="K580" s="339">
        <f>ROUND($G580*E580,0)</f>
        <v>0</v>
      </c>
      <c r="M580" s="375">
        <f t="shared" si="148"/>
        <v>-0.48</v>
      </c>
      <c r="N580" s="374"/>
      <c r="O580" s="339">
        <f>ROUND(M580*$E580,0)</f>
        <v>0</v>
      </c>
      <c r="P580" s="339"/>
      <c r="T580" s="356">
        <f t="shared" si="149"/>
        <v>6.6666666666666652E-2</v>
      </c>
    </row>
    <row r="581" spans="1:22">
      <c r="A581" s="352" t="s">
        <v>332</v>
      </c>
      <c r="C581" s="102">
        <v>9799</v>
      </c>
      <c r="E581" s="357">
        <f>ROUND(C581*($E$587-$E$586)/($C$587-$C$586),0)</f>
        <v>10194</v>
      </c>
      <c r="G581" s="397">
        <v>10.8148</v>
      </c>
      <c r="H581" s="363" t="s">
        <v>93</v>
      </c>
      <c r="I581" s="339">
        <f>ROUND($G581*C581/100,0)</f>
        <v>1060</v>
      </c>
      <c r="K581" s="339">
        <f>ROUND($G581*E581/100,0)</f>
        <v>1102</v>
      </c>
      <c r="M581" s="397">
        <f t="shared" si="148"/>
        <v>11.5695</v>
      </c>
      <c r="N581" s="363" t="s">
        <v>93</v>
      </c>
      <c r="O581" s="339">
        <f>ROUND(M581*$E581/100,0)</f>
        <v>1179</v>
      </c>
      <c r="P581" s="339"/>
      <c r="S581" s="384"/>
      <c r="T581" s="356">
        <f t="shared" si="149"/>
        <v>6.9783999704109201E-2</v>
      </c>
    </row>
    <row r="582" spans="1:22">
      <c r="A582" s="352" t="s">
        <v>333</v>
      </c>
      <c r="C582" s="102">
        <v>2749</v>
      </c>
      <c r="E582" s="357">
        <f>ROUND(C582*($E$587-$E$586)/($C$587-$C$586),0)</f>
        <v>2860</v>
      </c>
      <c r="G582" s="397">
        <v>6.0632000000000001</v>
      </c>
      <c r="H582" s="363" t="s">
        <v>93</v>
      </c>
      <c r="I582" s="339">
        <f>ROUND($G582*C582/100,0)</f>
        <v>167</v>
      </c>
      <c r="K582" s="339">
        <f>ROUND($G582*E582/100,0)</f>
        <v>173</v>
      </c>
      <c r="M582" s="397">
        <f t="shared" si="148"/>
        <v>6.4863</v>
      </c>
      <c r="N582" s="363" t="s">
        <v>93</v>
      </c>
      <c r="O582" s="339">
        <f>ROUND(M582*$E582/100,0)</f>
        <v>186</v>
      </c>
      <c r="P582" s="376"/>
      <c r="T582" s="356">
        <f t="shared" si="149"/>
        <v>6.9781633460878734E-2</v>
      </c>
    </row>
    <row r="583" spans="1:22">
      <c r="A583" s="352" t="s">
        <v>334</v>
      </c>
      <c r="C583" s="102">
        <v>20831</v>
      </c>
      <c r="E583" s="357">
        <f>ROUND(C583*($E$587-$E$586)/($C$587-$C$586),0)</f>
        <v>21671</v>
      </c>
      <c r="G583" s="397">
        <v>9.9543999999999997</v>
      </c>
      <c r="H583" s="363" t="s">
        <v>93</v>
      </c>
      <c r="I583" s="339">
        <f>ROUND($G583*C583/100,0)</f>
        <v>2074</v>
      </c>
      <c r="K583" s="339">
        <f>ROUND($G583*E583/100,0)</f>
        <v>2157</v>
      </c>
      <c r="M583" s="397">
        <f t="shared" si="148"/>
        <v>10.648999999999999</v>
      </c>
      <c r="N583" s="363" t="s">
        <v>93</v>
      </c>
      <c r="O583" s="339">
        <f>ROUND(M583*$E583/100,0)</f>
        <v>2308</v>
      </c>
      <c r="P583" s="376"/>
      <c r="T583" s="356">
        <f t="shared" si="149"/>
        <v>6.977818853974127E-2</v>
      </c>
      <c r="U583" s="384"/>
    </row>
    <row r="584" spans="1:22">
      <c r="A584" s="352" t="s">
        <v>335</v>
      </c>
      <c r="C584" s="102">
        <v>2164</v>
      </c>
      <c r="E584" s="357">
        <f>E587-E581-E582-E583</f>
        <v>2251</v>
      </c>
      <c r="G584" s="397">
        <v>5.5771999999999995</v>
      </c>
      <c r="H584" s="363" t="s">
        <v>93</v>
      </c>
      <c r="I584" s="339">
        <f>ROUND($G584*C584/100,0)</f>
        <v>121</v>
      </c>
      <c r="K584" s="339">
        <f>ROUND($G584*E584/100,0)</f>
        <v>126</v>
      </c>
      <c r="M584" s="397">
        <f t="shared" si="148"/>
        <v>5.9679000000000002</v>
      </c>
      <c r="N584" s="363" t="s">
        <v>93</v>
      </c>
      <c r="O584" s="339">
        <f>ROUND(M584*$E584/100,0)</f>
        <v>134</v>
      </c>
      <c r="P584" s="376"/>
      <c r="T584" s="356">
        <f t="shared" si="149"/>
        <v>7.005307322670884E-2</v>
      </c>
    </row>
    <row r="585" spans="1:22">
      <c r="A585" s="352" t="s">
        <v>131</v>
      </c>
      <c r="C585" s="102">
        <v>0</v>
      </c>
      <c r="E585" s="357">
        <f>ROUND(C585*E577/C577,0)</f>
        <v>0</v>
      </c>
      <c r="G585" s="375">
        <v>108</v>
      </c>
      <c r="H585" s="374"/>
      <c r="I585" s="339">
        <f>ROUND($G585*C585,0)</f>
        <v>0</v>
      </c>
      <c r="K585" s="339">
        <f>ROUND($G585*E585,0)</f>
        <v>0</v>
      </c>
      <c r="M585" s="375">
        <f t="shared" si="148"/>
        <v>120</v>
      </c>
      <c r="N585" s="374"/>
      <c r="O585" s="339">
        <f>ROUND(M585*$E585,0)</f>
        <v>0</v>
      </c>
      <c r="P585" s="376"/>
      <c r="T585" s="356">
        <f t="shared" si="149"/>
        <v>0.11111111111111116</v>
      </c>
      <c r="V585" s="384"/>
    </row>
    <row r="586" spans="1:22">
      <c r="A586" s="352" t="s">
        <v>112</v>
      </c>
      <c r="C586" s="103">
        <v>-173</v>
      </c>
      <c r="E586" s="103">
        <v>0</v>
      </c>
      <c r="I586" s="383">
        <v>-11.459999999999127</v>
      </c>
      <c r="K586" s="383">
        <v>0</v>
      </c>
      <c r="O586" s="383">
        <v>0</v>
      </c>
    </row>
    <row r="587" spans="1:22" ht="16.5" thickBot="1">
      <c r="A587" s="352" t="s">
        <v>113</v>
      </c>
      <c r="C587" s="400">
        <f>SUM(C581:C584,C586)</f>
        <v>35370</v>
      </c>
      <c r="E587" s="400">
        <v>36976</v>
      </c>
      <c r="G587" s="393"/>
      <c r="I587" s="394">
        <f>SUM(I577:I586)</f>
        <v>3734.5400000000009</v>
      </c>
      <c r="K587" s="394">
        <f>SUM(K577:K586)</f>
        <v>3882</v>
      </c>
      <c r="M587" s="393"/>
      <c r="O587" s="394">
        <f>SUM(O577:O586)</f>
        <v>4167</v>
      </c>
      <c r="Q587" s="332" t="s">
        <v>94</v>
      </c>
      <c r="R587" s="390">
        <f>O587/K587-1</f>
        <v>7.3415765069551719E-2</v>
      </c>
    </row>
    <row r="588" spans="1:22" ht="16.5" thickTop="1">
      <c r="P588" s="339"/>
    </row>
    <row r="589" spans="1:22">
      <c r="A589" s="348" t="s">
        <v>341</v>
      </c>
      <c r="C589" s="102"/>
      <c r="E589" s="102"/>
      <c r="G589" s="397"/>
      <c r="H589" s="405"/>
      <c r="M589" s="397"/>
      <c r="N589" s="405"/>
      <c r="P589" s="339"/>
    </row>
    <row r="590" spans="1:22">
      <c r="A590" s="444" t="s">
        <v>342</v>
      </c>
      <c r="C590" s="102"/>
      <c r="E590" s="102"/>
      <c r="P590" s="339"/>
      <c r="Q590" s="332" t="s">
        <v>343</v>
      </c>
      <c r="T590" s="453"/>
      <c r="U590" s="339"/>
    </row>
    <row r="591" spans="1:22">
      <c r="A591" s="352" t="s">
        <v>344</v>
      </c>
      <c r="B591" s="352"/>
      <c r="C591" s="102">
        <f>C634+C677</f>
        <v>0</v>
      </c>
      <c r="E591" s="102">
        <f>E634+E677</f>
        <v>0</v>
      </c>
      <c r="G591" s="99">
        <v>116</v>
      </c>
      <c r="H591" s="353"/>
      <c r="I591" s="339">
        <f>ROUND(G591*$C591,0)</f>
        <v>0</v>
      </c>
      <c r="K591" s="339">
        <f>ROUND(G591*$E591,0)</f>
        <v>0</v>
      </c>
      <c r="M591" s="99">
        <f>ROUND(G591*(1+$R$596),0)</f>
        <v>133</v>
      </c>
      <c r="N591" s="353"/>
      <c r="O591" s="339">
        <f>ROUND(M591*$E591,0)</f>
        <v>0</v>
      </c>
      <c r="P591" s="339"/>
      <c r="Q591" s="354" t="s">
        <v>87</v>
      </c>
      <c r="R591" s="355">
        <f>O630+SUM(O732:O737)</f>
        <v>10201998</v>
      </c>
      <c r="S591" s="453"/>
      <c r="T591" s="356">
        <f t="shared" ref="T591:T592" si="150">M591/G591-1</f>
        <v>0.14655172413793105</v>
      </c>
    </row>
    <row r="592" spans="1:22">
      <c r="A592" s="352" t="s">
        <v>345</v>
      </c>
      <c r="B592" s="352"/>
      <c r="C592" s="102">
        <f>C635+C678</f>
        <v>0</v>
      </c>
      <c r="E592" s="102">
        <f>E635+E678</f>
        <v>0</v>
      </c>
      <c r="G592" s="99">
        <v>4.26</v>
      </c>
      <c r="H592" s="353"/>
      <c r="I592" s="339">
        <f>ROUND(G592*$C592,0)</f>
        <v>0</v>
      </c>
      <c r="K592" s="339">
        <f>ROUND(G592*$E592,0)</f>
        <v>0</v>
      </c>
      <c r="M592" s="99">
        <f>ROUND(G592*(1+$R$596),2)</f>
        <v>4.88</v>
      </c>
      <c r="N592" s="353"/>
      <c r="O592" s="339">
        <f>ROUND(M592*$E592,0)</f>
        <v>0</v>
      </c>
      <c r="P592" s="339"/>
      <c r="Q592" s="358" t="s">
        <v>89</v>
      </c>
      <c r="R592" s="359">
        <f>('Baron Rate Spread'!M33+'Baron Rate Spread'!M36*SUM('Exhibit RMP(WRG-3)'!K732:K737)/'Exhibit RMP(WRG-3)'!K745)*1000</f>
        <v>10201989.715886729</v>
      </c>
      <c r="T592" s="356">
        <f t="shared" si="150"/>
        <v>0.14553990610328649</v>
      </c>
      <c r="V592" s="102"/>
    </row>
    <row r="593" spans="1:22">
      <c r="A593" s="352" t="s">
        <v>346</v>
      </c>
      <c r="B593" s="352"/>
      <c r="C593" s="102"/>
      <c r="E593" s="102"/>
      <c r="G593" s="375"/>
      <c r="H593" s="374"/>
      <c r="I593" s="339"/>
      <c r="K593" s="339"/>
      <c r="M593" s="375"/>
      <c r="N593" s="374"/>
      <c r="O593" s="339"/>
      <c r="Q593" s="360" t="s">
        <v>91</v>
      </c>
      <c r="R593" s="361">
        <f>R592-R591</f>
        <v>-8.2841132711619139</v>
      </c>
      <c r="S593" s="453"/>
      <c r="T593" s="453"/>
      <c r="U593" s="339"/>
    </row>
    <row r="594" spans="1:22">
      <c r="A594" s="352" t="s">
        <v>347</v>
      </c>
      <c r="B594" s="352"/>
      <c r="C594" s="102">
        <f>C637+C680</f>
        <v>0</v>
      </c>
      <c r="E594" s="102">
        <f>E637+E680</f>
        <v>0</v>
      </c>
      <c r="G594" s="454">
        <v>0.58679999999999999</v>
      </c>
      <c r="H594" s="455"/>
      <c r="I594" s="339">
        <f>ROUND(G594*$C594,0)</f>
        <v>0</v>
      </c>
      <c r="K594" s="339">
        <f>ROUND(G594*$E594,0)</f>
        <v>0</v>
      </c>
      <c r="M594" s="454">
        <f>ROUND(G594*(1+$R$596),4)</f>
        <v>0.67169999999999996</v>
      </c>
      <c r="N594" s="455"/>
      <c r="O594" s="339">
        <f>ROUND(M594*$E594,0)</f>
        <v>0</v>
      </c>
      <c r="P594" s="339"/>
      <c r="Q594" s="364" t="s">
        <v>94</v>
      </c>
      <c r="R594" s="398">
        <f>R591/SUM(K630,K732:K737)-1</f>
        <v>0.13246313555371048</v>
      </c>
      <c r="S594" s="453"/>
      <c r="T594" s="356">
        <f t="shared" ref="T594:T596" si="151">M594/G594-1</f>
        <v>0.14468302658486709</v>
      </c>
    </row>
    <row r="595" spans="1:22">
      <c r="A595" s="352" t="s">
        <v>348</v>
      </c>
      <c r="B595" s="352"/>
      <c r="C595" s="102">
        <f>C638+C681</f>
        <v>0</v>
      </c>
      <c r="E595" s="102">
        <f>E638+E681</f>
        <v>0</v>
      </c>
      <c r="G595" s="456">
        <v>0.29339999999999999</v>
      </c>
      <c r="H595" s="457"/>
      <c r="I595" s="339">
        <f>ROUND(G595*$C595,0)</f>
        <v>0</v>
      </c>
      <c r="K595" s="339">
        <f>ROUND(G595*$E595,0)</f>
        <v>0</v>
      </c>
      <c r="M595" s="456">
        <f>ROUND(M594*0.5,4)</f>
        <v>0.33589999999999998</v>
      </c>
      <c r="N595" s="457"/>
      <c r="O595" s="339">
        <f>ROUND(M595*$E595,0)</f>
        <v>0</v>
      </c>
      <c r="P595" s="339"/>
      <c r="Q595" s="368" t="s">
        <v>96</v>
      </c>
      <c r="R595" s="399">
        <f>R592/SUM(K630,K732:K737)-1</f>
        <v>0.13246221598355468</v>
      </c>
      <c r="S595" s="453"/>
      <c r="T595" s="356">
        <f t="shared" si="151"/>
        <v>0.14485344239945452</v>
      </c>
      <c r="U595" s="339"/>
      <c r="V595" s="102"/>
    </row>
    <row r="596" spans="1:22">
      <c r="A596" s="352" t="s">
        <v>349</v>
      </c>
      <c r="B596" s="352"/>
      <c r="C596" s="102">
        <f>C639+C682</f>
        <v>0</v>
      </c>
      <c r="E596" s="102">
        <f>E639+E682</f>
        <v>0</v>
      </c>
      <c r="G596" s="99">
        <v>55.28</v>
      </c>
      <c r="H596" s="353"/>
      <c r="I596" s="339">
        <f>ROUND(G596*$C596,0)</f>
        <v>0</v>
      </c>
      <c r="K596" s="339">
        <f>ROUND(G596*$E596,0)</f>
        <v>0</v>
      </c>
      <c r="M596" s="99">
        <f>ROUND(G596*(1+$R$596),2)</f>
        <v>63.28</v>
      </c>
      <c r="N596" s="353"/>
      <c r="O596" s="339">
        <f>ROUND(M596*$E596,0)</f>
        <v>0</v>
      </c>
      <c r="P596" s="339"/>
      <c r="Q596" s="368" t="s">
        <v>350</v>
      </c>
      <c r="R596" s="399">
        <f>(R592-O628)/SUM(K611,K732:K737)-1</f>
        <v>0.14465358111561977</v>
      </c>
      <c r="T596" s="356">
        <f t="shared" si="151"/>
        <v>0.14471780028943559</v>
      </c>
      <c r="U596" s="339"/>
    </row>
    <row r="597" spans="1:22">
      <c r="A597" s="444" t="s">
        <v>351</v>
      </c>
      <c r="C597" s="102"/>
      <c r="E597" s="102"/>
      <c r="P597" s="339"/>
      <c r="Q597" s="380"/>
      <c r="R597" s="401"/>
      <c r="T597" s="453"/>
      <c r="U597" s="339"/>
      <c r="V597" s="102"/>
    </row>
    <row r="598" spans="1:22">
      <c r="A598" s="352" t="s">
        <v>344</v>
      </c>
      <c r="C598" s="102">
        <f>C641+C684</f>
        <v>23.9999855072464</v>
      </c>
      <c r="E598" s="102">
        <f>E641+E684</f>
        <v>34.559999165216908</v>
      </c>
      <c r="G598" s="99">
        <v>527</v>
      </c>
      <c r="H598" s="353"/>
      <c r="I598" s="339">
        <f>ROUND(G598*$C598,0)</f>
        <v>12648</v>
      </c>
      <c r="K598" s="339">
        <f>ROUND(G598*$E598,0)</f>
        <v>18213</v>
      </c>
      <c r="M598" s="99">
        <f>ROUND(G598*(1+$R$596),0)</f>
        <v>603</v>
      </c>
      <c r="N598" s="353"/>
      <c r="O598" s="339">
        <f>ROUND(M598*$E598,0)</f>
        <v>20840</v>
      </c>
      <c r="P598" s="339"/>
      <c r="S598" s="453"/>
      <c r="T598" s="356">
        <f t="shared" ref="T598:T599" si="152">M598/G598-1</f>
        <v>0.14421252371916515</v>
      </c>
      <c r="V598" s="102"/>
    </row>
    <row r="599" spans="1:22">
      <c r="A599" s="352" t="s">
        <v>345</v>
      </c>
      <c r="C599" s="102">
        <f>C642+C685</f>
        <v>39600</v>
      </c>
      <c r="E599" s="102">
        <f>E642+E685</f>
        <v>166568</v>
      </c>
      <c r="G599" s="99">
        <v>3.35</v>
      </c>
      <c r="H599" s="353"/>
      <c r="I599" s="339">
        <f>ROUND(G599*$C599,0)</f>
        <v>132660</v>
      </c>
      <c r="K599" s="339">
        <f>ROUND(G599*$E599,0)</f>
        <v>558003</v>
      </c>
      <c r="M599" s="99">
        <f>ROUND(G599*(1+$R$596),2)</f>
        <v>3.83</v>
      </c>
      <c r="N599" s="353"/>
      <c r="O599" s="339">
        <f>ROUND(M599*$E599,0)</f>
        <v>637955</v>
      </c>
      <c r="P599" s="339"/>
      <c r="Q599" s="454"/>
      <c r="R599" s="396"/>
      <c r="T599" s="356">
        <f t="shared" si="152"/>
        <v>0.14328358208955216</v>
      </c>
      <c r="V599" s="102"/>
    </row>
    <row r="600" spans="1:22">
      <c r="A600" s="352" t="s">
        <v>346</v>
      </c>
      <c r="C600" s="102"/>
      <c r="E600" s="102"/>
      <c r="G600" s="99"/>
      <c r="H600" s="353"/>
      <c r="I600" s="339"/>
      <c r="K600" s="339"/>
      <c r="M600" s="375"/>
      <c r="N600" s="353"/>
      <c r="O600" s="339"/>
      <c r="Q600" s="99"/>
      <c r="S600" s="453"/>
      <c r="T600" s="453"/>
      <c r="U600" s="339"/>
    </row>
    <row r="601" spans="1:22">
      <c r="A601" s="352" t="s">
        <v>347</v>
      </c>
      <c r="C601" s="102">
        <f>C644+C687</f>
        <v>255103.99414285499</v>
      </c>
      <c r="E601" s="102">
        <f>E644+E687</f>
        <v>1073035</v>
      </c>
      <c r="G601" s="454">
        <v>0.57099999999999995</v>
      </c>
      <c r="H601" s="455"/>
      <c r="I601" s="339">
        <f>ROUND(G601*$C601,0)</f>
        <v>145664</v>
      </c>
      <c r="K601" s="339">
        <f>ROUND(G601*$E601,0)</f>
        <v>612703</v>
      </c>
      <c r="M601" s="454">
        <f>ROUND((R592-SUM(O591:O599,O603:O610,O628,O732:O737))/SUM(E601+E602/2),4)</f>
        <v>0.65749999999999997</v>
      </c>
      <c r="N601" s="455"/>
      <c r="O601" s="339">
        <f>ROUND(M601*$E601,0)</f>
        <v>705521</v>
      </c>
      <c r="P601" s="339"/>
      <c r="Q601" s="351"/>
      <c r="R601" s="376"/>
      <c r="T601" s="356">
        <f t="shared" ref="T601:T603" si="153">M601/G601-1</f>
        <v>0.15148861646234679</v>
      </c>
    </row>
    <row r="602" spans="1:22">
      <c r="A602" s="352" t="s">
        <v>348</v>
      </c>
      <c r="C602" s="102">
        <f>C645+C688</f>
        <v>18841.983535868301</v>
      </c>
      <c r="E602" s="102">
        <f>E645+E688</f>
        <v>79254</v>
      </c>
      <c r="G602" s="456">
        <v>0.28549999999999998</v>
      </c>
      <c r="H602" s="457"/>
      <c r="I602" s="339">
        <f>ROUND(G602*$C602,0)</f>
        <v>5379</v>
      </c>
      <c r="K602" s="339">
        <f>ROUND(G602*$E602,0)</f>
        <v>22627</v>
      </c>
      <c r="M602" s="456">
        <f>ROUND(M601*0.5,4)</f>
        <v>0.32879999999999998</v>
      </c>
      <c r="N602" s="457"/>
      <c r="O602" s="339">
        <f>ROUND(M602*$E602,0)</f>
        <v>26059</v>
      </c>
      <c r="P602" s="339"/>
      <c r="Q602" s="351"/>
      <c r="R602" s="376"/>
      <c r="S602" s="453"/>
      <c r="T602" s="356">
        <f t="shared" si="153"/>
        <v>0.15166374781085823</v>
      </c>
      <c r="U602" s="339"/>
      <c r="V602" s="102"/>
    </row>
    <row r="603" spans="1:22">
      <c r="A603" s="352" t="s">
        <v>349</v>
      </c>
      <c r="C603" s="102">
        <f>C646+C689</f>
        <v>0</v>
      </c>
      <c r="E603" s="102">
        <f>E646+E689</f>
        <v>0</v>
      </c>
      <c r="G603" s="99">
        <v>39.840000000000003</v>
      </c>
      <c r="H603" s="353"/>
      <c r="I603" s="339">
        <f>ROUND(G603*$C603,0)</f>
        <v>0</v>
      </c>
      <c r="K603" s="339">
        <f>ROUND(G603*$E603,0)</f>
        <v>0</v>
      </c>
      <c r="M603" s="99">
        <f>ROUND(G603*(1+$R$596),2)</f>
        <v>45.6</v>
      </c>
      <c r="N603" s="353"/>
      <c r="O603" s="339">
        <f>ROUND(M603*$E603,0)</f>
        <v>0</v>
      </c>
      <c r="P603" s="339"/>
      <c r="Q603" s="424"/>
      <c r="R603" s="376"/>
      <c r="T603" s="356">
        <f t="shared" si="153"/>
        <v>0.14457831325301207</v>
      </c>
    </row>
    <row r="604" spans="1:22">
      <c r="A604" s="444" t="s">
        <v>352</v>
      </c>
      <c r="C604" s="102"/>
      <c r="E604" s="102"/>
      <c r="P604" s="339"/>
      <c r="Q604" s="333"/>
      <c r="R604" s="402"/>
      <c r="T604" s="453"/>
      <c r="U604" s="339"/>
      <c r="V604" s="102"/>
    </row>
    <row r="605" spans="1:22">
      <c r="A605" s="352" t="s">
        <v>344</v>
      </c>
      <c r="C605" s="102">
        <f>C648+C691</f>
        <v>13</v>
      </c>
      <c r="E605" s="102">
        <f>E648+E691</f>
        <v>13.440000834783092</v>
      </c>
      <c r="G605" s="99">
        <v>590</v>
      </c>
      <c r="H605" s="353"/>
      <c r="I605" s="339">
        <f>ROUND(G605*$C605,0)</f>
        <v>7670</v>
      </c>
      <c r="K605" s="339">
        <f>ROUND(G605*$E605,0)</f>
        <v>7930</v>
      </c>
      <c r="M605" s="99">
        <f>ROUND(G605*(1+$R$596),0)</f>
        <v>675</v>
      </c>
      <c r="N605" s="353"/>
      <c r="O605" s="339">
        <f>ROUND(M605*$E605,0)</f>
        <v>9072</v>
      </c>
      <c r="P605" s="339"/>
      <c r="Q605" s="333"/>
      <c r="R605" s="402"/>
      <c r="T605" s="356">
        <f t="shared" ref="T605:T606" si="154">M605/G605-1</f>
        <v>0.14406779661016955</v>
      </c>
      <c r="U605" s="339"/>
      <c r="V605" s="102"/>
    </row>
    <row r="606" spans="1:22">
      <c r="A606" s="352" t="s">
        <v>345</v>
      </c>
      <c r="C606" s="102">
        <f>C649+C692</f>
        <v>224400</v>
      </c>
      <c r="E606" s="102">
        <f>E649+E692</f>
        <v>71234</v>
      </c>
      <c r="G606" s="99">
        <v>1.9</v>
      </c>
      <c r="H606" s="353"/>
      <c r="I606" s="339">
        <f>ROUND(G606*$C606,0)</f>
        <v>426360</v>
      </c>
      <c r="K606" s="339">
        <f>ROUND(G606*$E606,0)</f>
        <v>135345</v>
      </c>
      <c r="M606" s="99">
        <f>ROUND(G606*(1+$R$596),2)</f>
        <v>2.17</v>
      </c>
      <c r="N606" s="353"/>
      <c r="O606" s="339">
        <f>ROUND(M606*$E606,0)</f>
        <v>154578</v>
      </c>
      <c r="P606" s="339"/>
      <c r="Q606" s="333"/>
      <c r="R606" s="402"/>
      <c r="T606" s="356">
        <f t="shared" si="154"/>
        <v>0.14210526315789473</v>
      </c>
      <c r="U606" s="339"/>
      <c r="V606" s="102"/>
    </row>
    <row r="607" spans="1:22">
      <c r="A607" s="352" t="s">
        <v>346</v>
      </c>
      <c r="C607" s="102"/>
      <c r="E607" s="102"/>
      <c r="G607" s="375"/>
      <c r="H607" s="374"/>
      <c r="I607" s="339"/>
      <c r="K607" s="339"/>
      <c r="M607" s="375"/>
      <c r="N607" s="374"/>
      <c r="O607" s="339"/>
      <c r="P607" s="376"/>
      <c r="Q607" s="333"/>
      <c r="R607" s="402"/>
      <c r="V607" s="102"/>
    </row>
    <row r="608" spans="1:22">
      <c r="A608" s="352" t="s">
        <v>347</v>
      </c>
      <c r="C608" s="102">
        <f>C651+C694</f>
        <v>193639.99500998008</v>
      </c>
      <c r="E608" s="102">
        <f>E651+E694</f>
        <v>90487</v>
      </c>
      <c r="G608" s="454">
        <v>0.44850000000000001</v>
      </c>
      <c r="H608" s="455"/>
      <c r="I608" s="339">
        <f>ROUND(G608*$C608,0)</f>
        <v>86848</v>
      </c>
      <c r="K608" s="339">
        <f>ROUND(G608*$E608,0)</f>
        <v>40583</v>
      </c>
      <c r="M608" s="454">
        <f>ROUND(G608*(1+$R$596),4)</f>
        <v>0.51339999999999997</v>
      </c>
      <c r="N608" s="455"/>
      <c r="O608" s="339">
        <f>ROUND(M608*$E608,0)</f>
        <v>46456</v>
      </c>
      <c r="P608" s="376"/>
      <c r="Q608" s="99"/>
      <c r="R608" s="396"/>
      <c r="T608" s="356">
        <f t="shared" ref="T608:T610" si="155">M608/G608-1</f>
        <v>0.14470457079152732</v>
      </c>
      <c r="U608" s="339"/>
      <c r="V608" s="384"/>
    </row>
    <row r="609" spans="1:22">
      <c r="A609" s="352" t="s">
        <v>348</v>
      </c>
      <c r="C609" s="102">
        <f>C652+C695</f>
        <v>28679.9900199601</v>
      </c>
      <c r="E609" s="102">
        <f>E652+E695</f>
        <v>6354</v>
      </c>
      <c r="G609" s="456">
        <v>0.2243</v>
      </c>
      <c r="H609" s="457"/>
      <c r="I609" s="339">
        <f>ROUND(G609*$C609,0)</f>
        <v>6433</v>
      </c>
      <c r="K609" s="339">
        <f>ROUND(G609*$E609,0)</f>
        <v>1425</v>
      </c>
      <c r="M609" s="456">
        <f>ROUND(M608*0.5,4)</f>
        <v>0.25669999999999998</v>
      </c>
      <c r="N609" s="457"/>
      <c r="O609" s="339">
        <f>ROUND(M609*$E609,0)</f>
        <v>1631</v>
      </c>
      <c r="P609" s="376"/>
      <c r="R609" s="396"/>
      <c r="T609" s="356">
        <f t="shared" si="155"/>
        <v>0.14444939812750768</v>
      </c>
      <c r="U609" s="339"/>
      <c r="V609" s="384"/>
    </row>
    <row r="610" spans="1:22">
      <c r="A610" s="352" t="s">
        <v>349</v>
      </c>
      <c r="C610" s="102">
        <f>C653+C696</f>
        <v>0</v>
      </c>
      <c r="E610" s="102">
        <f>E653+E696</f>
        <v>0</v>
      </c>
      <c r="G610" s="99">
        <v>38.36</v>
      </c>
      <c r="H610" s="353"/>
      <c r="I610" s="339">
        <f>ROUND(G610*$C610,0)</f>
        <v>0</v>
      </c>
      <c r="K610" s="339">
        <f>ROUND(G610*$E610,0)</f>
        <v>0</v>
      </c>
      <c r="M610" s="99">
        <f>ROUND(G610*(1+$R$596),2)</f>
        <v>43.91</v>
      </c>
      <c r="N610" s="353"/>
      <c r="O610" s="339">
        <f>ROUND(M610*$E610,0)</f>
        <v>0</v>
      </c>
      <c r="P610" s="376"/>
      <c r="T610" s="356">
        <f t="shared" si="155"/>
        <v>0.14468196037539105</v>
      </c>
      <c r="V610" s="384"/>
    </row>
    <row r="611" spans="1:22">
      <c r="A611" s="352" t="s">
        <v>327</v>
      </c>
      <c r="C611" s="432"/>
      <c r="E611" s="432"/>
      <c r="G611" s="397"/>
      <c r="H611" s="405"/>
      <c r="I611" s="383">
        <f>SUM(I591:I610)</f>
        <v>823662</v>
      </c>
      <c r="K611" s="383">
        <f>SUM(K591:K610)</f>
        <v>1396829</v>
      </c>
      <c r="M611" s="397"/>
      <c r="N611" s="405"/>
      <c r="O611" s="383">
        <f>SUM(O591:O610)</f>
        <v>1602112</v>
      </c>
      <c r="P611" s="339"/>
      <c r="Q611" s="332" t="s">
        <v>115</v>
      </c>
      <c r="R611" s="402">
        <f>(O611)/(K611)-1</f>
        <v>0.14696358680983868</v>
      </c>
    </row>
    <row r="612" spans="1:22">
      <c r="A612" s="444" t="s">
        <v>353</v>
      </c>
      <c r="P612" s="339"/>
      <c r="Q612" s="458"/>
    </row>
    <row r="613" spans="1:22">
      <c r="A613" s="348" t="s">
        <v>354</v>
      </c>
      <c r="C613" s="102"/>
      <c r="E613" s="102"/>
      <c r="G613" s="375"/>
      <c r="H613" s="374"/>
      <c r="I613" s="339"/>
      <c r="K613" s="339"/>
      <c r="M613" s="375"/>
      <c r="N613" s="374"/>
      <c r="O613" s="339"/>
      <c r="P613" s="339"/>
      <c r="Q613" s="458"/>
    </row>
    <row r="614" spans="1:22">
      <c r="A614" s="352" t="s">
        <v>186</v>
      </c>
      <c r="C614" s="102">
        <f>C657+C701</f>
        <v>13800</v>
      </c>
      <c r="E614" s="102">
        <f>E657+E701</f>
        <v>58046</v>
      </c>
      <c r="G614" s="375">
        <v>4.22</v>
      </c>
      <c r="H614" s="374"/>
      <c r="I614" s="339">
        <f>ROUND(G614*$C614,0)</f>
        <v>58236</v>
      </c>
      <c r="K614" s="339">
        <f>ROUND(G614*$E614,0)</f>
        <v>244954</v>
      </c>
      <c r="M614" s="375">
        <f>M225</f>
        <v>4.6500000000000004</v>
      </c>
      <c r="N614" s="374"/>
      <c r="O614" s="339">
        <f>ROUND(M614*$E614,0)</f>
        <v>269914</v>
      </c>
      <c r="P614" s="339"/>
      <c r="Q614" s="458"/>
      <c r="T614" s="356">
        <f t="shared" ref="T614:T620" si="156">M614/G614-1</f>
        <v>0.10189573459715651</v>
      </c>
    </row>
    <row r="615" spans="1:22">
      <c r="A615" s="352" t="s">
        <v>187</v>
      </c>
      <c r="C615" s="102">
        <f>C658+C702</f>
        <v>0</v>
      </c>
      <c r="E615" s="102">
        <f>E658+E702</f>
        <v>0</v>
      </c>
      <c r="G615" s="375">
        <v>13.81</v>
      </c>
      <c r="H615" s="374"/>
      <c r="I615" s="339">
        <f>ROUND(G615*$C615,0)</f>
        <v>0</v>
      </c>
      <c r="K615" s="339">
        <f>ROUND(G615*$E615,0)</f>
        <v>0</v>
      </c>
      <c r="M615" s="375">
        <f t="shared" ref="M615:M620" si="157">M226</f>
        <v>15.23</v>
      </c>
      <c r="N615" s="374"/>
      <c r="O615" s="339">
        <f>ROUND(M615*$E615,0)</f>
        <v>0</v>
      </c>
      <c r="P615" s="339"/>
      <c r="Q615" s="458"/>
      <c r="T615" s="356">
        <f t="shared" si="156"/>
        <v>0.10282404055032579</v>
      </c>
    </row>
    <row r="616" spans="1:22">
      <c r="A616" s="352" t="s">
        <v>188</v>
      </c>
      <c r="C616" s="102">
        <f>C659+C700</f>
        <v>13800</v>
      </c>
      <c r="E616" s="102">
        <f>E659+E700</f>
        <v>58046</v>
      </c>
      <c r="G616" s="375">
        <v>9.94</v>
      </c>
      <c r="H616" s="374"/>
      <c r="I616" s="339">
        <f>ROUND(G616*$C616,0)</f>
        <v>137172</v>
      </c>
      <c r="K616" s="339">
        <f>ROUND(G616*$E616,0)</f>
        <v>576977</v>
      </c>
      <c r="M616" s="375">
        <f t="shared" si="157"/>
        <v>10.96</v>
      </c>
      <c r="N616" s="374"/>
      <c r="O616" s="339">
        <f>ROUND(M616*$E616,0)</f>
        <v>636184</v>
      </c>
      <c r="P616" s="339"/>
      <c r="Q616" s="458"/>
      <c r="T616" s="356">
        <f t="shared" si="156"/>
        <v>0.10261569416499006</v>
      </c>
    </row>
    <row r="617" spans="1:22">
      <c r="A617" s="352" t="s">
        <v>127</v>
      </c>
      <c r="C617" s="102">
        <f>C660+C703</f>
        <v>13800</v>
      </c>
      <c r="E617" s="102">
        <f>E660+E703</f>
        <v>58046</v>
      </c>
      <c r="G617" s="375">
        <v>-1.01</v>
      </c>
      <c r="H617" s="374"/>
      <c r="I617" s="339">
        <f>ROUND(G617*$C617,0)</f>
        <v>-13938</v>
      </c>
      <c r="K617" s="339">
        <f>ROUND(G617*$E617,0)</f>
        <v>-58626</v>
      </c>
      <c r="M617" s="375">
        <f t="shared" si="157"/>
        <v>-1.1100000000000001</v>
      </c>
      <c r="N617" s="374"/>
      <c r="O617" s="339">
        <f>ROUND(M617*$E617,0)</f>
        <v>-64431</v>
      </c>
      <c r="P617" s="339"/>
      <c r="Q617" s="458"/>
      <c r="T617" s="356">
        <f t="shared" si="156"/>
        <v>9.9009900990099098E-2</v>
      </c>
    </row>
    <row r="618" spans="1:22">
      <c r="A618" s="352" t="s">
        <v>120</v>
      </c>
      <c r="C618" s="102">
        <f>C661+C704</f>
        <v>1144667</v>
      </c>
      <c r="E618" s="102">
        <f>E661+E704</f>
        <v>4826571</v>
      </c>
      <c r="G618" s="397">
        <v>4.4812000000000003</v>
      </c>
      <c r="H618" s="363" t="s">
        <v>93</v>
      </c>
      <c r="I618" s="339">
        <f>ROUND(G618*$C618/100,0)</f>
        <v>51295</v>
      </c>
      <c r="K618" s="339">
        <f>ROUND(G618*$E618/100,0)</f>
        <v>216288</v>
      </c>
      <c r="M618" s="397">
        <f t="shared" si="157"/>
        <v>4.9404000000000003</v>
      </c>
      <c r="N618" s="363" t="s">
        <v>93</v>
      </c>
      <c r="O618" s="339">
        <f>ROUND(M618*$E618/100,0)</f>
        <v>238452</v>
      </c>
      <c r="P618" s="339"/>
      <c r="Q618" s="458"/>
      <c r="T618" s="356">
        <f t="shared" si="156"/>
        <v>0.10247255199500138</v>
      </c>
    </row>
    <row r="619" spans="1:22">
      <c r="A619" s="352" t="s">
        <v>146</v>
      </c>
      <c r="C619" s="102">
        <f>C662+C705</f>
        <v>4072632</v>
      </c>
      <c r="E619" s="102">
        <f>E662+E705</f>
        <v>17172547</v>
      </c>
      <c r="G619" s="397">
        <v>3.5078</v>
      </c>
      <c r="H619" s="363" t="s">
        <v>93</v>
      </c>
      <c r="I619" s="339">
        <f>ROUND(G619*$C619/100,0)</f>
        <v>142860</v>
      </c>
      <c r="K619" s="339">
        <f>ROUND(G619*$E619/100,0)</f>
        <v>602379</v>
      </c>
      <c r="M619" s="397">
        <f t="shared" si="157"/>
        <v>3.8672</v>
      </c>
      <c r="N619" s="363" t="s">
        <v>93</v>
      </c>
      <c r="O619" s="339">
        <f>ROUND(M619*$E619/100,0)</f>
        <v>664097</v>
      </c>
      <c r="P619" s="339"/>
      <c r="T619" s="356">
        <f t="shared" si="156"/>
        <v>0.10245738069445243</v>
      </c>
    </row>
    <row r="620" spans="1:22">
      <c r="A620" s="352" t="s">
        <v>189</v>
      </c>
      <c r="C620" s="102">
        <f>C663+C706</f>
        <v>5246147</v>
      </c>
      <c r="E620" s="102">
        <f>E663+E706</f>
        <v>22120759.026000001</v>
      </c>
      <c r="G620" s="397">
        <v>3.0226999999999999</v>
      </c>
      <c r="H620" s="363" t="s">
        <v>93</v>
      </c>
      <c r="I620" s="339">
        <f>ROUND(G620*$C620/100,0)</f>
        <v>158575</v>
      </c>
      <c r="K620" s="339">
        <f>ROUND(G620*$E620/100,0)</f>
        <v>668644</v>
      </c>
      <c r="M620" s="397">
        <f t="shared" si="157"/>
        <v>3.3317999999999999</v>
      </c>
      <c r="N620" s="363" t="s">
        <v>93</v>
      </c>
      <c r="O620" s="339">
        <f>ROUND(M620*$E620/100,0)</f>
        <v>737019</v>
      </c>
      <c r="P620" s="339"/>
      <c r="Q620" s="458"/>
      <c r="T620" s="356">
        <f t="shared" si="156"/>
        <v>0.1022595692592716</v>
      </c>
    </row>
    <row r="621" spans="1:22">
      <c r="A621" s="348" t="s">
        <v>355</v>
      </c>
      <c r="C621" s="102"/>
      <c r="E621" s="102"/>
      <c r="G621" s="375"/>
      <c r="H621" s="374"/>
      <c r="I621" s="339"/>
      <c r="K621" s="339"/>
      <c r="M621" s="375"/>
      <c r="N621" s="374"/>
      <c r="O621" s="339"/>
      <c r="P621" s="339"/>
      <c r="Q621" s="458"/>
    </row>
    <row r="622" spans="1:22">
      <c r="A622" s="352" t="s">
        <v>186</v>
      </c>
      <c r="C622" s="102">
        <f t="shared" ref="C622:C627" si="158">C665+C708</f>
        <v>12600</v>
      </c>
      <c r="E622" s="102">
        <f t="shared" ref="E622:E627" si="159">E665+E708</f>
        <v>52999</v>
      </c>
      <c r="G622" s="375">
        <v>1.94</v>
      </c>
      <c r="H622" s="374"/>
      <c r="I622" s="339">
        <f>ROUND(G622*$C622,0)</f>
        <v>24444</v>
      </c>
      <c r="K622" s="339">
        <f>ROUND(G622*$E622,0)</f>
        <v>102818</v>
      </c>
      <c r="M622" s="375">
        <f>M261</f>
        <v>2.2000000000000002</v>
      </c>
      <c r="N622" s="374"/>
      <c r="O622" s="339">
        <f>ROUND(M622*$E622,0)</f>
        <v>116598</v>
      </c>
      <c r="P622" s="339"/>
      <c r="Q622" s="458"/>
      <c r="S622" s="384"/>
      <c r="T622" s="356">
        <f t="shared" ref="T622:T627" si="160">M622/G622-1</f>
        <v>0.13402061855670122</v>
      </c>
    </row>
    <row r="623" spans="1:22">
      <c r="A623" s="352" t="s">
        <v>187</v>
      </c>
      <c r="C623" s="102">
        <f t="shared" si="158"/>
        <v>12600</v>
      </c>
      <c r="E623" s="102">
        <f t="shared" si="159"/>
        <v>52999</v>
      </c>
      <c r="G623" s="375">
        <v>12.18</v>
      </c>
      <c r="H623" s="374"/>
      <c r="I623" s="339">
        <f>ROUND(G623*$C623,0)</f>
        <v>153468</v>
      </c>
      <c r="K623" s="339">
        <f>ROUND(G623*$E623,0)</f>
        <v>645528</v>
      </c>
      <c r="M623" s="375">
        <f t="shared" ref="M623:M627" si="161">M262</f>
        <v>13.79</v>
      </c>
      <c r="N623" s="374"/>
      <c r="O623" s="339">
        <f>ROUND(M623*$E623,0)</f>
        <v>730856</v>
      </c>
      <c r="P623" s="376"/>
      <c r="Q623" s="458"/>
      <c r="T623" s="356">
        <f t="shared" si="160"/>
        <v>0.13218390804597702</v>
      </c>
    </row>
    <row r="624" spans="1:22">
      <c r="A624" s="352" t="s">
        <v>188</v>
      </c>
      <c r="C624" s="102">
        <f t="shared" si="158"/>
        <v>0</v>
      </c>
      <c r="E624" s="102">
        <f t="shared" si="159"/>
        <v>0</v>
      </c>
      <c r="G624" s="375">
        <v>8.26</v>
      </c>
      <c r="H624" s="374"/>
      <c r="I624" s="339">
        <f>ROUND(G624*$C624,0)</f>
        <v>0</v>
      </c>
      <c r="K624" s="339">
        <f>ROUND(G624*$E624,0)</f>
        <v>0</v>
      </c>
      <c r="M624" s="375">
        <f t="shared" si="161"/>
        <v>9.35</v>
      </c>
      <c r="N624" s="374"/>
      <c r="O624" s="339">
        <f>ROUND(M624*$E624,0)</f>
        <v>0</v>
      </c>
      <c r="P624" s="376"/>
      <c r="Q624" s="458"/>
      <c r="T624" s="356">
        <f t="shared" si="160"/>
        <v>0.13196125907990308</v>
      </c>
      <c r="U624" s="384"/>
    </row>
    <row r="625" spans="1:22">
      <c r="A625" s="352" t="s">
        <v>194</v>
      </c>
      <c r="C625" s="102">
        <f t="shared" si="158"/>
        <v>1513583</v>
      </c>
      <c r="E625" s="102">
        <f t="shared" si="159"/>
        <v>4903975</v>
      </c>
      <c r="G625" s="407">
        <v>4.0587999999999997</v>
      </c>
      <c r="H625" s="363" t="s">
        <v>93</v>
      </c>
      <c r="I625" s="339">
        <f>ROUND(G625*$C625/100,0)</f>
        <v>61433</v>
      </c>
      <c r="K625" s="339">
        <f>ROUND(G625*$E625/100,0)</f>
        <v>199043</v>
      </c>
      <c r="M625" s="407">
        <f t="shared" si="161"/>
        <v>4.5964</v>
      </c>
      <c r="N625" s="363" t="s">
        <v>93</v>
      </c>
      <c r="O625" s="339">
        <f>ROUND(M625*$E625/100,0)</f>
        <v>225406</v>
      </c>
      <c r="P625" s="376"/>
      <c r="Q625" s="458"/>
      <c r="T625" s="356">
        <f t="shared" si="160"/>
        <v>0.13245294175618416</v>
      </c>
    </row>
    <row r="626" spans="1:22">
      <c r="A626" s="352" t="s">
        <v>195</v>
      </c>
      <c r="C626" s="102">
        <f t="shared" si="158"/>
        <v>963000</v>
      </c>
      <c r="E626" s="102">
        <f t="shared" si="159"/>
        <v>213357</v>
      </c>
      <c r="G626" s="407">
        <v>3.052</v>
      </c>
      <c r="H626" s="363" t="s">
        <v>93</v>
      </c>
      <c r="I626" s="339">
        <f>ROUND(G626*$C626/100,0)</f>
        <v>29391</v>
      </c>
      <c r="K626" s="339">
        <f>ROUND(G626*$E626/100,0)</f>
        <v>6512</v>
      </c>
      <c r="M626" s="407">
        <f t="shared" si="161"/>
        <v>3.4563000000000001</v>
      </c>
      <c r="N626" s="363" t="s">
        <v>93</v>
      </c>
      <c r="O626" s="339">
        <f>ROUND(M626*$E626/100,0)</f>
        <v>7374</v>
      </c>
      <c r="P626" s="376"/>
      <c r="T626" s="356">
        <f t="shared" si="160"/>
        <v>0.132470511140236</v>
      </c>
      <c r="V626" s="384"/>
    </row>
    <row r="627" spans="1:22">
      <c r="A627" s="352" t="s">
        <v>189</v>
      </c>
      <c r="C627" s="442">
        <f t="shared" si="158"/>
        <v>4379215</v>
      </c>
      <c r="E627" s="442">
        <f t="shared" si="159"/>
        <v>10541630</v>
      </c>
      <c r="G627" s="459">
        <v>2.5488</v>
      </c>
      <c r="H627" s="363" t="s">
        <v>93</v>
      </c>
      <c r="I627" s="414">
        <f>ROUND(G627*$C627/100,0)</f>
        <v>111617</v>
      </c>
      <c r="K627" s="414">
        <f>ROUND(G627*$E627/100,0)</f>
        <v>268685</v>
      </c>
      <c r="M627" s="459">
        <f t="shared" si="161"/>
        <v>2.8868</v>
      </c>
      <c r="N627" s="363" t="s">
        <v>93</v>
      </c>
      <c r="O627" s="414">
        <f>ROUND(M627*$E627/100,0)</f>
        <v>304316</v>
      </c>
      <c r="S627" s="453"/>
      <c r="T627" s="356">
        <f t="shared" si="160"/>
        <v>0.13261142498430645</v>
      </c>
    </row>
    <row r="628" spans="1:22">
      <c r="A628" s="352" t="s">
        <v>327</v>
      </c>
      <c r="C628" s="357"/>
      <c r="E628" s="357"/>
      <c r="G628" s="460"/>
      <c r="H628" s="363"/>
      <c r="I628" s="376">
        <f>SUM(I614:I627)</f>
        <v>914553</v>
      </c>
      <c r="K628" s="376">
        <f>SUM(K614:K627)</f>
        <v>3473202</v>
      </c>
      <c r="M628" s="460"/>
      <c r="N628" s="363"/>
      <c r="O628" s="376">
        <f>SUM(O614:O627)</f>
        <v>3865785</v>
      </c>
      <c r="Q628" s="332" t="s">
        <v>94</v>
      </c>
      <c r="R628" s="390">
        <f>O628/K628-1</f>
        <v>0.11303200907980582</v>
      </c>
      <c r="S628" s="453"/>
      <c r="T628" s="356"/>
    </row>
    <row r="629" spans="1:22">
      <c r="A629" s="332" t="s">
        <v>182</v>
      </c>
      <c r="C629" s="432">
        <f>C672+C715</f>
        <v>45446</v>
      </c>
      <c r="E629" s="432">
        <f>E672+E715</f>
        <v>0</v>
      </c>
      <c r="G629" s="397"/>
      <c r="H629" s="405"/>
      <c r="I629" s="383">
        <f>I672+I715</f>
        <v>2410</v>
      </c>
      <c r="K629" s="383">
        <v>0</v>
      </c>
      <c r="M629" s="397"/>
      <c r="N629" s="405"/>
      <c r="O629" s="383">
        <v>0</v>
      </c>
    </row>
    <row r="630" spans="1:22" ht="16.5" thickBot="1">
      <c r="A630" s="352" t="s">
        <v>356</v>
      </c>
      <c r="C630" s="400">
        <f>SUM(C618:C620,C625:C627,C629)</f>
        <v>17364690</v>
      </c>
      <c r="E630" s="400">
        <f>SUM(E618:E620,E625:E627,E629)</f>
        <v>59778839.026000001</v>
      </c>
      <c r="G630" s="393"/>
      <c r="I630" s="394">
        <f>I611+I628+I629</f>
        <v>1740625</v>
      </c>
      <c r="K630" s="394">
        <f>K611+K628+K629</f>
        <v>4870031</v>
      </c>
      <c r="M630" s="393"/>
      <c r="O630" s="394">
        <f>O611+O628+O629</f>
        <v>5467897</v>
      </c>
      <c r="Q630" s="332" t="s">
        <v>94</v>
      </c>
      <c r="R630" s="390">
        <f>O630/K630-1</f>
        <v>0.12276431094586471</v>
      </c>
    </row>
    <row r="631" spans="1:22" ht="16.5" thickTop="1">
      <c r="P631" s="339"/>
      <c r="S631" s="453"/>
      <c r="T631" s="453"/>
      <c r="U631" s="339"/>
      <c r="V631" s="102"/>
    </row>
    <row r="632" spans="1:22">
      <c r="A632" s="348" t="s">
        <v>357</v>
      </c>
      <c r="C632" s="102"/>
      <c r="E632" s="102"/>
      <c r="G632" s="397"/>
      <c r="H632" s="405"/>
      <c r="M632" s="397"/>
      <c r="N632" s="405"/>
      <c r="P632" s="339"/>
    </row>
    <row r="633" spans="1:22">
      <c r="A633" s="444" t="s">
        <v>342</v>
      </c>
      <c r="C633" s="102"/>
      <c r="E633" s="102"/>
      <c r="P633" s="339"/>
      <c r="T633" s="453"/>
      <c r="U633" s="339"/>
    </row>
    <row r="634" spans="1:22">
      <c r="A634" s="352" t="s">
        <v>344</v>
      </c>
      <c r="B634" s="352"/>
      <c r="C634" s="102">
        <v>0</v>
      </c>
      <c r="E634" s="102">
        <v>0</v>
      </c>
      <c r="G634" s="99">
        <v>116</v>
      </c>
      <c r="H634" s="353"/>
      <c r="I634" s="339">
        <f>ROUND(G634*$C634,0)</f>
        <v>0</v>
      </c>
      <c r="K634" s="339">
        <f>ROUND(G634*$E634,0)</f>
        <v>0</v>
      </c>
      <c r="M634" s="99">
        <f>M591</f>
        <v>133</v>
      </c>
      <c r="N634" s="353"/>
      <c r="O634" s="339">
        <f>ROUND(M634*$E634,0)</f>
        <v>0</v>
      </c>
      <c r="P634" s="339"/>
      <c r="S634" s="453"/>
      <c r="T634" s="356">
        <f t="shared" ref="T634:T635" si="162">M634/G634-1</f>
        <v>0.14655172413793105</v>
      </c>
    </row>
    <row r="635" spans="1:22">
      <c r="A635" s="352" t="s">
        <v>345</v>
      </c>
      <c r="B635" s="352"/>
      <c r="C635" s="102">
        <v>0</v>
      </c>
      <c r="E635" s="102">
        <f>ROUND(C635*$E$673/$C$673,0)</f>
        <v>0</v>
      </c>
      <c r="G635" s="99">
        <v>4.26</v>
      </c>
      <c r="H635" s="353"/>
      <c r="I635" s="339">
        <f>ROUND(G635*$C635,0)</f>
        <v>0</v>
      </c>
      <c r="K635" s="339">
        <f>ROUND(G635*$E635,0)</f>
        <v>0</v>
      </c>
      <c r="M635" s="99">
        <f>M592</f>
        <v>4.88</v>
      </c>
      <c r="N635" s="353"/>
      <c r="O635" s="339">
        <f>ROUND(M635*$E635,0)</f>
        <v>0</v>
      </c>
      <c r="P635" s="339"/>
      <c r="R635" s="402"/>
      <c r="T635" s="356">
        <f t="shared" si="162"/>
        <v>0.14553990610328649</v>
      </c>
      <c r="V635" s="102"/>
    </row>
    <row r="636" spans="1:22">
      <c r="A636" s="352" t="s">
        <v>346</v>
      </c>
      <c r="B636" s="352"/>
      <c r="C636" s="102"/>
      <c r="E636" s="102"/>
      <c r="G636" s="375"/>
      <c r="H636" s="374"/>
      <c r="I636" s="339"/>
      <c r="K636" s="339"/>
      <c r="M636" s="375"/>
      <c r="N636" s="374"/>
      <c r="O636" s="339"/>
      <c r="R636" s="402"/>
      <c r="S636" s="453"/>
      <c r="T636" s="453"/>
      <c r="U636" s="339"/>
    </row>
    <row r="637" spans="1:22">
      <c r="A637" s="352" t="s">
        <v>347</v>
      </c>
      <c r="B637" s="352"/>
      <c r="C637" s="102">
        <v>0</v>
      </c>
      <c r="E637" s="102">
        <f>ROUND(C637*$E$673/$C$673,0)</f>
        <v>0</v>
      </c>
      <c r="G637" s="454">
        <v>0.58679999999999999</v>
      </c>
      <c r="H637" s="455"/>
      <c r="I637" s="339">
        <f>ROUND(G637*$C637,0)</f>
        <v>0</v>
      </c>
      <c r="K637" s="339">
        <f>ROUND(G637*$E637,0)</f>
        <v>0</v>
      </c>
      <c r="M637" s="454">
        <f t="shared" ref="M637:M639" si="163">M594</f>
        <v>0.67169999999999996</v>
      </c>
      <c r="N637" s="455"/>
      <c r="O637" s="339">
        <f>ROUND(M637*$E637,0)</f>
        <v>0</v>
      </c>
      <c r="P637" s="339"/>
      <c r="R637" s="402"/>
      <c r="S637" s="453"/>
      <c r="T637" s="356">
        <f t="shared" ref="T637:T639" si="164">M637/G637-1</f>
        <v>0.14468302658486709</v>
      </c>
    </row>
    <row r="638" spans="1:22">
      <c r="A638" s="352" t="s">
        <v>348</v>
      </c>
      <c r="B638" s="352"/>
      <c r="C638" s="102">
        <v>0</v>
      </c>
      <c r="E638" s="102">
        <f>ROUND(C638*$E$673/$C$673,0)</f>
        <v>0</v>
      </c>
      <c r="G638" s="456">
        <v>0.29339999999999999</v>
      </c>
      <c r="H638" s="457"/>
      <c r="I638" s="339">
        <f>ROUND(G638*$C638,0)</f>
        <v>0</v>
      </c>
      <c r="K638" s="339">
        <f>ROUND(G638*$E638,0)</f>
        <v>0</v>
      </c>
      <c r="M638" s="456">
        <f t="shared" si="163"/>
        <v>0.33589999999999998</v>
      </c>
      <c r="N638" s="457"/>
      <c r="O638" s="339">
        <f>ROUND(M638*$E638,0)</f>
        <v>0</v>
      </c>
      <c r="P638" s="339"/>
      <c r="S638" s="453"/>
      <c r="T638" s="356">
        <f t="shared" si="164"/>
        <v>0.14485344239945452</v>
      </c>
      <c r="U638" s="339"/>
      <c r="V638" s="102"/>
    </row>
    <row r="639" spans="1:22">
      <c r="A639" s="352" t="s">
        <v>349</v>
      </c>
      <c r="B639" s="352"/>
      <c r="C639" s="102">
        <v>0</v>
      </c>
      <c r="E639" s="102">
        <f>ROUND(C639*$E$673/$C$673,0)</f>
        <v>0</v>
      </c>
      <c r="G639" s="99">
        <v>55.28</v>
      </c>
      <c r="H639" s="353"/>
      <c r="I639" s="339">
        <f>ROUND(G639*$C639,0)</f>
        <v>0</v>
      </c>
      <c r="K639" s="339">
        <f>ROUND(G639*$E639,0)</f>
        <v>0</v>
      </c>
      <c r="M639" s="99">
        <f t="shared" si="163"/>
        <v>63.28</v>
      </c>
      <c r="N639" s="353"/>
      <c r="O639" s="339">
        <f>ROUND(M639*$E639,0)</f>
        <v>0</v>
      </c>
      <c r="P639" s="339"/>
      <c r="T639" s="356">
        <f t="shared" si="164"/>
        <v>0.14471780028943559</v>
      </c>
      <c r="U639" s="339"/>
    </row>
    <row r="640" spans="1:22">
      <c r="A640" s="444" t="s">
        <v>351</v>
      </c>
      <c r="C640" s="102"/>
      <c r="E640" s="102"/>
      <c r="P640" s="339"/>
      <c r="Q640" s="99"/>
      <c r="R640" s="396"/>
      <c r="T640" s="453"/>
      <c r="U640" s="339"/>
      <c r="V640" s="102"/>
    </row>
    <row r="641" spans="1:22">
      <c r="A641" s="352" t="s">
        <v>344</v>
      </c>
      <c r="C641" s="102">
        <v>23.9999855072464</v>
      </c>
      <c r="E641" s="102">
        <v>34.559999165216908</v>
      </c>
      <c r="G641" s="99">
        <v>527</v>
      </c>
      <c r="H641" s="353"/>
      <c r="I641" s="339">
        <f>ROUND(G641*$C641,0)</f>
        <v>12648</v>
      </c>
      <c r="K641" s="339">
        <f>ROUND(G641*$E641,0)</f>
        <v>18213</v>
      </c>
      <c r="M641" s="99">
        <f t="shared" ref="M641:M642" si="165">M598</f>
        <v>603</v>
      </c>
      <c r="N641" s="353"/>
      <c r="O641" s="339">
        <f>ROUND(M641*$E641,0)</f>
        <v>20840</v>
      </c>
      <c r="P641" s="339"/>
      <c r="S641" s="453"/>
      <c r="T641" s="356">
        <f t="shared" ref="T641:T642" si="166">M641/G641-1</f>
        <v>0.14421252371916515</v>
      </c>
      <c r="V641" s="102"/>
    </row>
    <row r="642" spans="1:22">
      <c r="A642" s="352" t="s">
        <v>345</v>
      </c>
      <c r="C642" s="102">
        <v>39600</v>
      </c>
      <c r="E642" s="102">
        <f>ROUND(C642*$E$673/$C$673,0)</f>
        <v>166568</v>
      </c>
      <c r="G642" s="99">
        <v>3.35</v>
      </c>
      <c r="H642" s="353"/>
      <c r="I642" s="339">
        <f>ROUND(G642*$C642,0)</f>
        <v>132660</v>
      </c>
      <c r="K642" s="339">
        <f>ROUND(G642*$E642,0)</f>
        <v>558003</v>
      </c>
      <c r="M642" s="99">
        <f t="shared" si="165"/>
        <v>3.83</v>
      </c>
      <c r="N642" s="353"/>
      <c r="O642" s="339">
        <f>ROUND(M642*$E642,0)</f>
        <v>637955</v>
      </c>
      <c r="P642" s="339"/>
      <c r="Q642" s="454"/>
      <c r="R642" s="396"/>
      <c r="T642" s="356">
        <f t="shared" si="166"/>
        <v>0.14328358208955216</v>
      </c>
      <c r="V642" s="102"/>
    </row>
    <row r="643" spans="1:22">
      <c r="A643" s="352" t="s">
        <v>346</v>
      </c>
      <c r="C643" s="102"/>
      <c r="E643" s="102"/>
      <c r="G643" s="99"/>
      <c r="H643" s="353"/>
      <c r="I643" s="339"/>
      <c r="K643" s="339"/>
      <c r="M643" s="375"/>
      <c r="N643" s="353"/>
      <c r="O643" s="339"/>
      <c r="Q643" s="99"/>
      <c r="S643" s="453"/>
      <c r="T643" s="453"/>
      <c r="U643" s="339"/>
    </row>
    <row r="644" spans="1:22">
      <c r="A644" s="352" t="s">
        <v>347</v>
      </c>
      <c r="C644" s="102">
        <v>255103.99414285499</v>
      </c>
      <c r="E644" s="102">
        <f>ROUND(C644*$E$673/$C$673,0)</f>
        <v>1073035</v>
      </c>
      <c r="G644" s="454">
        <v>0.57099999999999995</v>
      </c>
      <c r="H644" s="455"/>
      <c r="I644" s="339">
        <f>ROUND(G644*$C644,0)</f>
        <v>145664</v>
      </c>
      <c r="K644" s="339">
        <f>ROUND(G644*$E644,0)</f>
        <v>612703</v>
      </c>
      <c r="M644" s="454">
        <f t="shared" ref="M644:M646" si="167">M601</f>
        <v>0.65749999999999997</v>
      </c>
      <c r="N644" s="455"/>
      <c r="O644" s="339">
        <f>ROUND(M644*$E644,0)</f>
        <v>705521</v>
      </c>
      <c r="P644" s="339"/>
      <c r="Q644" s="351"/>
      <c r="R644" s="376"/>
      <c r="T644" s="356">
        <f t="shared" ref="T644:T646" si="168">M644/G644-1</f>
        <v>0.15148861646234679</v>
      </c>
    </row>
    <row r="645" spans="1:22">
      <c r="A645" s="352" t="s">
        <v>348</v>
      </c>
      <c r="C645" s="102">
        <v>18841.983535868301</v>
      </c>
      <c r="E645" s="102">
        <f>ROUND(C645*$E$673/$C$673,0)</f>
        <v>79254</v>
      </c>
      <c r="G645" s="456">
        <v>0.28549999999999998</v>
      </c>
      <c r="H645" s="457"/>
      <c r="I645" s="339">
        <f>ROUND(G645*$C645,0)</f>
        <v>5379</v>
      </c>
      <c r="K645" s="339">
        <f>ROUND(G645*$E645,0)</f>
        <v>22627</v>
      </c>
      <c r="M645" s="456">
        <f t="shared" si="167"/>
        <v>0.32879999999999998</v>
      </c>
      <c r="N645" s="457"/>
      <c r="O645" s="339">
        <f>ROUND(M645*$E645,0)</f>
        <v>26059</v>
      </c>
      <c r="P645" s="339"/>
      <c r="Q645" s="351"/>
      <c r="R645" s="376"/>
      <c r="S645" s="453"/>
      <c r="T645" s="356">
        <f t="shared" si="168"/>
        <v>0.15166374781085823</v>
      </c>
      <c r="U645" s="339"/>
      <c r="V645" s="102"/>
    </row>
    <row r="646" spans="1:22">
      <c r="A646" s="352" t="s">
        <v>349</v>
      </c>
      <c r="C646" s="102">
        <v>0</v>
      </c>
      <c r="E646" s="102">
        <f>ROUND(C646*$E$673/$C$673,0)</f>
        <v>0</v>
      </c>
      <c r="G646" s="99">
        <v>39.840000000000003</v>
      </c>
      <c r="H646" s="353"/>
      <c r="I646" s="339">
        <f>ROUND(G646*$C646,0)</f>
        <v>0</v>
      </c>
      <c r="K646" s="339">
        <f>ROUND(G646*$E646,0)</f>
        <v>0</v>
      </c>
      <c r="M646" s="99">
        <f t="shared" si="167"/>
        <v>45.6</v>
      </c>
      <c r="N646" s="353"/>
      <c r="O646" s="339">
        <f>ROUND(M646*$E646,0)</f>
        <v>0</v>
      </c>
      <c r="P646" s="339"/>
      <c r="Q646" s="424"/>
      <c r="R646" s="376"/>
      <c r="T646" s="356">
        <f t="shared" si="168"/>
        <v>0.14457831325301207</v>
      </c>
    </row>
    <row r="647" spans="1:22">
      <c r="A647" s="444" t="s">
        <v>352</v>
      </c>
      <c r="C647" s="102"/>
      <c r="E647" s="102"/>
      <c r="P647" s="339"/>
      <c r="Q647" s="333"/>
      <c r="R647" s="402"/>
      <c r="T647" s="453"/>
      <c r="U647" s="339"/>
      <c r="V647" s="102"/>
    </row>
    <row r="648" spans="1:22">
      <c r="A648" s="352" t="s">
        <v>344</v>
      </c>
      <c r="C648" s="102">
        <v>1</v>
      </c>
      <c r="E648" s="102">
        <v>1.4400008347830913</v>
      </c>
      <c r="G648" s="99">
        <v>590</v>
      </c>
      <c r="H648" s="353"/>
      <c r="I648" s="339">
        <f>ROUND(G648*$C648,0)</f>
        <v>590</v>
      </c>
      <c r="K648" s="339">
        <f>ROUND(G648*$E648,0)</f>
        <v>850</v>
      </c>
      <c r="M648" s="99">
        <f t="shared" ref="M648:M649" si="169">M605</f>
        <v>675</v>
      </c>
      <c r="N648" s="353"/>
      <c r="O648" s="339">
        <f>ROUND(M648*$E648,0)</f>
        <v>972</v>
      </c>
      <c r="P648" s="339"/>
      <c r="Q648" s="333"/>
      <c r="R648" s="402"/>
      <c r="T648" s="356">
        <f t="shared" ref="T648:T649" si="170">M648/G648-1</f>
        <v>0.14406779661016955</v>
      </c>
      <c r="U648" s="339"/>
      <c r="V648" s="102"/>
    </row>
    <row r="649" spans="1:22">
      <c r="A649" s="352" t="s">
        <v>345</v>
      </c>
      <c r="C649" s="102">
        <v>5400</v>
      </c>
      <c r="E649" s="102">
        <f>ROUND(C649*$E$673/$C$673,0)</f>
        <v>22714</v>
      </c>
      <c r="G649" s="99">
        <v>1.9</v>
      </c>
      <c r="H649" s="353"/>
      <c r="I649" s="339">
        <f>ROUND(G649*$C649,0)</f>
        <v>10260</v>
      </c>
      <c r="K649" s="339">
        <f>ROUND(G649*$E649,0)</f>
        <v>43157</v>
      </c>
      <c r="M649" s="99">
        <f t="shared" si="169"/>
        <v>2.17</v>
      </c>
      <c r="N649" s="353"/>
      <c r="O649" s="339">
        <f>ROUND(M649*$E649,0)</f>
        <v>49289</v>
      </c>
      <c r="P649" s="339"/>
      <c r="Q649" s="333"/>
      <c r="R649" s="402"/>
      <c r="T649" s="356">
        <f t="shared" si="170"/>
        <v>0.14210526315789473</v>
      </c>
      <c r="U649" s="339"/>
      <c r="V649" s="102"/>
    </row>
    <row r="650" spans="1:22">
      <c r="A650" s="352" t="s">
        <v>346</v>
      </c>
      <c r="C650" s="102"/>
      <c r="E650" s="102"/>
      <c r="G650" s="375"/>
      <c r="H650" s="374"/>
      <c r="I650" s="339"/>
      <c r="K650" s="339"/>
      <c r="M650" s="375"/>
      <c r="N650" s="374"/>
      <c r="O650" s="339"/>
      <c r="P650" s="376"/>
      <c r="Q650" s="333"/>
      <c r="R650" s="402"/>
      <c r="V650" s="102"/>
    </row>
    <row r="651" spans="1:22">
      <c r="A651" s="352" t="s">
        <v>347</v>
      </c>
      <c r="C651" s="102">
        <v>11941.991017964099</v>
      </c>
      <c r="E651" s="102">
        <f>ROUND(C651*$E$673/$C$673,0)</f>
        <v>50231</v>
      </c>
      <c r="G651" s="454">
        <v>0.44850000000000001</v>
      </c>
      <c r="H651" s="455"/>
      <c r="I651" s="339">
        <f>ROUND(G651*$C651,0)</f>
        <v>5356</v>
      </c>
      <c r="K651" s="339">
        <f>ROUND(G651*$E651,0)</f>
        <v>22529</v>
      </c>
      <c r="M651" s="454">
        <f t="shared" ref="M651:M653" si="171">M608</f>
        <v>0.51339999999999997</v>
      </c>
      <c r="N651" s="455"/>
      <c r="O651" s="339">
        <f>ROUND(M651*$E651,0)</f>
        <v>25789</v>
      </c>
      <c r="P651" s="376"/>
      <c r="Q651" s="99"/>
      <c r="R651" s="396"/>
      <c r="T651" s="356">
        <f t="shared" ref="T651:T653" si="172">M651/G651-1</f>
        <v>0.14470457079152732</v>
      </c>
      <c r="U651" s="339"/>
      <c r="V651" s="384"/>
    </row>
    <row r="652" spans="1:22">
      <c r="A652" s="352" t="s">
        <v>348</v>
      </c>
      <c r="C652" s="102">
        <v>0</v>
      </c>
      <c r="E652" s="102">
        <f>ROUND(C652*$E$673/$C$673,0)</f>
        <v>0</v>
      </c>
      <c r="G652" s="456">
        <v>0.2243</v>
      </c>
      <c r="H652" s="457"/>
      <c r="I652" s="339">
        <f>ROUND(G652*$C652,0)</f>
        <v>0</v>
      </c>
      <c r="K652" s="339">
        <f>ROUND(G652*$E652,0)</f>
        <v>0</v>
      </c>
      <c r="M652" s="456">
        <f t="shared" si="171"/>
        <v>0.25669999999999998</v>
      </c>
      <c r="N652" s="457"/>
      <c r="O652" s="339">
        <f>ROUND(M652*$E652,0)</f>
        <v>0</v>
      </c>
      <c r="P652" s="376"/>
      <c r="R652" s="396"/>
      <c r="T652" s="356">
        <f t="shared" si="172"/>
        <v>0.14444939812750768</v>
      </c>
      <c r="U652" s="339"/>
      <c r="V652" s="384"/>
    </row>
    <row r="653" spans="1:22">
      <c r="A653" s="352" t="s">
        <v>349</v>
      </c>
      <c r="C653" s="102">
        <v>0</v>
      </c>
      <c r="E653" s="102">
        <f>ROUND(C653*$E$673/$C$673,0)</f>
        <v>0</v>
      </c>
      <c r="G653" s="99">
        <v>38.36</v>
      </c>
      <c r="H653" s="353"/>
      <c r="I653" s="339">
        <f>ROUND(G653*$C653,0)</f>
        <v>0</v>
      </c>
      <c r="K653" s="339">
        <f>ROUND(G653*$E653,0)</f>
        <v>0</v>
      </c>
      <c r="M653" s="99">
        <f t="shared" si="171"/>
        <v>43.91</v>
      </c>
      <c r="N653" s="353"/>
      <c r="O653" s="339">
        <f>ROUND(M653*$E653,0)</f>
        <v>0</v>
      </c>
      <c r="P653" s="376"/>
      <c r="T653" s="356">
        <f t="shared" si="172"/>
        <v>0.14468196037539105</v>
      </c>
      <c r="V653" s="384"/>
    </row>
    <row r="654" spans="1:22">
      <c r="A654" s="352" t="s">
        <v>327</v>
      </c>
      <c r="C654" s="432"/>
      <c r="E654" s="432"/>
      <c r="G654" s="397"/>
      <c r="H654" s="405"/>
      <c r="I654" s="383">
        <f>SUM(I634:I653)</f>
        <v>312557</v>
      </c>
      <c r="K654" s="383">
        <f>SUM(K634:K653)</f>
        <v>1278082</v>
      </c>
      <c r="M654" s="397"/>
      <c r="N654" s="405"/>
      <c r="O654" s="383">
        <f>SUM(O634:O653)</f>
        <v>1466425</v>
      </c>
      <c r="P654" s="339"/>
      <c r="Q654" s="332" t="s">
        <v>94</v>
      </c>
      <c r="R654" s="390">
        <f>O654/K654-1</f>
        <v>0.14736378417034279</v>
      </c>
    </row>
    <row r="655" spans="1:22">
      <c r="A655" s="444" t="s">
        <v>353</v>
      </c>
      <c r="P655" s="339"/>
      <c r="Q655" s="458"/>
    </row>
    <row r="656" spans="1:22">
      <c r="A656" s="348" t="s">
        <v>354</v>
      </c>
      <c r="C656" s="102"/>
      <c r="E656" s="102"/>
      <c r="G656" s="375"/>
      <c r="H656" s="374"/>
      <c r="I656" s="339"/>
      <c r="K656" s="339"/>
      <c r="M656" s="375"/>
      <c r="N656" s="374"/>
      <c r="O656" s="339"/>
      <c r="P656" s="339"/>
      <c r="Q656" s="458"/>
    </row>
    <row r="657" spans="1:22">
      <c r="A657" s="352" t="s">
        <v>186</v>
      </c>
      <c r="C657" s="102">
        <v>13800</v>
      </c>
      <c r="E657" s="102">
        <f>ROUND(C657*$E$673/$C$673,0)</f>
        <v>58046</v>
      </c>
      <c r="G657" s="375">
        <v>4.22</v>
      </c>
      <c r="H657" s="374"/>
      <c r="I657" s="339">
        <f>ROUND(G657*$C657,0)</f>
        <v>58236</v>
      </c>
      <c r="K657" s="339">
        <f>ROUND(G657*$E657,0)</f>
        <v>244954</v>
      </c>
      <c r="M657" s="375">
        <f t="shared" ref="M657:M663" si="173">M614</f>
        <v>4.6500000000000004</v>
      </c>
      <c r="N657" s="374"/>
      <c r="O657" s="339">
        <f>ROUND(M657*$E657,0)</f>
        <v>269914</v>
      </c>
      <c r="P657" s="339"/>
      <c r="Q657" s="458"/>
      <c r="T657" s="356">
        <f t="shared" ref="T657:T663" si="174">M657/G657-1</f>
        <v>0.10189573459715651</v>
      </c>
    </row>
    <row r="658" spans="1:22">
      <c r="A658" s="352" t="s">
        <v>187</v>
      </c>
      <c r="C658" s="102">
        <v>0</v>
      </c>
      <c r="E658" s="102">
        <f>ROUND(C658*$E$673/$C$673,0)</f>
        <v>0</v>
      </c>
      <c r="G658" s="375">
        <v>13.81</v>
      </c>
      <c r="H658" s="374"/>
      <c r="I658" s="339">
        <f>ROUND(G658*$C658,0)</f>
        <v>0</v>
      </c>
      <c r="K658" s="339">
        <f>ROUND(G658*$E658,0)</f>
        <v>0</v>
      </c>
      <c r="M658" s="375">
        <f t="shared" si="173"/>
        <v>15.23</v>
      </c>
      <c r="N658" s="374"/>
      <c r="O658" s="339">
        <f>ROUND(M658*$E658,0)</f>
        <v>0</v>
      </c>
      <c r="P658" s="339"/>
      <c r="Q658" s="458"/>
      <c r="T658" s="356">
        <f t="shared" si="174"/>
        <v>0.10282404055032579</v>
      </c>
    </row>
    <row r="659" spans="1:22">
      <c r="A659" s="352" t="s">
        <v>188</v>
      </c>
      <c r="C659" s="102">
        <v>13800</v>
      </c>
      <c r="E659" s="102">
        <f>ROUND(C659*$E$673/$C$673,0)</f>
        <v>58046</v>
      </c>
      <c r="G659" s="375">
        <v>9.94</v>
      </c>
      <c r="H659" s="374"/>
      <c r="I659" s="339">
        <f>ROUND(G659*$C659,0)</f>
        <v>137172</v>
      </c>
      <c r="K659" s="339">
        <f>ROUND(G659*$E659,0)</f>
        <v>576977</v>
      </c>
      <c r="M659" s="375">
        <f t="shared" si="173"/>
        <v>10.96</v>
      </c>
      <c r="N659" s="374"/>
      <c r="O659" s="339">
        <f>ROUND(M659*$E659,0)</f>
        <v>636184</v>
      </c>
      <c r="P659" s="339"/>
      <c r="Q659" s="458"/>
      <c r="T659" s="356">
        <f t="shared" si="174"/>
        <v>0.10261569416499006</v>
      </c>
    </row>
    <row r="660" spans="1:22">
      <c r="A660" s="352" t="s">
        <v>127</v>
      </c>
      <c r="C660" s="102">
        <v>13800</v>
      </c>
      <c r="E660" s="102">
        <f>ROUND(C660*$E$673/$C$673,0)</f>
        <v>58046</v>
      </c>
      <c r="G660" s="375">
        <v>-1.01</v>
      </c>
      <c r="H660" s="374"/>
      <c r="I660" s="339">
        <f>ROUND(G660*$C660,0)</f>
        <v>-13938</v>
      </c>
      <c r="K660" s="339">
        <f>ROUND(G660*$E660,0)</f>
        <v>-58626</v>
      </c>
      <c r="M660" s="375">
        <f t="shared" si="173"/>
        <v>-1.1100000000000001</v>
      </c>
      <c r="N660" s="374"/>
      <c r="O660" s="339">
        <f>ROUND(M660*$E660,0)</f>
        <v>-64431</v>
      </c>
      <c r="P660" s="339"/>
      <c r="Q660" s="458"/>
      <c r="T660" s="356">
        <f t="shared" si="174"/>
        <v>9.9009900990099098E-2</v>
      </c>
    </row>
    <row r="661" spans="1:22">
      <c r="A661" s="352" t="s">
        <v>120</v>
      </c>
      <c r="C661" s="102">
        <v>1144667</v>
      </c>
      <c r="E661" s="102">
        <f>ROUND(C661*$E$673/($C$673-$C$672),0)</f>
        <v>4826571</v>
      </c>
      <c r="G661" s="397">
        <v>4.4812000000000003</v>
      </c>
      <c r="H661" s="363" t="s">
        <v>93</v>
      </c>
      <c r="I661" s="339">
        <f>ROUND(G661*$C661/100,0)</f>
        <v>51295</v>
      </c>
      <c r="K661" s="339">
        <f>ROUND(G661*$E661/100,0)</f>
        <v>216288</v>
      </c>
      <c r="M661" s="397">
        <f t="shared" si="173"/>
        <v>4.9404000000000003</v>
      </c>
      <c r="N661" s="363" t="s">
        <v>93</v>
      </c>
      <c r="O661" s="339">
        <f>ROUND(M661*$E661/100,0)</f>
        <v>238452</v>
      </c>
      <c r="P661" s="339"/>
      <c r="Q661" s="458"/>
      <c r="T661" s="356">
        <f t="shared" si="174"/>
        <v>0.10247255199500138</v>
      </c>
    </row>
    <row r="662" spans="1:22">
      <c r="A662" s="352" t="s">
        <v>146</v>
      </c>
      <c r="C662" s="102">
        <v>4072632</v>
      </c>
      <c r="E662" s="102">
        <f>ROUND(C662*$E$673/($C$673-$C$672),0)</f>
        <v>17172547</v>
      </c>
      <c r="G662" s="397">
        <v>3.5078</v>
      </c>
      <c r="H662" s="363" t="s">
        <v>93</v>
      </c>
      <c r="I662" s="339">
        <f>ROUND(G662*$C662/100,0)</f>
        <v>142860</v>
      </c>
      <c r="K662" s="339">
        <f>ROUND(G662*$E662/100,0)</f>
        <v>602379</v>
      </c>
      <c r="M662" s="397">
        <f t="shared" si="173"/>
        <v>3.8672</v>
      </c>
      <c r="N662" s="363" t="s">
        <v>93</v>
      </c>
      <c r="O662" s="339">
        <f>ROUND(M662*$E662/100,0)</f>
        <v>664097</v>
      </c>
      <c r="P662" s="339"/>
      <c r="T662" s="356">
        <f t="shared" si="174"/>
        <v>0.10245738069445243</v>
      </c>
    </row>
    <row r="663" spans="1:22">
      <c r="A663" s="352" t="s">
        <v>189</v>
      </c>
      <c r="C663" s="102">
        <v>5246147</v>
      </c>
      <c r="E663" s="102">
        <f>E673-E661-E662-E668-E669-E670</f>
        <v>22120759.026000001</v>
      </c>
      <c r="G663" s="397">
        <v>3.0226999999999999</v>
      </c>
      <c r="H663" s="363" t="s">
        <v>93</v>
      </c>
      <c r="I663" s="339">
        <f>ROUND(G663*$C663/100,0)</f>
        <v>158575</v>
      </c>
      <c r="K663" s="339">
        <f>ROUND(G663*$E663/100,0)</f>
        <v>668644</v>
      </c>
      <c r="M663" s="397">
        <f t="shared" si="173"/>
        <v>3.3317999999999999</v>
      </c>
      <c r="N663" s="363" t="s">
        <v>93</v>
      </c>
      <c r="O663" s="339">
        <f>ROUND(M663*$E663/100,0)</f>
        <v>737019</v>
      </c>
      <c r="P663" s="339"/>
      <c r="Q663" s="458"/>
      <c r="T663" s="356">
        <f t="shared" si="174"/>
        <v>0.1022595692592716</v>
      </c>
    </row>
    <row r="664" spans="1:22">
      <c r="A664" s="348" t="s">
        <v>355</v>
      </c>
      <c r="C664" s="102"/>
      <c r="E664" s="102"/>
      <c r="G664" s="375"/>
      <c r="H664" s="374"/>
      <c r="I664" s="339"/>
      <c r="K664" s="339"/>
      <c r="M664" s="375"/>
      <c r="N664" s="374"/>
      <c r="O664" s="339"/>
      <c r="P664" s="339"/>
      <c r="Q664" s="458"/>
    </row>
    <row r="665" spans="1:22">
      <c r="A665" s="352" t="s">
        <v>186</v>
      </c>
      <c r="C665" s="102">
        <v>12600</v>
      </c>
      <c r="E665" s="102">
        <f>ROUND(C665*$E$673/$C$673,0)</f>
        <v>52999</v>
      </c>
      <c r="G665" s="375">
        <v>1.94</v>
      </c>
      <c r="H665" s="374"/>
      <c r="I665" s="339">
        <f>ROUND(G665*$C665,0)</f>
        <v>24444</v>
      </c>
      <c r="K665" s="339">
        <f>ROUND(G665*$E665,0)</f>
        <v>102818</v>
      </c>
      <c r="M665" s="375">
        <f t="shared" ref="M665:M670" si="175">M622</f>
        <v>2.2000000000000002</v>
      </c>
      <c r="N665" s="374"/>
      <c r="O665" s="339">
        <f>ROUND(M665*$E665,0)</f>
        <v>116598</v>
      </c>
      <c r="P665" s="339"/>
      <c r="Q665" s="458"/>
      <c r="S665" s="384"/>
      <c r="T665" s="356">
        <f t="shared" ref="T665:T670" si="176">M665/G665-1</f>
        <v>0.13402061855670122</v>
      </c>
    </row>
    <row r="666" spans="1:22">
      <c r="A666" s="352" t="s">
        <v>187</v>
      </c>
      <c r="C666" s="102">
        <v>12600</v>
      </c>
      <c r="E666" s="102">
        <f>ROUND(C666*$E$673/$C$673,0)</f>
        <v>52999</v>
      </c>
      <c r="G666" s="375">
        <v>12.18</v>
      </c>
      <c r="H666" s="374"/>
      <c r="I666" s="339">
        <f>ROUND(G666*$C666,0)</f>
        <v>153468</v>
      </c>
      <c r="K666" s="339">
        <f>ROUND(G666*$E666,0)</f>
        <v>645528</v>
      </c>
      <c r="M666" s="375">
        <f t="shared" si="175"/>
        <v>13.79</v>
      </c>
      <c r="N666" s="374"/>
      <c r="O666" s="339">
        <f>ROUND(M666*$E666,0)</f>
        <v>730856</v>
      </c>
      <c r="P666" s="376"/>
      <c r="Q666" s="458"/>
      <c r="T666" s="356">
        <f t="shared" si="176"/>
        <v>0.13218390804597702</v>
      </c>
    </row>
    <row r="667" spans="1:22">
      <c r="A667" s="352" t="s">
        <v>188</v>
      </c>
      <c r="C667" s="102">
        <v>0</v>
      </c>
      <c r="E667" s="102">
        <f>ROUND(C667*$E$673/$C$673,0)</f>
        <v>0</v>
      </c>
      <c r="G667" s="375">
        <v>8.26</v>
      </c>
      <c r="H667" s="374"/>
      <c r="I667" s="339">
        <f>ROUND(G667*$C667,0)</f>
        <v>0</v>
      </c>
      <c r="K667" s="339">
        <f>ROUND(G667*$E667,0)</f>
        <v>0</v>
      </c>
      <c r="M667" s="375">
        <f t="shared" si="175"/>
        <v>9.35</v>
      </c>
      <c r="N667" s="374"/>
      <c r="O667" s="339">
        <f>ROUND(M667*$E667,0)</f>
        <v>0</v>
      </c>
      <c r="P667" s="376"/>
      <c r="Q667" s="458"/>
      <c r="T667" s="356">
        <f t="shared" si="176"/>
        <v>0.13196125907990308</v>
      </c>
      <c r="U667" s="384"/>
    </row>
    <row r="668" spans="1:22">
      <c r="A668" s="352" t="s">
        <v>194</v>
      </c>
      <c r="C668" s="102">
        <v>1143583</v>
      </c>
      <c r="E668" s="102">
        <f>ROUND(C668*$E$673/($C$673-$C$672),0)</f>
        <v>4822000</v>
      </c>
      <c r="G668" s="407">
        <v>4.0587999999999997</v>
      </c>
      <c r="H668" s="363" t="s">
        <v>93</v>
      </c>
      <c r="I668" s="339">
        <f>ROUND(G668*$C668/100,0)</f>
        <v>46416</v>
      </c>
      <c r="K668" s="339">
        <f>ROUND(G668*$E668/100,0)</f>
        <v>195715</v>
      </c>
      <c r="M668" s="407">
        <f t="shared" si="175"/>
        <v>4.5964</v>
      </c>
      <c r="N668" s="363" t="s">
        <v>93</v>
      </c>
      <c r="O668" s="339">
        <f>ROUND(M668*$E668/100,0)</f>
        <v>221638</v>
      </c>
      <c r="P668" s="376"/>
      <c r="Q668" s="458"/>
      <c r="T668" s="356">
        <f t="shared" si="176"/>
        <v>0.13245294175618416</v>
      </c>
    </row>
    <row r="669" spans="1:22">
      <c r="A669" s="352" t="s">
        <v>195</v>
      </c>
      <c r="C669" s="102">
        <v>0</v>
      </c>
      <c r="E669" s="102">
        <f>ROUND(C669*$E$673/($C$673-$C$672),0)</f>
        <v>0</v>
      </c>
      <c r="G669" s="407">
        <v>3.052</v>
      </c>
      <c r="H669" s="363" t="s">
        <v>93</v>
      </c>
      <c r="I669" s="339">
        <f>ROUND(G669*$C669/100,0)</f>
        <v>0</v>
      </c>
      <c r="K669" s="339">
        <f>ROUND(G669*$E669/100,0)</f>
        <v>0</v>
      </c>
      <c r="M669" s="407">
        <f t="shared" si="175"/>
        <v>3.4563000000000001</v>
      </c>
      <c r="N669" s="363" t="s">
        <v>93</v>
      </c>
      <c r="O669" s="339">
        <f>ROUND(M669*$E669/100,0)</f>
        <v>0</v>
      </c>
      <c r="P669" s="376"/>
      <c r="T669" s="356">
        <f t="shared" si="176"/>
        <v>0.132470511140236</v>
      </c>
      <c r="V669" s="384"/>
    </row>
    <row r="670" spans="1:22">
      <c r="A670" s="352" t="s">
        <v>189</v>
      </c>
      <c r="C670" s="442">
        <v>2395215</v>
      </c>
      <c r="E670" s="442">
        <f>ROUND(C670*$E$673/($C$673-$C$672),0)</f>
        <v>10099597</v>
      </c>
      <c r="G670" s="459">
        <v>2.5488</v>
      </c>
      <c r="H670" s="363" t="s">
        <v>93</v>
      </c>
      <c r="I670" s="414">
        <f>ROUND(G670*$C670/100,0)</f>
        <v>61049</v>
      </c>
      <c r="K670" s="414">
        <f>ROUND(G670*$E670/100,0)</f>
        <v>257419</v>
      </c>
      <c r="M670" s="459">
        <f t="shared" si="175"/>
        <v>2.8868</v>
      </c>
      <c r="N670" s="363" t="s">
        <v>93</v>
      </c>
      <c r="O670" s="414">
        <f>ROUND(M670*$E670/100,0)</f>
        <v>291555</v>
      </c>
      <c r="S670" s="453"/>
      <c r="T670" s="356">
        <f t="shared" si="176"/>
        <v>0.13261142498430645</v>
      </c>
    </row>
    <row r="671" spans="1:22">
      <c r="A671" s="352" t="s">
        <v>327</v>
      </c>
      <c r="C671" s="357"/>
      <c r="E671" s="357"/>
      <c r="G671" s="460"/>
      <c r="H671" s="363"/>
      <c r="I671" s="376">
        <f>SUM(I657:I670)</f>
        <v>819577</v>
      </c>
      <c r="K671" s="376">
        <f>SUM(K657:K670)</f>
        <v>3452096</v>
      </c>
      <c r="M671" s="460"/>
      <c r="N671" s="363"/>
      <c r="O671" s="376">
        <f>SUM(O657:O670)</f>
        <v>3841882</v>
      </c>
      <c r="Q671" s="332" t="s">
        <v>94</v>
      </c>
      <c r="R671" s="390">
        <f>O671/K671-1</f>
        <v>0.11291285062756073</v>
      </c>
      <c r="S671" s="453"/>
      <c r="T671" s="356"/>
    </row>
    <row r="672" spans="1:22">
      <c r="A672" s="332" t="s">
        <v>182</v>
      </c>
      <c r="C672" s="432">
        <v>34307</v>
      </c>
      <c r="E672" s="432">
        <v>0</v>
      </c>
      <c r="G672" s="397"/>
      <c r="H672" s="405"/>
      <c r="I672" s="383">
        <v>1080</v>
      </c>
      <c r="K672" s="383">
        <v>0</v>
      </c>
      <c r="M672" s="397"/>
      <c r="N672" s="405"/>
      <c r="O672" s="383">
        <v>0</v>
      </c>
    </row>
    <row r="673" spans="1:22" ht="16.5" thickBot="1">
      <c r="A673" s="352" t="s">
        <v>356</v>
      </c>
      <c r="C673" s="400">
        <f>C672+C661+C662+C663+C668+C669+C670</f>
        <v>14036551</v>
      </c>
      <c r="E673" s="400">
        <v>59041474.026000001</v>
      </c>
      <c r="G673" s="393"/>
      <c r="I673" s="394">
        <f>I654+I671+I672</f>
        <v>1133214</v>
      </c>
      <c r="K673" s="394">
        <f>K654+K671+K672</f>
        <v>4730178</v>
      </c>
      <c r="M673" s="393"/>
      <c r="O673" s="394">
        <f>O654+O671+O672</f>
        <v>5308307</v>
      </c>
      <c r="Q673" s="332" t="s">
        <v>94</v>
      </c>
      <c r="R673" s="390">
        <f>O673/K673-1</f>
        <v>0.12222140477588783</v>
      </c>
    </row>
    <row r="674" spans="1:22" ht="16.5" thickTop="1">
      <c r="P674" s="339"/>
      <c r="S674" s="453"/>
      <c r="T674" s="453"/>
      <c r="U674" s="339"/>
      <c r="V674" s="102"/>
    </row>
    <row r="675" spans="1:22">
      <c r="A675" s="348" t="s">
        <v>358</v>
      </c>
      <c r="C675" s="102"/>
      <c r="E675" s="102"/>
      <c r="G675" s="397"/>
      <c r="H675" s="405"/>
      <c r="M675" s="397"/>
      <c r="N675" s="405"/>
      <c r="P675" s="339"/>
      <c r="Q675" s="384"/>
      <c r="R675" s="384"/>
    </row>
    <row r="676" spans="1:22">
      <c r="A676" s="444" t="s">
        <v>342</v>
      </c>
      <c r="C676" s="102"/>
      <c r="E676" s="102"/>
      <c r="P676" s="339"/>
      <c r="Q676" s="99"/>
      <c r="R676" s="396"/>
      <c r="T676" s="453"/>
      <c r="U676" s="339"/>
      <c r="V676" s="102"/>
    </row>
    <row r="677" spans="1:22">
      <c r="A677" s="352" t="s">
        <v>344</v>
      </c>
      <c r="C677" s="102">
        <v>0</v>
      </c>
      <c r="E677" s="102"/>
      <c r="G677" s="99">
        <v>116</v>
      </c>
      <c r="H677" s="353"/>
      <c r="I677" s="339">
        <f>ROUND(G677*$C677,0)</f>
        <v>0</v>
      </c>
      <c r="K677" s="339">
        <f>ROUND(G677*$E677,0)</f>
        <v>0</v>
      </c>
      <c r="M677" s="99">
        <f>M591</f>
        <v>133</v>
      </c>
      <c r="N677" s="353"/>
      <c r="O677" s="339">
        <f>ROUND(M677*$E677,0)</f>
        <v>0</v>
      </c>
      <c r="P677" s="339"/>
      <c r="S677" s="453"/>
      <c r="T677" s="356">
        <f t="shared" ref="T677:T678" si="177">M677/G677-1</f>
        <v>0.14655172413793105</v>
      </c>
    </row>
    <row r="678" spans="1:22">
      <c r="A678" s="352" t="s">
        <v>345</v>
      </c>
      <c r="C678" s="102">
        <v>0</v>
      </c>
      <c r="E678" s="102"/>
      <c r="G678" s="99">
        <v>4.26</v>
      </c>
      <c r="H678" s="353"/>
      <c r="I678" s="339">
        <f>ROUND(G678*$C678,0)</f>
        <v>0</v>
      </c>
      <c r="K678" s="339">
        <f>ROUND(G678*$E678,0)</f>
        <v>0</v>
      </c>
      <c r="M678" s="99">
        <f>M592</f>
        <v>4.88</v>
      </c>
      <c r="N678" s="353"/>
      <c r="O678" s="339">
        <f>ROUND(M678*$E678,0)</f>
        <v>0</v>
      </c>
      <c r="P678" s="339"/>
      <c r="Q678" s="454"/>
      <c r="R678" s="396"/>
      <c r="T678" s="356">
        <f t="shared" si="177"/>
        <v>0.14553990610328649</v>
      </c>
      <c r="V678" s="102"/>
    </row>
    <row r="679" spans="1:22">
      <c r="A679" s="352" t="s">
        <v>346</v>
      </c>
      <c r="C679" s="102"/>
      <c r="E679" s="102"/>
      <c r="G679" s="375"/>
      <c r="H679" s="374"/>
      <c r="I679" s="339"/>
      <c r="K679" s="339"/>
      <c r="M679" s="375"/>
      <c r="N679" s="374"/>
      <c r="O679" s="339"/>
      <c r="Q679" s="99"/>
      <c r="S679" s="453"/>
      <c r="T679" s="453"/>
      <c r="U679" s="339"/>
    </row>
    <row r="680" spans="1:22">
      <c r="A680" s="352" t="s">
        <v>347</v>
      </c>
      <c r="C680" s="102">
        <v>0</v>
      </c>
      <c r="E680" s="102"/>
      <c r="G680" s="454">
        <v>0.58679999999999999</v>
      </c>
      <c r="H680" s="455"/>
      <c r="I680" s="339">
        <f>ROUND(G680*$C680,0)</f>
        <v>0</v>
      </c>
      <c r="K680" s="339">
        <f>ROUND(G680*$E680,0)</f>
        <v>0</v>
      </c>
      <c r="M680" s="454">
        <f t="shared" ref="M680:M682" si="178">M594</f>
        <v>0.67169999999999996</v>
      </c>
      <c r="N680" s="455"/>
      <c r="O680" s="339">
        <f>ROUND(M680*$E680,0)</f>
        <v>0</v>
      </c>
      <c r="P680" s="339"/>
      <c r="Q680" s="99"/>
      <c r="R680" s="396"/>
      <c r="S680" s="453"/>
      <c r="T680" s="356">
        <f t="shared" ref="T680:T682" si="179">M680/G680-1</f>
        <v>0.14468302658486709</v>
      </c>
    </row>
    <row r="681" spans="1:22">
      <c r="A681" s="352" t="s">
        <v>348</v>
      </c>
      <c r="C681" s="102">
        <v>0</v>
      </c>
      <c r="E681" s="102"/>
      <c r="G681" s="456">
        <v>0.29339999999999999</v>
      </c>
      <c r="H681" s="457"/>
      <c r="I681" s="339">
        <f>ROUND(G681*$C681,0)</f>
        <v>0</v>
      </c>
      <c r="K681" s="339">
        <f>ROUND(G681*$E681,0)</f>
        <v>0</v>
      </c>
      <c r="M681" s="456">
        <f t="shared" si="178"/>
        <v>0.33589999999999998</v>
      </c>
      <c r="N681" s="457"/>
      <c r="O681" s="339">
        <f>ROUND(M681*$E681,0)</f>
        <v>0</v>
      </c>
      <c r="P681" s="339"/>
      <c r="S681" s="453"/>
      <c r="T681" s="356">
        <f t="shared" si="179"/>
        <v>0.14485344239945452</v>
      </c>
      <c r="U681" s="339"/>
      <c r="V681" s="102"/>
    </row>
    <row r="682" spans="1:22">
      <c r="A682" s="352" t="s">
        <v>349</v>
      </c>
      <c r="C682" s="102">
        <v>0</v>
      </c>
      <c r="E682" s="102"/>
      <c r="G682" s="99">
        <v>55.28</v>
      </c>
      <c r="H682" s="353"/>
      <c r="I682" s="339">
        <f>ROUND(G682*$C682,0)</f>
        <v>0</v>
      </c>
      <c r="K682" s="339">
        <f>ROUND(G682*$E682,0)</f>
        <v>0</v>
      </c>
      <c r="M682" s="99">
        <f t="shared" si="178"/>
        <v>63.28</v>
      </c>
      <c r="N682" s="353"/>
      <c r="O682" s="339">
        <f>ROUND(M682*$E682,0)</f>
        <v>0</v>
      </c>
      <c r="P682" s="339"/>
      <c r="T682" s="356">
        <f t="shared" si="179"/>
        <v>0.14471780028943559</v>
      </c>
      <c r="U682" s="339"/>
    </row>
    <row r="683" spans="1:22">
      <c r="A683" s="444" t="s">
        <v>351</v>
      </c>
      <c r="C683" s="102"/>
      <c r="E683" s="102"/>
      <c r="P683" s="339"/>
      <c r="Q683" s="99"/>
      <c r="R683" s="396"/>
      <c r="T683" s="453"/>
      <c r="U683" s="339"/>
      <c r="V683" s="102"/>
    </row>
    <row r="684" spans="1:22">
      <c r="A684" s="352" t="s">
        <v>344</v>
      </c>
      <c r="C684" s="102">
        <v>0</v>
      </c>
      <c r="E684" s="102"/>
      <c r="G684" s="99">
        <v>527</v>
      </c>
      <c r="H684" s="353"/>
      <c r="I684" s="339">
        <f>ROUND(G684*$C684,0)</f>
        <v>0</v>
      </c>
      <c r="K684" s="339">
        <f>ROUND(G684*$E684,0)</f>
        <v>0</v>
      </c>
      <c r="M684" s="99">
        <f t="shared" ref="M684:M685" si="180">M598</f>
        <v>603</v>
      </c>
      <c r="N684" s="353"/>
      <c r="O684" s="339">
        <f>ROUND(M684*$E684,0)</f>
        <v>0</v>
      </c>
      <c r="P684" s="339"/>
      <c r="S684" s="453"/>
      <c r="T684" s="356">
        <f t="shared" ref="T684:T685" si="181">M684/G684-1</f>
        <v>0.14421252371916515</v>
      </c>
      <c r="V684" s="102"/>
    </row>
    <row r="685" spans="1:22">
      <c r="A685" s="352" t="s">
        <v>345</v>
      </c>
      <c r="C685" s="102">
        <v>0</v>
      </c>
      <c r="E685" s="102"/>
      <c r="G685" s="99">
        <v>3.35</v>
      </c>
      <c r="H685" s="353"/>
      <c r="I685" s="339">
        <f>ROUND(G685*$C685,0)</f>
        <v>0</v>
      </c>
      <c r="K685" s="339">
        <f>ROUND(G685*$E685,0)</f>
        <v>0</v>
      </c>
      <c r="M685" s="99">
        <f t="shared" si="180"/>
        <v>3.83</v>
      </c>
      <c r="N685" s="353"/>
      <c r="O685" s="339">
        <f>ROUND(M685*$E685,0)</f>
        <v>0</v>
      </c>
      <c r="P685" s="339"/>
      <c r="Q685" s="454"/>
      <c r="R685" s="396"/>
      <c r="T685" s="356">
        <f t="shared" si="181"/>
        <v>0.14328358208955216</v>
      </c>
      <c r="V685" s="102"/>
    </row>
    <row r="686" spans="1:22">
      <c r="A686" s="352" t="s">
        <v>346</v>
      </c>
      <c r="C686" s="102"/>
      <c r="E686" s="102"/>
      <c r="G686" s="99"/>
      <c r="H686" s="353"/>
      <c r="I686" s="339"/>
      <c r="K686" s="339"/>
      <c r="M686" s="99"/>
      <c r="N686" s="353"/>
      <c r="O686" s="339"/>
      <c r="Q686" s="99"/>
      <c r="S686" s="453"/>
      <c r="T686" s="453"/>
      <c r="U686" s="339"/>
    </row>
    <row r="687" spans="1:22">
      <c r="A687" s="352" t="s">
        <v>347</v>
      </c>
      <c r="C687" s="102">
        <v>0</v>
      </c>
      <c r="E687" s="102"/>
      <c r="G687" s="454">
        <v>0.57099999999999995</v>
      </c>
      <c r="H687" s="455"/>
      <c r="I687" s="339">
        <f>ROUND(G687*$C687,0)</f>
        <v>0</v>
      </c>
      <c r="K687" s="339">
        <f>ROUND(G687*$E687,0)</f>
        <v>0</v>
      </c>
      <c r="M687" s="454">
        <f t="shared" ref="M687:M689" si="182">M601</f>
        <v>0.65749999999999997</v>
      </c>
      <c r="N687" s="455"/>
      <c r="O687" s="339">
        <f>ROUND(M687*$E687,0)</f>
        <v>0</v>
      </c>
      <c r="P687" s="339"/>
      <c r="Q687" s="99"/>
      <c r="R687" s="396"/>
      <c r="T687" s="356">
        <f t="shared" ref="T687:T689" si="183">M687/G687-1</f>
        <v>0.15148861646234679</v>
      </c>
    </row>
    <row r="688" spans="1:22">
      <c r="A688" s="352" t="s">
        <v>348</v>
      </c>
      <c r="C688" s="102">
        <v>0</v>
      </c>
      <c r="E688" s="102"/>
      <c r="G688" s="456">
        <v>0.28549999999999998</v>
      </c>
      <c r="H688" s="457"/>
      <c r="I688" s="339">
        <f>ROUND(G688*$C688,0)</f>
        <v>0</v>
      </c>
      <c r="K688" s="339">
        <f>ROUND(G688*$E688,0)</f>
        <v>0</v>
      </c>
      <c r="M688" s="456">
        <f t="shared" si="182"/>
        <v>0.32879999999999998</v>
      </c>
      <c r="N688" s="457"/>
      <c r="O688" s="339">
        <f>ROUND(M688*$E688,0)</f>
        <v>0</v>
      </c>
      <c r="P688" s="339"/>
      <c r="S688" s="453"/>
      <c r="T688" s="356">
        <f t="shared" si="183"/>
        <v>0.15166374781085823</v>
      </c>
      <c r="U688" s="339"/>
      <c r="V688" s="102"/>
    </row>
    <row r="689" spans="1:22">
      <c r="A689" s="352" t="s">
        <v>349</v>
      </c>
      <c r="C689" s="102">
        <v>0</v>
      </c>
      <c r="E689" s="102"/>
      <c r="G689" s="99">
        <v>39.840000000000003</v>
      </c>
      <c r="H689" s="353"/>
      <c r="I689" s="339">
        <f>ROUND(G689*$C689,0)</f>
        <v>0</v>
      </c>
      <c r="K689" s="339">
        <f>ROUND(G689*$E689,0)</f>
        <v>0</v>
      </c>
      <c r="M689" s="99">
        <f t="shared" si="182"/>
        <v>45.6</v>
      </c>
      <c r="N689" s="353"/>
      <c r="O689" s="339">
        <f>ROUND(M689*$E689,0)</f>
        <v>0</v>
      </c>
      <c r="P689" s="339"/>
      <c r="T689" s="356">
        <f t="shared" si="183"/>
        <v>0.14457831325301207</v>
      </c>
    </row>
    <row r="690" spans="1:22">
      <c r="A690" s="444" t="s">
        <v>352</v>
      </c>
      <c r="C690" s="102"/>
      <c r="E690" s="102"/>
      <c r="P690" s="339"/>
      <c r="Q690" s="99"/>
      <c r="R690" s="396"/>
      <c r="T690" s="453"/>
      <c r="U690" s="339"/>
      <c r="V690" s="102"/>
    </row>
    <row r="691" spans="1:22">
      <c r="A691" s="352" t="s">
        <v>344</v>
      </c>
      <c r="C691" s="102">
        <v>12</v>
      </c>
      <c r="E691" s="102">
        <v>12</v>
      </c>
      <c r="G691" s="99">
        <v>590</v>
      </c>
      <c r="H691" s="353"/>
      <c r="I691" s="339">
        <f>ROUND(G691*$C691,0)</f>
        <v>7080</v>
      </c>
      <c r="K691" s="339">
        <f>ROUND(G691*$E691,0)</f>
        <v>7080</v>
      </c>
      <c r="M691" s="99">
        <f t="shared" ref="M691:M692" si="184">M605</f>
        <v>675</v>
      </c>
      <c r="N691" s="353"/>
      <c r="O691" s="339">
        <f>ROUND(M691*$E691,0)</f>
        <v>8100</v>
      </c>
      <c r="P691" s="339"/>
      <c r="T691" s="356">
        <f t="shared" ref="T691:T692" si="185">M691/G691-1</f>
        <v>0.14406779661016955</v>
      </c>
      <c r="U691" s="339"/>
      <c r="V691" s="102"/>
    </row>
    <row r="692" spans="1:22">
      <c r="A692" s="352" t="s">
        <v>345</v>
      </c>
      <c r="C692" s="102">
        <v>219000</v>
      </c>
      <c r="E692" s="102">
        <f>ROUND(C692*$E$716/$C$716,0)</f>
        <v>48520</v>
      </c>
      <c r="G692" s="99">
        <v>1.9</v>
      </c>
      <c r="H692" s="353"/>
      <c r="I692" s="339">
        <f>ROUND(G692*$C692,0)</f>
        <v>416100</v>
      </c>
      <c r="K692" s="339">
        <f>ROUND(G692*$E692,0)</f>
        <v>92188</v>
      </c>
      <c r="M692" s="99">
        <f t="shared" si="184"/>
        <v>2.17</v>
      </c>
      <c r="N692" s="353"/>
      <c r="O692" s="339">
        <f>ROUND(M692*$E692,0)</f>
        <v>105288</v>
      </c>
      <c r="P692" s="339"/>
      <c r="Q692" s="454"/>
      <c r="R692" s="396"/>
      <c r="T692" s="356">
        <f t="shared" si="185"/>
        <v>0.14210526315789473</v>
      </c>
      <c r="U692" s="339"/>
      <c r="V692" s="102"/>
    </row>
    <row r="693" spans="1:22">
      <c r="A693" s="352" t="s">
        <v>346</v>
      </c>
      <c r="C693" s="102"/>
      <c r="E693" s="102"/>
      <c r="G693" s="375"/>
      <c r="H693" s="374"/>
      <c r="I693" s="339"/>
      <c r="K693" s="339"/>
      <c r="M693" s="375"/>
      <c r="N693" s="374"/>
      <c r="O693" s="339"/>
      <c r="P693" s="376"/>
      <c r="Q693" s="99"/>
      <c r="V693" s="102"/>
    </row>
    <row r="694" spans="1:22">
      <c r="A694" s="352" t="s">
        <v>347</v>
      </c>
      <c r="C694" s="102">
        <v>181698.00399201599</v>
      </c>
      <c r="E694" s="102">
        <f t="shared" ref="E694:E696" si="186">ROUND(C694*$E$716/$C$716,0)</f>
        <v>40256</v>
      </c>
      <c r="G694" s="454">
        <v>0.44850000000000001</v>
      </c>
      <c r="H694" s="455"/>
      <c r="I694" s="339">
        <f>ROUND(G694*$C694,0)</f>
        <v>81492</v>
      </c>
      <c r="K694" s="339">
        <f>ROUND(G694*$E694,0)</f>
        <v>18055</v>
      </c>
      <c r="M694" s="454">
        <f t="shared" ref="M694:M696" si="187">M608</f>
        <v>0.51339999999999997</v>
      </c>
      <c r="N694" s="455"/>
      <c r="O694" s="339">
        <f>ROUND(M694*$E694,0)</f>
        <v>20667</v>
      </c>
      <c r="P694" s="376"/>
      <c r="Q694" s="99"/>
      <c r="R694" s="396"/>
      <c r="T694" s="356">
        <f t="shared" ref="T694:T696" si="188">M694/G694-1</f>
        <v>0.14470457079152732</v>
      </c>
      <c r="U694" s="339"/>
      <c r="V694" s="384"/>
    </row>
    <row r="695" spans="1:22">
      <c r="A695" s="352" t="s">
        <v>348</v>
      </c>
      <c r="C695" s="102">
        <v>28679.9900199601</v>
      </c>
      <c r="E695" s="102">
        <f t="shared" si="186"/>
        <v>6354</v>
      </c>
      <c r="G695" s="456">
        <v>0.2243</v>
      </c>
      <c r="H695" s="457"/>
      <c r="I695" s="339">
        <f>ROUND(G695*$C695,0)</f>
        <v>6433</v>
      </c>
      <c r="K695" s="339">
        <f>ROUND(G695*$E695,0)</f>
        <v>1425</v>
      </c>
      <c r="M695" s="456">
        <f t="shared" si="187"/>
        <v>0.25669999999999998</v>
      </c>
      <c r="N695" s="457"/>
      <c r="O695" s="339">
        <f>ROUND(M695*$E695,0)</f>
        <v>1631</v>
      </c>
      <c r="P695" s="376"/>
      <c r="R695" s="396"/>
      <c r="T695" s="356">
        <f t="shared" si="188"/>
        <v>0.14444939812750768</v>
      </c>
      <c r="U695" s="339"/>
      <c r="V695" s="384"/>
    </row>
    <row r="696" spans="1:22">
      <c r="A696" s="352" t="s">
        <v>349</v>
      </c>
      <c r="C696" s="102">
        <v>0</v>
      </c>
      <c r="E696" s="102">
        <f t="shared" si="186"/>
        <v>0</v>
      </c>
      <c r="G696" s="99">
        <v>38.36</v>
      </c>
      <c r="H696" s="353"/>
      <c r="I696" s="339">
        <f>ROUND(G696*$C696,0)</f>
        <v>0</v>
      </c>
      <c r="K696" s="339">
        <f>ROUND(G696*$E696,0)</f>
        <v>0</v>
      </c>
      <c r="M696" s="99">
        <f t="shared" si="187"/>
        <v>43.91</v>
      </c>
      <c r="N696" s="353"/>
      <c r="O696" s="339">
        <f>ROUND(M696*$E696,0)</f>
        <v>0</v>
      </c>
      <c r="P696" s="376"/>
      <c r="T696" s="356">
        <f t="shared" si="188"/>
        <v>0.14468196037539105</v>
      </c>
      <c r="V696" s="384"/>
    </row>
    <row r="697" spans="1:22">
      <c r="A697" s="352" t="s">
        <v>327</v>
      </c>
      <c r="C697" s="432"/>
      <c r="E697" s="432"/>
      <c r="G697" s="397"/>
      <c r="H697" s="405"/>
      <c r="I697" s="383">
        <f>SUM(I677:I696)</f>
        <v>511105</v>
      </c>
      <c r="K697" s="383">
        <f t="shared" ref="K697:M697" si="189">SUM(K677:K696)</f>
        <v>118748</v>
      </c>
      <c r="L697" s="383">
        <f t="shared" si="189"/>
        <v>0</v>
      </c>
      <c r="M697" s="383">
        <f t="shared" si="189"/>
        <v>1577.4340000000002</v>
      </c>
      <c r="N697" s="383"/>
      <c r="O697" s="383">
        <f>SUM(O677:O696)</f>
        <v>135686</v>
      </c>
      <c r="P697" s="339"/>
      <c r="Q697" s="332" t="s">
        <v>94</v>
      </c>
      <c r="R697" s="390">
        <f>O697/K697-1</f>
        <v>0.14263819180112502</v>
      </c>
    </row>
    <row r="698" spans="1:22">
      <c r="A698" s="444" t="s">
        <v>353</v>
      </c>
      <c r="P698" s="339"/>
    </row>
    <row r="699" spans="1:22">
      <c r="A699" s="348" t="s">
        <v>354</v>
      </c>
      <c r="C699" s="102"/>
      <c r="E699" s="102"/>
      <c r="G699" s="375"/>
      <c r="H699" s="374"/>
      <c r="I699" s="339"/>
      <c r="K699" s="339"/>
      <c r="M699" s="375"/>
      <c r="N699" s="374"/>
      <c r="O699" s="339"/>
      <c r="P699" s="339"/>
    </row>
    <row r="700" spans="1:22">
      <c r="A700" s="352" t="s">
        <v>186</v>
      </c>
      <c r="C700" s="102">
        <v>0</v>
      </c>
      <c r="E700" s="102"/>
      <c r="G700" s="375">
        <v>4.22</v>
      </c>
      <c r="H700" s="374"/>
      <c r="I700" s="339">
        <f>ROUND(G700*$C700,0)</f>
        <v>0</v>
      </c>
      <c r="K700" s="339">
        <f>ROUND(G700*$E700,0)</f>
        <v>0</v>
      </c>
      <c r="M700" s="375">
        <f>M614</f>
        <v>4.6500000000000004</v>
      </c>
      <c r="N700" s="374"/>
      <c r="O700" s="339">
        <f>ROUND(M700*$E700,0)</f>
        <v>0</v>
      </c>
      <c r="P700" s="339"/>
      <c r="T700" s="356">
        <f>M700/G700-1</f>
        <v>0.10189573459715651</v>
      </c>
    </row>
    <row r="701" spans="1:22">
      <c r="A701" s="352" t="s">
        <v>187</v>
      </c>
      <c r="C701" s="102">
        <v>0</v>
      </c>
      <c r="E701" s="102"/>
      <c r="G701" s="375">
        <v>13.81</v>
      </c>
      <c r="H701" s="374"/>
      <c r="I701" s="339">
        <f>ROUND(G701*$C701,0)</f>
        <v>0</v>
      </c>
      <c r="K701" s="339">
        <f>ROUND(G701*$E701,0)</f>
        <v>0</v>
      </c>
      <c r="M701" s="375">
        <f t="shared" ref="M701:M706" si="190">M615</f>
        <v>15.23</v>
      </c>
      <c r="N701" s="374"/>
      <c r="O701" s="339">
        <f>ROUND(M701*$E701,0)</f>
        <v>0</v>
      </c>
      <c r="P701" s="339"/>
      <c r="T701" s="356">
        <f t="shared" ref="T701:T706" si="191">M701/G701-1</f>
        <v>0.10282404055032579</v>
      </c>
    </row>
    <row r="702" spans="1:22">
      <c r="A702" s="352" t="s">
        <v>188</v>
      </c>
      <c r="C702" s="102">
        <v>0</v>
      </c>
      <c r="E702" s="102"/>
      <c r="G702" s="375">
        <v>9.94</v>
      </c>
      <c r="H702" s="374"/>
      <c r="I702" s="339">
        <f>ROUND(G702*$C702,0)</f>
        <v>0</v>
      </c>
      <c r="K702" s="339">
        <f>ROUND(G702*$E702,0)</f>
        <v>0</v>
      </c>
      <c r="M702" s="375">
        <f t="shared" si="190"/>
        <v>10.96</v>
      </c>
      <c r="N702" s="374"/>
      <c r="O702" s="339">
        <f>ROUND(M702*$E702,0)</f>
        <v>0</v>
      </c>
      <c r="P702" s="339"/>
      <c r="T702" s="356">
        <f t="shared" si="191"/>
        <v>0.10261569416499006</v>
      </c>
    </row>
    <row r="703" spans="1:22">
      <c r="A703" s="352" t="s">
        <v>127</v>
      </c>
      <c r="C703" s="102">
        <v>0</v>
      </c>
      <c r="E703" s="102"/>
      <c r="G703" s="375">
        <v>-1.01</v>
      </c>
      <c r="H703" s="374"/>
      <c r="I703" s="339">
        <f>ROUND(G703*$C703,0)</f>
        <v>0</v>
      </c>
      <c r="K703" s="339">
        <f>ROUND(G703*$E703,0)</f>
        <v>0</v>
      </c>
      <c r="M703" s="375">
        <f t="shared" si="190"/>
        <v>-1.1100000000000001</v>
      </c>
      <c r="N703" s="374"/>
      <c r="O703" s="339">
        <f>ROUND(M703*$E703,0)</f>
        <v>0</v>
      </c>
      <c r="P703" s="339"/>
      <c r="T703" s="356">
        <f t="shared" si="191"/>
        <v>9.9009900990099098E-2</v>
      </c>
    </row>
    <row r="704" spans="1:22">
      <c r="A704" s="352" t="s">
        <v>120</v>
      </c>
      <c r="C704" s="102">
        <v>0</v>
      </c>
      <c r="E704" s="102"/>
      <c r="G704" s="397">
        <v>4.4812000000000003</v>
      </c>
      <c r="H704" s="363" t="s">
        <v>93</v>
      </c>
      <c r="I704" s="339">
        <f>ROUND(G704*$C704/100,0)</f>
        <v>0</v>
      </c>
      <c r="K704" s="339">
        <f>ROUND(G704*$E704/100,0)</f>
        <v>0</v>
      </c>
      <c r="M704" s="397">
        <f t="shared" si="190"/>
        <v>4.9404000000000003</v>
      </c>
      <c r="N704" s="363" t="s">
        <v>93</v>
      </c>
      <c r="O704" s="339">
        <f>ROUND(M704*$E704/100,0)</f>
        <v>0</v>
      </c>
      <c r="P704" s="339"/>
      <c r="R704" s="384"/>
      <c r="T704" s="356">
        <f t="shared" si="191"/>
        <v>0.10247255199500138</v>
      </c>
    </row>
    <row r="705" spans="1:22">
      <c r="A705" s="352" t="s">
        <v>146</v>
      </c>
      <c r="C705" s="102">
        <v>0</v>
      </c>
      <c r="E705" s="102"/>
      <c r="G705" s="397">
        <v>3.5078</v>
      </c>
      <c r="H705" s="363" t="s">
        <v>93</v>
      </c>
      <c r="I705" s="339">
        <f>ROUND(G705*$C705/100,0)</f>
        <v>0</v>
      </c>
      <c r="K705" s="339">
        <f>ROUND(G705*$E705/100,0)</f>
        <v>0</v>
      </c>
      <c r="M705" s="397">
        <f t="shared" si="190"/>
        <v>3.8672</v>
      </c>
      <c r="N705" s="363" t="s">
        <v>93</v>
      </c>
      <c r="O705" s="339">
        <f>ROUND(M705*$E705/100,0)</f>
        <v>0</v>
      </c>
      <c r="P705" s="339"/>
      <c r="T705" s="356">
        <f t="shared" si="191"/>
        <v>0.10245738069445243</v>
      </c>
    </row>
    <row r="706" spans="1:22">
      <c r="A706" s="352" t="s">
        <v>189</v>
      </c>
      <c r="C706" s="102">
        <v>0</v>
      </c>
      <c r="E706" s="102"/>
      <c r="G706" s="397">
        <v>3.0226999999999999</v>
      </c>
      <c r="H706" s="363" t="s">
        <v>93</v>
      </c>
      <c r="I706" s="339">
        <f>ROUND(G706*$C706/100,0)</f>
        <v>0</v>
      </c>
      <c r="K706" s="339">
        <f>ROUND(G706*$E706/100,0)</f>
        <v>0</v>
      </c>
      <c r="M706" s="397">
        <f t="shared" si="190"/>
        <v>3.3317999999999999</v>
      </c>
      <c r="N706" s="363" t="s">
        <v>93</v>
      </c>
      <c r="O706" s="339">
        <f>ROUND(M706*$E706/100,0)</f>
        <v>0</v>
      </c>
      <c r="P706" s="339"/>
      <c r="T706" s="356">
        <f t="shared" si="191"/>
        <v>0.1022595692592716</v>
      </c>
    </row>
    <row r="707" spans="1:22">
      <c r="A707" s="348" t="s">
        <v>355</v>
      </c>
      <c r="C707" s="102"/>
      <c r="E707" s="102"/>
      <c r="G707" s="397"/>
      <c r="H707" s="363"/>
      <c r="I707" s="339"/>
      <c r="K707" s="339"/>
      <c r="M707" s="397"/>
      <c r="N707" s="363"/>
      <c r="O707" s="339"/>
      <c r="P707" s="339"/>
    </row>
    <row r="708" spans="1:22">
      <c r="A708" s="352" t="s">
        <v>186</v>
      </c>
      <c r="C708" s="102">
        <v>0</v>
      </c>
      <c r="E708" s="102">
        <f>ROUND(C708*$E$716/$C$716,0)</f>
        <v>0</v>
      </c>
      <c r="G708" s="375">
        <v>1.94</v>
      </c>
      <c r="H708" s="374"/>
      <c r="I708" s="339">
        <f>ROUND(G708*$C708,0)</f>
        <v>0</v>
      </c>
      <c r="K708" s="339">
        <f>ROUND(G708*$E708,0)</f>
        <v>0</v>
      </c>
      <c r="M708" s="375">
        <f t="shared" ref="M708:M713" si="192">M622</f>
        <v>2.2000000000000002</v>
      </c>
      <c r="N708" s="374"/>
      <c r="O708" s="339">
        <f>ROUND(M708*$E708,0)</f>
        <v>0</v>
      </c>
      <c r="P708" s="339"/>
      <c r="S708" s="384"/>
      <c r="T708" s="356">
        <f t="shared" ref="T708:T713" si="193">M708/G708-1</f>
        <v>0.13402061855670122</v>
      </c>
    </row>
    <row r="709" spans="1:22">
      <c r="A709" s="352" t="s">
        <v>187</v>
      </c>
      <c r="C709" s="102">
        <v>0</v>
      </c>
      <c r="E709" s="102">
        <f>ROUND(C709*$E$716/$C$716,0)</f>
        <v>0</v>
      </c>
      <c r="G709" s="375">
        <v>12.18</v>
      </c>
      <c r="H709" s="374"/>
      <c r="I709" s="339">
        <f>ROUND(G709*$C709,0)</f>
        <v>0</v>
      </c>
      <c r="K709" s="339">
        <f>ROUND(G709*$E709,0)</f>
        <v>0</v>
      </c>
      <c r="M709" s="375">
        <f t="shared" si="192"/>
        <v>13.79</v>
      </c>
      <c r="N709" s="374"/>
      <c r="O709" s="339">
        <f>ROUND(M709*$E709,0)</f>
        <v>0</v>
      </c>
      <c r="P709" s="376"/>
      <c r="T709" s="356">
        <f t="shared" si="193"/>
        <v>0.13218390804597702</v>
      </c>
    </row>
    <row r="710" spans="1:22">
      <c r="A710" s="352" t="s">
        <v>188</v>
      </c>
      <c r="C710" s="102">
        <v>0</v>
      </c>
      <c r="E710" s="102">
        <f>ROUND(C710*$E$716/$C$716,0)</f>
        <v>0</v>
      </c>
      <c r="G710" s="375">
        <v>8.26</v>
      </c>
      <c r="H710" s="374"/>
      <c r="I710" s="339">
        <f>ROUND(G710*$C710,0)</f>
        <v>0</v>
      </c>
      <c r="K710" s="339">
        <f>ROUND(G710*$E710,0)</f>
        <v>0</v>
      </c>
      <c r="M710" s="375">
        <f t="shared" si="192"/>
        <v>9.35</v>
      </c>
      <c r="N710" s="374"/>
      <c r="O710" s="339">
        <f>ROUND(M710*$E710,0)</f>
        <v>0</v>
      </c>
      <c r="P710" s="376"/>
      <c r="T710" s="356">
        <f t="shared" si="193"/>
        <v>0.13196125907990308</v>
      </c>
      <c r="U710" s="384"/>
    </row>
    <row r="711" spans="1:22">
      <c r="A711" s="352" t="s">
        <v>194</v>
      </c>
      <c r="C711" s="102">
        <v>370000</v>
      </c>
      <c r="E711" s="102">
        <f>ROUND(C711*$E$716/$C$716,0)</f>
        <v>81975</v>
      </c>
      <c r="G711" s="407">
        <v>4.0587999999999997</v>
      </c>
      <c r="H711" s="363" t="s">
        <v>93</v>
      </c>
      <c r="I711" s="339">
        <f>ROUND(G711*$C711/100,0)</f>
        <v>15018</v>
      </c>
      <c r="K711" s="339">
        <f>ROUND(G711*$E711/100,0)</f>
        <v>3327</v>
      </c>
      <c r="M711" s="407">
        <f t="shared" si="192"/>
        <v>4.5964</v>
      </c>
      <c r="N711" s="363" t="s">
        <v>93</v>
      </c>
      <c r="O711" s="339">
        <f>ROUND(M711*$E711/100,0)</f>
        <v>3768</v>
      </c>
      <c r="P711" s="376"/>
      <c r="T711" s="356">
        <f t="shared" si="193"/>
        <v>0.13245294175618416</v>
      </c>
    </row>
    <row r="712" spans="1:22">
      <c r="A712" s="352" t="s">
        <v>195</v>
      </c>
      <c r="C712" s="102">
        <v>963000</v>
      </c>
      <c r="E712" s="102">
        <f>ROUND(C712*$E$716/$C$716,0)</f>
        <v>213357</v>
      </c>
      <c r="G712" s="407">
        <v>3.052</v>
      </c>
      <c r="H712" s="363" t="s">
        <v>93</v>
      </c>
      <c r="I712" s="339">
        <f>ROUND(G712*$C712/100,0)</f>
        <v>29391</v>
      </c>
      <c r="K712" s="339">
        <f>ROUND(G712*$E712/100,0)</f>
        <v>6512</v>
      </c>
      <c r="M712" s="407">
        <f t="shared" si="192"/>
        <v>3.4563000000000001</v>
      </c>
      <c r="N712" s="363" t="s">
        <v>93</v>
      </c>
      <c r="O712" s="339">
        <f>ROUND(M712*$E712/100,0)</f>
        <v>7374</v>
      </c>
      <c r="P712" s="376"/>
      <c r="T712" s="356">
        <f t="shared" si="193"/>
        <v>0.132470511140236</v>
      </c>
      <c r="V712" s="384"/>
    </row>
    <row r="713" spans="1:22">
      <c r="A713" s="352" t="s">
        <v>189</v>
      </c>
      <c r="C713" s="442">
        <v>1984000</v>
      </c>
      <c r="E713" s="442">
        <f>E716-SUM(E704:E706,E711:E712)</f>
        <v>442033</v>
      </c>
      <c r="G713" s="459">
        <v>2.5488</v>
      </c>
      <c r="H713" s="363" t="s">
        <v>93</v>
      </c>
      <c r="I713" s="414">
        <f>ROUND(G713*$C713/100,0)</f>
        <v>50568</v>
      </c>
      <c r="K713" s="414">
        <f>ROUND(G713*$E713/100,0)</f>
        <v>11267</v>
      </c>
      <c r="M713" s="459">
        <f t="shared" si="192"/>
        <v>2.8868</v>
      </c>
      <c r="N713" s="363" t="s">
        <v>93</v>
      </c>
      <c r="O713" s="414">
        <f>ROUND(M713*$E713/100,0)</f>
        <v>12761</v>
      </c>
      <c r="T713" s="356">
        <f t="shared" si="193"/>
        <v>0.13261142498430645</v>
      </c>
    </row>
    <row r="714" spans="1:22">
      <c r="A714" s="352" t="s">
        <v>327</v>
      </c>
      <c r="C714" s="357"/>
      <c r="E714" s="357"/>
      <c r="G714" s="460"/>
      <c r="H714" s="363"/>
      <c r="I714" s="376">
        <f>SUM(I700:I713)</f>
        <v>94977</v>
      </c>
      <c r="K714" s="376">
        <f>SUM(K700:K713)</f>
        <v>21106</v>
      </c>
      <c r="M714" s="460"/>
      <c r="N714" s="363"/>
      <c r="O714" s="376">
        <f>SUM(O700:O713)</f>
        <v>23903</v>
      </c>
      <c r="Q714" s="332" t="s">
        <v>94</v>
      </c>
      <c r="R714" s="390">
        <f t="shared" ref="R714:R716" si="194">O714/K714-1</f>
        <v>0.13252155785084807</v>
      </c>
      <c r="T714" s="356"/>
    </row>
    <row r="715" spans="1:22">
      <c r="A715" s="332" t="s">
        <v>182</v>
      </c>
      <c r="C715" s="432">
        <v>11139</v>
      </c>
      <c r="E715" s="432">
        <v>0</v>
      </c>
      <c r="G715" s="397"/>
      <c r="H715" s="405"/>
      <c r="I715" s="383">
        <v>1330</v>
      </c>
      <c r="K715" s="383">
        <v>0</v>
      </c>
      <c r="M715" s="397"/>
      <c r="N715" s="405"/>
      <c r="O715" s="383">
        <v>0</v>
      </c>
    </row>
    <row r="716" spans="1:22" ht="16.5" thickBot="1">
      <c r="A716" s="352" t="s">
        <v>356</v>
      </c>
      <c r="C716" s="400">
        <f>C715+C704+C705+C706+C711+C712+C713</f>
        <v>3328139</v>
      </c>
      <c r="E716" s="400">
        <v>737365</v>
      </c>
      <c r="G716" s="393"/>
      <c r="I716" s="394">
        <f>I697+I714+I715</f>
        <v>607412</v>
      </c>
      <c r="K716" s="394">
        <f>K697+K714+K715</f>
        <v>139854</v>
      </c>
      <c r="M716" s="393"/>
      <c r="O716" s="394">
        <f>O697+O714+O715</f>
        <v>159589</v>
      </c>
      <c r="Q716" s="332" t="s">
        <v>94</v>
      </c>
      <c r="R716" s="390">
        <f t="shared" si="194"/>
        <v>0.14111144479242643</v>
      </c>
    </row>
    <row r="717" spans="1:22" ht="16.5" thickTop="1">
      <c r="P717" s="461"/>
    </row>
    <row r="718" spans="1:22">
      <c r="A718" s="348" t="s">
        <v>48</v>
      </c>
      <c r="C718" s="102"/>
      <c r="E718" s="102"/>
      <c r="P718" s="461"/>
    </row>
    <row r="719" spans="1:22">
      <c r="A719" s="352" t="s">
        <v>124</v>
      </c>
      <c r="C719" s="102">
        <v>12</v>
      </c>
      <c r="E719" s="102">
        <v>12</v>
      </c>
      <c r="G719" s="397"/>
      <c r="H719" s="405"/>
      <c r="I719" s="461">
        <v>2412.7199999999998</v>
      </c>
      <c r="K719" s="461">
        <f>I719*$E$719/$C$719</f>
        <v>2412.7199999999998</v>
      </c>
      <c r="M719" s="397"/>
      <c r="N719" s="405"/>
      <c r="O719" s="461">
        <f t="shared" ref="O719:O723" si="195">K719</f>
        <v>2412.7199999999998</v>
      </c>
      <c r="P719" s="461"/>
    </row>
    <row r="720" spans="1:22">
      <c r="A720" s="352" t="s">
        <v>359</v>
      </c>
      <c r="C720" s="102">
        <v>800080</v>
      </c>
      <c r="E720" s="102">
        <f>ROUND(C720*$E$724/$C$724,0)</f>
        <v>879806</v>
      </c>
      <c r="G720" s="397"/>
      <c r="H720" s="405"/>
      <c r="I720" s="461">
        <v>3821875.2000000002</v>
      </c>
      <c r="K720" s="461">
        <f>I720*$E$724/$C$724</f>
        <v>4202717.5536203282</v>
      </c>
      <c r="M720" s="397"/>
      <c r="N720" s="405"/>
      <c r="O720" s="461">
        <f t="shared" si="195"/>
        <v>4202717.5536203282</v>
      </c>
      <c r="P720" s="339"/>
      <c r="Q720" s="333"/>
      <c r="R720" s="351"/>
    </row>
    <row r="721" spans="1:22">
      <c r="A721" s="352" t="s">
        <v>360</v>
      </c>
      <c r="C721" s="102">
        <v>1177320</v>
      </c>
      <c r="E721" s="102">
        <f>ROUND(C721*$E$724/$C$724,0)</f>
        <v>1294638</v>
      </c>
      <c r="G721" s="397"/>
      <c r="H721" s="405"/>
      <c r="I721" s="461">
        <v>4618641.5999999996</v>
      </c>
      <c r="K721" s="461">
        <f>I721*$E$724/$C$724</f>
        <v>5078880.159718737</v>
      </c>
      <c r="M721" s="397"/>
      <c r="N721" s="405"/>
      <c r="O721" s="461">
        <f t="shared" si="195"/>
        <v>5078880.159718737</v>
      </c>
      <c r="P721" s="376"/>
      <c r="Q721" s="402"/>
      <c r="R721" s="376"/>
    </row>
    <row r="722" spans="1:22">
      <c r="A722" s="352" t="s">
        <v>361</v>
      </c>
      <c r="C722" s="102">
        <v>210480966</v>
      </c>
      <c r="E722" s="102">
        <f>ROUND(C722*$E$724/$C$724,0)</f>
        <v>231454981</v>
      </c>
      <c r="G722" s="462"/>
      <c r="H722" s="463"/>
      <c r="I722" s="461">
        <v>6780420.1500000004</v>
      </c>
      <c r="K722" s="461">
        <f>I722*$E$724/$C$724</f>
        <v>7456075.6942890193</v>
      </c>
      <c r="M722" s="462"/>
      <c r="N722" s="463"/>
      <c r="O722" s="461">
        <f t="shared" si="195"/>
        <v>7456075.6942890193</v>
      </c>
      <c r="P722" s="376"/>
      <c r="Q722" s="357"/>
      <c r="R722" s="376"/>
      <c r="S722" s="384"/>
    </row>
    <row r="723" spans="1:22">
      <c r="A723" s="352" t="s">
        <v>362</v>
      </c>
      <c r="C723" s="442">
        <v>284196034</v>
      </c>
      <c r="E723" s="103">
        <f>E724-E722</f>
        <v>312515610</v>
      </c>
      <c r="I723" s="464">
        <v>6806495.0299999993</v>
      </c>
      <c r="K723" s="383">
        <f>I723*$E$724/$C$724</f>
        <v>7484748.8848433672</v>
      </c>
      <c r="O723" s="383">
        <f t="shared" si="195"/>
        <v>7484748.8848433672</v>
      </c>
      <c r="P723" s="397"/>
      <c r="Q723" s="357"/>
      <c r="R723" s="376"/>
      <c r="S723" s="384"/>
    </row>
    <row r="724" spans="1:22" ht="16.5" thickBot="1">
      <c r="A724" s="352" t="s">
        <v>113</v>
      </c>
      <c r="C724" s="400">
        <f>SUM(C722:C723)</f>
        <v>494677000</v>
      </c>
      <c r="E724" s="400">
        <v>543970591</v>
      </c>
      <c r="G724" s="465"/>
      <c r="H724" s="405"/>
      <c r="I724" s="394">
        <f>SUM(I719:I723)</f>
        <v>22029844.699999999</v>
      </c>
      <c r="K724" s="394">
        <f>SUM(K719:K723)</f>
        <v>24224835.012471452</v>
      </c>
      <c r="M724" s="465"/>
      <c r="N724" s="405"/>
      <c r="O724" s="394">
        <f>SUM(O719:O723)</f>
        <v>24224835.012471452</v>
      </c>
      <c r="P724" s="339"/>
      <c r="T724" s="384"/>
      <c r="U724" s="384"/>
    </row>
    <row r="725" spans="1:22" ht="16.5" thickTop="1">
      <c r="C725" s="102"/>
      <c r="E725" s="102"/>
      <c r="I725" s="397"/>
      <c r="K725" s="397"/>
      <c r="O725" s="397"/>
      <c r="P725" s="339"/>
    </row>
    <row r="726" spans="1:22">
      <c r="A726" s="330" t="s">
        <v>49</v>
      </c>
      <c r="B726" s="333"/>
      <c r="C726" s="102"/>
      <c r="E726" s="102"/>
      <c r="G726" s="397"/>
      <c r="H726" s="405"/>
      <c r="M726" s="397"/>
      <c r="N726" s="405"/>
      <c r="P726" s="376"/>
    </row>
    <row r="727" spans="1:22">
      <c r="A727" s="378" t="s">
        <v>124</v>
      </c>
      <c r="B727" s="333"/>
      <c r="C727" s="102">
        <v>12</v>
      </c>
      <c r="E727" s="102">
        <v>12</v>
      </c>
      <c r="P727" s="376"/>
      <c r="Q727" s="333"/>
      <c r="R727" s="351"/>
    </row>
    <row r="728" spans="1:22">
      <c r="A728" s="378" t="s">
        <v>363</v>
      </c>
      <c r="B728" s="333"/>
      <c r="C728" s="442">
        <v>840599614</v>
      </c>
      <c r="E728" s="102">
        <v>717800151.75</v>
      </c>
      <c r="G728" s="466"/>
      <c r="H728" s="467"/>
      <c r="I728" s="414">
        <v>31556109.50956</v>
      </c>
      <c r="K728" s="339">
        <f>I728*$E728/$C728</f>
        <v>26946217.696695004</v>
      </c>
      <c r="M728" s="466"/>
      <c r="N728" s="467"/>
      <c r="O728" s="414">
        <f>K728</f>
        <v>26946217.696695004</v>
      </c>
      <c r="Q728" s="357"/>
      <c r="R728" s="376"/>
    </row>
    <row r="729" spans="1:22" ht="16.5" thickBot="1">
      <c r="A729" s="352" t="s">
        <v>113</v>
      </c>
      <c r="B729" s="333"/>
      <c r="C729" s="468">
        <f>C728</f>
        <v>840599614</v>
      </c>
      <c r="E729" s="468">
        <f>SUM(E728:E728)</f>
        <v>717800151.75</v>
      </c>
      <c r="G729" s="469"/>
      <c r="H729" s="405"/>
      <c r="I729" s="387">
        <f>SUM(I728:I728)</f>
        <v>31556109.50956</v>
      </c>
      <c r="K729" s="470">
        <f>SUM(K728:K728)</f>
        <v>26946217.696695004</v>
      </c>
      <c r="M729" s="469"/>
      <c r="N729" s="405"/>
      <c r="O729" s="387">
        <f>SUM(O728:O728)</f>
        <v>26946217.696695004</v>
      </c>
      <c r="P729" s="461"/>
      <c r="Q729" s="384"/>
      <c r="R729" s="384"/>
    </row>
    <row r="730" spans="1:22" ht="16.5" thickTop="1">
      <c r="A730" s="378"/>
      <c r="B730" s="333"/>
      <c r="C730" s="357"/>
      <c r="E730" s="357"/>
      <c r="G730" s="443"/>
      <c r="H730" s="443"/>
      <c r="I730" s="376"/>
      <c r="K730" s="376"/>
      <c r="M730" s="443"/>
      <c r="N730" s="443"/>
      <c r="O730" s="376"/>
      <c r="P730" s="461"/>
      <c r="Q730" s="351"/>
      <c r="R730" s="376"/>
    </row>
    <row r="731" spans="1:22">
      <c r="A731" s="348" t="s">
        <v>364</v>
      </c>
      <c r="C731" s="102"/>
      <c r="E731" s="102"/>
      <c r="G731" s="397"/>
      <c r="H731" s="405"/>
      <c r="M731" s="397"/>
      <c r="N731" s="405"/>
      <c r="P731" s="461"/>
    </row>
    <row r="732" spans="1:22">
      <c r="A732" s="352" t="s">
        <v>124</v>
      </c>
      <c r="C732" s="102">
        <f>C748</f>
        <v>12</v>
      </c>
      <c r="E732" s="102">
        <f>E748</f>
        <v>12</v>
      </c>
      <c r="G732" s="99">
        <v>590</v>
      </c>
      <c r="H732" s="405"/>
      <c r="I732" s="339">
        <f>ROUND(G732*$C732,0)</f>
        <v>7080</v>
      </c>
      <c r="K732" s="339">
        <f>ROUND(G732*$E732,0)</f>
        <v>7080</v>
      </c>
      <c r="M732" s="99">
        <f>M605</f>
        <v>675</v>
      </c>
      <c r="N732" s="405"/>
      <c r="O732" s="339">
        <f>ROUND(M732*$E732,0)</f>
        <v>8100</v>
      </c>
      <c r="P732" s="461"/>
      <c r="Q732" s="452"/>
      <c r="T732" s="356">
        <f t="shared" ref="T732:T733" si="196">M732/G732-1</f>
        <v>0.14406779661016955</v>
      </c>
    </row>
    <row r="733" spans="1:22">
      <c r="A733" s="352" t="s">
        <v>365</v>
      </c>
      <c r="C733" s="102">
        <f>C749</f>
        <v>621080</v>
      </c>
      <c r="E733" s="102">
        <f>E749</f>
        <v>693457</v>
      </c>
      <c r="G733" s="99">
        <v>1.9</v>
      </c>
      <c r="H733" s="405"/>
      <c r="I733" s="339">
        <f>ROUND(G733*$C733,0)</f>
        <v>1180052</v>
      </c>
      <c r="K733" s="339">
        <f>ROUND(G733*$E733,0)</f>
        <v>1317568</v>
      </c>
      <c r="M733" s="99">
        <f>M606</f>
        <v>2.17</v>
      </c>
      <c r="N733" s="405"/>
      <c r="O733" s="339">
        <f>ROUND(M733*$E733,0)</f>
        <v>1504802</v>
      </c>
      <c r="P733" s="376"/>
      <c r="R733" s="356"/>
      <c r="T733" s="356">
        <f t="shared" si="196"/>
        <v>0.14210526315789473</v>
      </c>
    </row>
    <row r="734" spans="1:22">
      <c r="A734" s="352" t="s">
        <v>366</v>
      </c>
      <c r="C734" s="102"/>
      <c r="E734" s="102"/>
      <c r="G734" s="375"/>
      <c r="H734" s="471"/>
      <c r="I734" s="461"/>
      <c r="K734" s="461"/>
      <c r="M734" s="375"/>
      <c r="N734" s="471"/>
      <c r="O734" s="461"/>
      <c r="P734" s="376"/>
      <c r="R734" s="356"/>
    </row>
    <row r="735" spans="1:22">
      <c r="A735" s="352" t="s">
        <v>347</v>
      </c>
      <c r="C735" s="102">
        <f t="shared" ref="C735:E737" si="197">C751</f>
        <v>5619400</v>
      </c>
      <c r="E735" s="102">
        <f t="shared" si="197"/>
        <v>6274249</v>
      </c>
      <c r="G735" s="454">
        <v>0.44850000000000001</v>
      </c>
      <c r="H735" s="455"/>
      <c r="I735" s="339">
        <f t="shared" ref="I735:I737" si="198">ROUND(G735*$C735,0)</f>
        <v>2520301</v>
      </c>
      <c r="K735" s="339">
        <f t="shared" ref="K735:K737" si="199">ROUND(G735*$E735,0)</f>
        <v>2814001</v>
      </c>
      <c r="M735" s="454">
        <f t="shared" ref="M735:M737" si="200">M608</f>
        <v>0.51339999999999997</v>
      </c>
      <c r="N735" s="405"/>
      <c r="O735" s="339">
        <f t="shared" ref="O735:O737" si="201">ROUND(M735*$E735,0)</f>
        <v>3221199</v>
      </c>
      <c r="P735" s="376"/>
      <c r="Q735" s="99"/>
      <c r="R735" s="356"/>
      <c r="T735" s="356">
        <f t="shared" ref="T735:T737" si="202">M735/G735-1</f>
        <v>0.14470457079152732</v>
      </c>
      <c r="U735" s="339"/>
      <c r="V735" s="384"/>
    </row>
    <row r="736" spans="1:22">
      <c r="A736" s="352" t="s">
        <v>348</v>
      </c>
      <c r="C736" s="102">
        <f t="shared" si="197"/>
        <v>0</v>
      </c>
      <c r="E736" s="102">
        <f t="shared" si="197"/>
        <v>0</v>
      </c>
      <c r="G736" s="456">
        <v>0.2243</v>
      </c>
      <c r="H736" s="457"/>
      <c r="I736" s="339">
        <f t="shared" si="198"/>
        <v>0</v>
      </c>
      <c r="K736" s="339">
        <f t="shared" si="199"/>
        <v>0</v>
      </c>
      <c r="M736" s="456">
        <f t="shared" si="200"/>
        <v>0.25669999999999998</v>
      </c>
      <c r="N736" s="405"/>
      <c r="O736" s="339">
        <f t="shared" si="201"/>
        <v>0</v>
      </c>
      <c r="P736" s="376"/>
      <c r="Q736" s="452"/>
      <c r="R736" s="396"/>
      <c r="T736" s="356">
        <f t="shared" si="202"/>
        <v>0.14444939812750768</v>
      </c>
      <c r="U736" s="339"/>
      <c r="V736" s="384"/>
    </row>
    <row r="737" spans="1:22">
      <c r="A737" s="352" t="s">
        <v>367</v>
      </c>
      <c r="C737" s="102">
        <f t="shared" si="197"/>
        <v>0</v>
      </c>
      <c r="E737" s="102">
        <f t="shared" si="197"/>
        <v>0</v>
      </c>
      <c r="G737" s="99">
        <v>38.36</v>
      </c>
      <c r="H737" s="353"/>
      <c r="I737" s="339">
        <f t="shared" si="198"/>
        <v>0</v>
      </c>
      <c r="K737" s="339">
        <f t="shared" si="199"/>
        <v>0</v>
      </c>
      <c r="M737" s="99">
        <f t="shared" si="200"/>
        <v>43.91</v>
      </c>
      <c r="N737" s="405"/>
      <c r="O737" s="339">
        <f t="shared" si="201"/>
        <v>0</v>
      </c>
      <c r="P737" s="376"/>
      <c r="R737" s="356"/>
      <c r="T737" s="356">
        <f t="shared" si="202"/>
        <v>0.14468196037539105</v>
      </c>
      <c r="V737" s="384"/>
    </row>
    <row r="738" spans="1:22">
      <c r="A738" s="352" t="s">
        <v>368</v>
      </c>
      <c r="C738" s="102"/>
      <c r="E738" s="102"/>
      <c r="G738" s="420"/>
      <c r="H738" s="471"/>
      <c r="I738" s="461"/>
      <c r="K738" s="461"/>
      <c r="M738" s="420"/>
      <c r="N738" s="471"/>
      <c r="O738" s="461"/>
      <c r="R738" s="356"/>
    </row>
    <row r="739" spans="1:22">
      <c r="A739" s="352" t="s">
        <v>369</v>
      </c>
      <c r="C739" s="102">
        <f>C755+C766</f>
        <v>318738</v>
      </c>
      <c r="E739" s="102">
        <f>E755+E766</f>
        <v>334617</v>
      </c>
      <c r="G739" s="375">
        <v>12.18</v>
      </c>
      <c r="H739" s="374"/>
      <c r="I739" s="339">
        <f>ROUND($G739*C739,0)</f>
        <v>3882229</v>
      </c>
      <c r="K739" s="339">
        <f>ROUND($G739*E739,0)</f>
        <v>4075635</v>
      </c>
      <c r="M739" s="375">
        <f>M262</f>
        <v>13.79</v>
      </c>
      <c r="N739" s="374"/>
      <c r="O739" s="339">
        <f>ROUND(M739*$E739,0)</f>
        <v>4614368</v>
      </c>
      <c r="P739" s="339"/>
      <c r="Q739" s="99"/>
      <c r="R739" s="356"/>
      <c r="S739" s="384"/>
      <c r="T739" s="356">
        <f t="shared" ref="T739:T740" si="203">M739/G739-1</f>
        <v>0.13218390804597702</v>
      </c>
    </row>
    <row r="740" spans="1:22">
      <c r="A740" s="352" t="s">
        <v>370</v>
      </c>
      <c r="C740" s="102">
        <f>C756+C767</f>
        <v>1365564</v>
      </c>
      <c r="E740" s="102">
        <f>E756+E767</f>
        <v>1495903</v>
      </c>
      <c r="G740" s="375">
        <v>8.26</v>
      </c>
      <c r="H740" s="374"/>
      <c r="I740" s="339">
        <f>ROUND($G740*C740,0)</f>
        <v>11279559</v>
      </c>
      <c r="K740" s="339">
        <f>ROUND($G740*E740,0)</f>
        <v>12356159</v>
      </c>
      <c r="M740" s="375">
        <f>M263</f>
        <v>9.35</v>
      </c>
      <c r="N740" s="374"/>
      <c r="O740" s="339">
        <f>ROUND(M740*$E740,0)</f>
        <v>13986693</v>
      </c>
      <c r="P740" s="376"/>
      <c r="T740" s="356">
        <f t="shared" si="203"/>
        <v>0.13196125907990308</v>
      </c>
    </row>
    <row r="741" spans="1:22">
      <c r="A741" s="352" t="s">
        <v>371</v>
      </c>
      <c r="C741" s="357"/>
      <c r="E741" s="357"/>
      <c r="G741" s="471"/>
      <c r="H741" s="471"/>
      <c r="I741" s="472"/>
      <c r="K741" s="376"/>
      <c r="M741" s="471"/>
      <c r="N741" s="471"/>
      <c r="O741" s="376"/>
      <c r="P741" s="461"/>
    </row>
    <row r="742" spans="1:22">
      <c r="A742" s="352" t="s">
        <v>372</v>
      </c>
      <c r="C742" s="102">
        <f>C758+C768</f>
        <v>78037998</v>
      </c>
      <c r="E742" s="102">
        <f>E758+E768</f>
        <v>83697066</v>
      </c>
      <c r="G742" s="407">
        <v>4.0587999999999997</v>
      </c>
      <c r="H742" s="363" t="s">
        <v>93</v>
      </c>
      <c r="I742" s="339">
        <f>ROUND(G742*$C742/100,0)</f>
        <v>3167406</v>
      </c>
      <c r="K742" s="339">
        <f>ROUND(G742*$E742/100,0)</f>
        <v>3397097</v>
      </c>
      <c r="M742" s="407">
        <f>M264</f>
        <v>4.5964</v>
      </c>
      <c r="N742" s="363" t="s">
        <v>93</v>
      </c>
      <c r="O742" s="339">
        <f>ROUND(M742*$E742/100,0)</f>
        <v>3847052</v>
      </c>
      <c r="P742" s="376"/>
      <c r="T742" s="356">
        <f t="shared" ref="T742:T744" si="204">M742/G742-1</f>
        <v>0.13245294175618416</v>
      </c>
      <c r="U742" s="384"/>
    </row>
    <row r="743" spans="1:22">
      <c r="A743" s="352" t="s">
        <v>373</v>
      </c>
      <c r="C743" s="102">
        <f>C759+C769</f>
        <v>411000979</v>
      </c>
      <c r="E743" s="102">
        <f>E759+E769</f>
        <v>449581129</v>
      </c>
      <c r="G743" s="407">
        <v>3.052</v>
      </c>
      <c r="H743" s="363" t="s">
        <v>93</v>
      </c>
      <c r="I743" s="339">
        <f t="shared" ref="I743:I744" si="205">ROUND(G743*$C743/100,0)</f>
        <v>12543750</v>
      </c>
      <c r="K743" s="339">
        <f t="shared" ref="K743:K744" si="206">ROUND(G743*$E743/100,0)</f>
        <v>13721216</v>
      </c>
      <c r="M743" s="407">
        <f>M265</f>
        <v>3.4563000000000001</v>
      </c>
      <c r="N743" s="363" t="s">
        <v>93</v>
      </c>
      <c r="O743" s="339">
        <f t="shared" ref="O743:O744" si="207">ROUND(M743*$E743/100,0)</f>
        <v>15538873</v>
      </c>
      <c r="P743" s="376"/>
      <c r="T743" s="356">
        <f t="shared" si="204"/>
        <v>0.132470511140236</v>
      </c>
    </row>
    <row r="744" spans="1:22">
      <c r="A744" s="352" t="s">
        <v>374</v>
      </c>
      <c r="C744" s="442">
        <f>C760+C770</f>
        <v>771920093</v>
      </c>
      <c r="E744" s="442">
        <f>E760+E770</f>
        <v>838320905</v>
      </c>
      <c r="G744" s="459">
        <v>2.5488</v>
      </c>
      <c r="H744" s="363" t="s">
        <v>93</v>
      </c>
      <c r="I744" s="414">
        <f t="shared" si="205"/>
        <v>19674699</v>
      </c>
      <c r="K744" s="414">
        <f t="shared" si="206"/>
        <v>21367123</v>
      </c>
      <c r="M744" s="459">
        <f>M266</f>
        <v>2.8868</v>
      </c>
      <c r="N744" s="363" t="s">
        <v>93</v>
      </c>
      <c r="O744" s="414">
        <f t="shared" si="207"/>
        <v>24200648</v>
      </c>
      <c r="P744" s="376"/>
      <c r="T744" s="356">
        <f t="shared" si="204"/>
        <v>0.13261142498430645</v>
      </c>
      <c r="V744" s="384"/>
    </row>
    <row r="745" spans="1:22" ht="16.5" thickBot="1">
      <c r="A745" s="352" t="s">
        <v>375</v>
      </c>
      <c r="C745" s="400">
        <f>SUM(C742:C744)</f>
        <v>1260959070</v>
      </c>
      <c r="E745" s="400">
        <f>SUM(E742:E744)</f>
        <v>1371599100</v>
      </c>
      <c r="G745" s="465"/>
      <c r="H745" s="405"/>
      <c r="I745" s="394">
        <f>SUM(I732:I744)</f>
        <v>54255076</v>
      </c>
      <c r="K745" s="394">
        <f>SUM(K732:K744)</f>
        <v>59055879</v>
      </c>
      <c r="M745" s="465"/>
      <c r="N745" s="405"/>
      <c r="O745" s="394">
        <f>SUM(O732:O744)</f>
        <v>66921735</v>
      </c>
      <c r="P745" s="461"/>
      <c r="Q745" s="332" t="s">
        <v>94</v>
      </c>
      <c r="R745" s="390">
        <f>O745/K745-1</f>
        <v>0.13319344548237111</v>
      </c>
    </row>
    <row r="746" spans="1:22" ht="16.5" thickTop="1">
      <c r="C746" s="102"/>
      <c r="E746" s="102"/>
      <c r="G746" s="397"/>
      <c r="H746" s="405"/>
      <c r="M746" s="397"/>
      <c r="N746" s="405"/>
      <c r="P746" s="461"/>
    </row>
    <row r="747" spans="1:22">
      <c r="A747" s="348" t="s">
        <v>376</v>
      </c>
      <c r="C747" s="102"/>
      <c r="E747" s="102"/>
      <c r="G747" s="397"/>
      <c r="H747" s="405"/>
      <c r="M747" s="397"/>
      <c r="N747" s="405"/>
      <c r="P747" s="461"/>
    </row>
    <row r="748" spans="1:22">
      <c r="A748" s="352" t="s">
        <v>124</v>
      </c>
      <c r="C748" s="102">
        <v>12</v>
      </c>
      <c r="E748" s="102">
        <v>12</v>
      </c>
      <c r="G748" s="99">
        <v>590</v>
      </c>
      <c r="H748" s="405"/>
      <c r="I748" s="339">
        <f>ROUND(G748*$C748,0)</f>
        <v>7080</v>
      </c>
      <c r="K748" s="339">
        <f>ROUND(G748*$E748,0)</f>
        <v>7080</v>
      </c>
      <c r="M748" s="99">
        <f>M691</f>
        <v>675</v>
      </c>
      <c r="N748" s="405"/>
      <c r="O748" s="339">
        <f>ROUND(M748*$E748,0)</f>
        <v>8100</v>
      </c>
      <c r="P748" s="461"/>
      <c r="Q748" s="452"/>
      <c r="T748" s="356">
        <f t="shared" ref="T748:T749" si="208">M748/G748-1</f>
        <v>0.14406779661016955</v>
      </c>
    </row>
    <row r="749" spans="1:22">
      <c r="A749" s="352" t="s">
        <v>365</v>
      </c>
      <c r="C749" s="102">
        <v>621080</v>
      </c>
      <c r="E749" s="102">
        <f>ROUND(C749*$E$761/$C$761,0)</f>
        <v>693457</v>
      </c>
      <c r="G749" s="99">
        <v>1.9</v>
      </c>
      <c r="H749" s="405"/>
      <c r="I749" s="339">
        <f>ROUND(G749*$C749,0)</f>
        <v>1180052</v>
      </c>
      <c r="K749" s="339">
        <f>ROUND(G749*$E749,0)</f>
        <v>1317568</v>
      </c>
      <c r="M749" s="99">
        <f>M692</f>
        <v>2.17</v>
      </c>
      <c r="N749" s="405"/>
      <c r="O749" s="339">
        <f>ROUND(M749*$E749,0)</f>
        <v>1504802</v>
      </c>
      <c r="P749" s="376"/>
      <c r="R749" s="356"/>
      <c r="T749" s="356">
        <f t="shared" si="208"/>
        <v>0.14210526315789473</v>
      </c>
    </row>
    <row r="750" spans="1:22">
      <c r="A750" s="352" t="s">
        <v>366</v>
      </c>
      <c r="C750" s="102"/>
      <c r="E750" s="102"/>
      <c r="G750" s="375"/>
      <c r="H750" s="471"/>
      <c r="I750" s="461"/>
      <c r="K750" s="461"/>
      <c r="M750" s="375"/>
      <c r="N750" s="471"/>
      <c r="O750" s="461"/>
      <c r="P750" s="376"/>
      <c r="R750" s="356"/>
    </row>
    <row r="751" spans="1:22">
      <c r="A751" s="352" t="s">
        <v>347</v>
      </c>
      <c r="C751" s="102">
        <v>5619400</v>
      </c>
      <c r="E751" s="102">
        <f>ROUND(C751*$E$761/$C$761,0)</f>
        <v>6274249</v>
      </c>
      <c r="G751" s="454">
        <v>0.44850000000000001</v>
      </c>
      <c r="H751" s="455"/>
      <c r="I751" s="339">
        <f t="shared" ref="I751:I753" si="209">ROUND(G751*$C751,0)</f>
        <v>2520301</v>
      </c>
      <c r="K751" s="339">
        <f t="shared" ref="K751:K753" si="210">ROUND(G751*$E751,0)</f>
        <v>2814001</v>
      </c>
      <c r="M751" s="454">
        <f>M694</f>
        <v>0.51339999999999997</v>
      </c>
      <c r="N751" s="405"/>
      <c r="O751" s="339">
        <f t="shared" ref="O751:O753" si="211">ROUND(M751*$E751,0)</f>
        <v>3221199</v>
      </c>
      <c r="P751" s="376"/>
      <c r="Q751" s="99"/>
      <c r="R751" s="356"/>
      <c r="T751" s="356">
        <f t="shared" ref="T751:T753" si="212">M751/G751-1</f>
        <v>0.14470457079152732</v>
      </c>
      <c r="U751" s="339"/>
      <c r="V751" s="384"/>
    </row>
    <row r="752" spans="1:22">
      <c r="A752" s="352" t="s">
        <v>348</v>
      </c>
      <c r="C752" s="102">
        <v>0</v>
      </c>
      <c r="E752" s="102">
        <f>ROUND(C752*$E$761/$C$761,0)</f>
        <v>0</v>
      </c>
      <c r="G752" s="456">
        <v>0.2243</v>
      </c>
      <c r="H752" s="457"/>
      <c r="I752" s="339">
        <f t="shared" si="209"/>
        <v>0</v>
      </c>
      <c r="K752" s="339">
        <f t="shared" si="210"/>
        <v>0</v>
      </c>
      <c r="M752" s="456">
        <f t="shared" ref="M752:M753" si="213">M695</f>
        <v>0.25669999999999998</v>
      </c>
      <c r="N752" s="405"/>
      <c r="O752" s="339">
        <f t="shared" si="211"/>
        <v>0</v>
      </c>
      <c r="P752" s="376"/>
      <c r="Q752" s="452"/>
      <c r="R752" s="396"/>
      <c r="T752" s="356">
        <f t="shared" si="212"/>
        <v>0.14444939812750768</v>
      </c>
      <c r="U752" s="339"/>
      <c r="V752" s="384"/>
    </row>
    <row r="753" spans="1:22">
      <c r="A753" s="352" t="s">
        <v>367</v>
      </c>
      <c r="C753" s="102">
        <v>0</v>
      </c>
      <c r="E753" s="102">
        <f>ROUND(C753*$E$761/$C$761,0)</f>
        <v>0</v>
      </c>
      <c r="G753" s="99">
        <v>38.36</v>
      </c>
      <c r="H753" s="353"/>
      <c r="I753" s="339">
        <f t="shared" si="209"/>
        <v>0</v>
      </c>
      <c r="K753" s="339">
        <f t="shared" si="210"/>
        <v>0</v>
      </c>
      <c r="M753" s="99">
        <f t="shared" si="213"/>
        <v>43.91</v>
      </c>
      <c r="N753" s="405"/>
      <c r="O753" s="339">
        <f t="shared" si="211"/>
        <v>0</v>
      </c>
      <c r="P753" s="376"/>
      <c r="R753" s="356"/>
      <c r="T753" s="356">
        <f t="shared" si="212"/>
        <v>0.14468196037539105</v>
      </c>
      <c r="V753" s="384"/>
    </row>
    <row r="754" spans="1:22">
      <c r="A754" s="352" t="s">
        <v>368</v>
      </c>
      <c r="C754" s="102"/>
      <c r="E754" s="102"/>
      <c r="G754" s="420"/>
      <c r="H754" s="471"/>
      <c r="I754" s="461"/>
      <c r="K754" s="461"/>
      <c r="M754" s="420"/>
      <c r="N754" s="471"/>
      <c r="O754" s="461"/>
      <c r="R754" s="356"/>
    </row>
    <row r="755" spans="1:22">
      <c r="A755" s="352" t="s">
        <v>369</v>
      </c>
      <c r="C755" s="102">
        <v>170120</v>
      </c>
      <c r="E755" s="102">
        <f t="shared" ref="E755:E756" si="214">ROUND(C755*$E$761/$C$761,0)</f>
        <v>189945</v>
      </c>
      <c r="G755" s="375">
        <v>12.18</v>
      </c>
      <c r="H755" s="374"/>
      <c r="I755" s="339">
        <f>ROUND($G755*C755,0)</f>
        <v>2072062</v>
      </c>
      <c r="K755" s="339">
        <f>ROUND($G755*E755,0)</f>
        <v>2313530</v>
      </c>
      <c r="M755" s="375">
        <f>M262</f>
        <v>13.79</v>
      </c>
      <c r="N755" s="374"/>
      <c r="O755" s="339">
        <f>ROUND(M755*$E755,0)</f>
        <v>2619342</v>
      </c>
      <c r="P755" s="339"/>
      <c r="Q755" s="99"/>
      <c r="R755" s="356"/>
      <c r="S755" s="384"/>
      <c r="T755" s="356">
        <f t="shared" ref="T755:T756" si="215">M755/G755-1</f>
        <v>0.13218390804597702</v>
      </c>
    </row>
    <row r="756" spans="1:22">
      <c r="A756" s="352" t="s">
        <v>370</v>
      </c>
      <c r="C756" s="102">
        <v>1164320</v>
      </c>
      <c r="E756" s="102">
        <f t="shared" si="214"/>
        <v>1300002</v>
      </c>
      <c r="G756" s="375">
        <v>8.26</v>
      </c>
      <c r="H756" s="374"/>
      <c r="I756" s="339">
        <f>ROUND($G756*C756,0)</f>
        <v>9617283</v>
      </c>
      <c r="K756" s="339">
        <f>ROUND($G756*E756,0)</f>
        <v>10738017</v>
      </c>
      <c r="M756" s="375">
        <f>M263</f>
        <v>9.35</v>
      </c>
      <c r="N756" s="374"/>
      <c r="O756" s="339">
        <f>ROUND(M756*$E756,0)</f>
        <v>12155019</v>
      </c>
      <c r="P756" s="376"/>
      <c r="T756" s="356">
        <f t="shared" si="215"/>
        <v>0.13196125907990308</v>
      </c>
    </row>
    <row r="757" spans="1:22">
      <c r="A757" s="352" t="s">
        <v>371</v>
      </c>
      <c r="C757" s="357"/>
      <c r="E757" s="357"/>
      <c r="G757" s="471"/>
      <c r="H757" s="471"/>
      <c r="I757" s="472"/>
      <c r="K757" s="376"/>
      <c r="M757" s="471"/>
      <c r="N757" s="471"/>
      <c r="O757" s="376"/>
      <c r="P757" s="461"/>
    </row>
    <row r="758" spans="1:22">
      <c r="A758" s="352" t="s">
        <v>372</v>
      </c>
      <c r="C758" s="102">
        <v>54031198</v>
      </c>
      <c r="E758" s="102">
        <f>ROUND(C758*$E$761/$C$761,0)</f>
        <v>60327644</v>
      </c>
      <c r="G758" s="407">
        <v>4.0587999999999997</v>
      </c>
      <c r="H758" s="363" t="s">
        <v>93</v>
      </c>
      <c r="I758" s="339">
        <f>ROUND(G758*$C758/100,0)</f>
        <v>2193018</v>
      </c>
      <c r="K758" s="339">
        <f>ROUND(G758*$E758/100,0)</f>
        <v>2448578</v>
      </c>
      <c r="M758" s="407">
        <f>M264</f>
        <v>4.5964</v>
      </c>
      <c r="N758" s="363" t="s">
        <v>93</v>
      </c>
      <c r="O758" s="339">
        <f>ROUND(M758*$E758/100,0)</f>
        <v>2772900</v>
      </c>
      <c r="P758" s="376"/>
      <c r="T758" s="356">
        <f t="shared" ref="T758:T760" si="216">M758/G758-1</f>
        <v>0.13245294175618416</v>
      </c>
      <c r="U758" s="384"/>
    </row>
    <row r="759" spans="1:22">
      <c r="A759" s="352" t="s">
        <v>373</v>
      </c>
      <c r="C759" s="102">
        <v>345897379</v>
      </c>
      <c r="E759" s="102">
        <f t="shared" ref="E759" si="217">ROUND(C759*$E$761/$C$761,0)</f>
        <v>386206023</v>
      </c>
      <c r="G759" s="407">
        <v>3.052</v>
      </c>
      <c r="H759" s="363" t="s">
        <v>93</v>
      </c>
      <c r="I759" s="339">
        <f t="shared" ref="I759:I760" si="218">ROUND(G759*$C759/100,0)</f>
        <v>10556788</v>
      </c>
      <c r="K759" s="339">
        <f t="shared" ref="K759:K760" si="219">ROUND(G759*$E759/100,0)</f>
        <v>11787008</v>
      </c>
      <c r="M759" s="407">
        <f t="shared" ref="M759:M760" si="220">M265</f>
        <v>3.4563000000000001</v>
      </c>
      <c r="N759" s="363" t="s">
        <v>93</v>
      </c>
      <c r="O759" s="339">
        <f t="shared" ref="O759:O760" si="221">ROUND(M759*$E759/100,0)</f>
        <v>13348439</v>
      </c>
      <c r="P759" s="376"/>
      <c r="T759" s="356">
        <f t="shared" si="216"/>
        <v>0.132470511140236</v>
      </c>
    </row>
    <row r="760" spans="1:22">
      <c r="A760" s="352" t="s">
        <v>374</v>
      </c>
      <c r="C760" s="442">
        <v>607304493</v>
      </c>
      <c r="E760" s="442">
        <f>E761-E758-E759</f>
        <v>678075833</v>
      </c>
      <c r="G760" s="459">
        <v>2.5488</v>
      </c>
      <c r="H760" s="363" t="s">
        <v>93</v>
      </c>
      <c r="I760" s="414">
        <f t="shared" si="218"/>
        <v>15478977</v>
      </c>
      <c r="K760" s="414">
        <f t="shared" si="219"/>
        <v>17282797</v>
      </c>
      <c r="M760" s="459">
        <f t="shared" si="220"/>
        <v>2.8868</v>
      </c>
      <c r="N760" s="363" t="s">
        <v>93</v>
      </c>
      <c r="O760" s="414">
        <f t="shared" si="221"/>
        <v>19574693</v>
      </c>
      <c r="P760" s="376"/>
      <c r="T760" s="356">
        <f t="shared" si="216"/>
        <v>0.13261142498430645</v>
      </c>
      <c r="V760" s="384"/>
    </row>
    <row r="761" spans="1:22" ht="16.5" thickBot="1">
      <c r="A761" s="352" t="s">
        <v>375</v>
      </c>
      <c r="C761" s="400">
        <f>SUM(C758:C760)</f>
        <v>1007233070</v>
      </c>
      <c r="E761" s="400">
        <v>1124609500</v>
      </c>
      <c r="G761" s="465"/>
      <c r="H761" s="405"/>
      <c r="I761" s="394">
        <f>SUM(I748:I760)</f>
        <v>43625561</v>
      </c>
      <c r="K761" s="394">
        <f>SUM(K748:K760)</f>
        <v>48708579</v>
      </c>
      <c r="M761" s="465"/>
      <c r="N761" s="405"/>
      <c r="O761" s="394">
        <f>SUM(O748:O760)</f>
        <v>55204494</v>
      </c>
      <c r="P761" s="461"/>
      <c r="Q761" s="332" t="s">
        <v>94</v>
      </c>
      <c r="R761" s="390">
        <f>O761/K761-1</f>
        <v>0.13336285174732776</v>
      </c>
    </row>
    <row r="762" spans="1:22" ht="16.5" thickTop="1">
      <c r="C762" s="102"/>
      <c r="E762" s="102"/>
      <c r="G762" s="397"/>
      <c r="H762" s="405"/>
      <c r="M762" s="397"/>
      <c r="N762" s="405"/>
      <c r="P762" s="461"/>
    </row>
    <row r="763" spans="1:22">
      <c r="A763" s="348" t="s">
        <v>377</v>
      </c>
      <c r="C763" s="102"/>
      <c r="E763" s="102"/>
      <c r="G763" s="397"/>
      <c r="H763" s="405"/>
      <c r="M763" s="397"/>
      <c r="N763" s="405"/>
      <c r="P763" s="376"/>
    </row>
    <row r="764" spans="1:22">
      <c r="A764" s="352" t="s">
        <v>124</v>
      </c>
      <c r="C764" s="332">
        <v>12</v>
      </c>
      <c r="E764" s="332">
        <v>12</v>
      </c>
      <c r="G764" s="99"/>
      <c r="H764" s="374"/>
      <c r="I764" s="339"/>
      <c r="K764" s="339"/>
      <c r="M764" s="99"/>
      <c r="N764" s="374"/>
      <c r="O764" s="339"/>
      <c r="P764" s="376"/>
      <c r="T764" s="356"/>
    </row>
    <row r="765" spans="1:22">
      <c r="A765" s="352" t="s">
        <v>186</v>
      </c>
      <c r="C765" s="102">
        <v>379554</v>
      </c>
      <c r="E765" s="102">
        <f>ROUND(C765*$E$771/$C$771,0)</f>
        <v>369477</v>
      </c>
      <c r="G765" s="375">
        <v>1.94</v>
      </c>
      <c r="H765" s="374"/>
      <c r="I765" s="339"/>
      <c r="K765" s="339"/>
      <c r="M765" s="375"/>
      <c r="N765" s="374"/>
      <c r="O765" s="339"/>
      <c r="P765" s="339"/>
      <c r="Q765" s="339"/>
      <c r="R765" s="339"/>
      <c r="T765" s="356">
        <f t="shared" ref="T765:T770" si="222">M765/G765-1</f>
        <v>-1</v>
      </c>
    </row>
    <row r="766" spans="1:22">
      <c r="A766" s="352" t="s">
        <v>187</v>
      </c>
      <c r="C766" s="102">
        <v>148618</v>
      </c>
      <c r="E766" s="102">
        <f t="shared" ref="E766:E769" si="223">ROUND(C766*$E$771/$C$771,0)</f>
        <v>144672</v>
      </c>
      <c r="G766" s="375">
        <v>12.18</v>
      </c>
      <c r="H766" s="374"/>
      <c r="I766" s="339">
        <f>ROUND($G766*C766,0)</f>
        <v>1810167</v>
      </c>
      <c r="K766" s="339">
        <f>ROUND($G766*E766,0)</f>
        <v>1762105</v>
      </c>
      <c r="M766" s="375">
        <f t="shared" ref="M766:M770" si="224">M262</f>
        <v>13.79</v>
      </c>
      <c r="N766" s="374"/>
      <c r="O766" s="339">
        <f>ROUND(M766*$E766,0)</f>
        <v>1995027</v>
      </c>
      <c r="P766" s="339"/>
      <c r="S766" s="384"/>
      <c r="T766" s="356">
        <f t="shared" si="222"/>
        <v>0.13218390804597702</v>
      </c>
    </row>
    <row r="767" spans="1:22">
      <c r="A767" s="352" t="s">
        <v>188</v>
      </c>
      <c r="C767" s="102">
        <v>201244</v>
      </c>
      <c r="E767" s="102">
        <f t="shared" si="223"/>
        <v>195901</v>
      </c>
      <c r="G767" s="375">
        <v>8.26</v>
      </c>
      <c r="H767" s="374"/>
      <c r="I767" s="339">
        <f>ROUND($G767*C767,0)</f>
        <v>1662275</v>
      </c>
      <c r="K767" s="339">
        <f>ROUND($G767*E767,0)</f>
        <v>1618142</v>
      </c>
      <c r="M767" s="375">
        <f t="shared" si="224"/>
        <v>9.35</v>
      </c>
      <c r="N767" s="374"/>
      <c r="O767" s="339">
        <f>ROUND(M767*$E767,0)</f>
        <v>1831674</v>
      </c>
      <c r="P767" s="376"/>
      <c r="T767" s="356">
        <f t="shared" si="222"/>
        <v>0.13196125907990308</v>
      </c>
    </row>
    <row r="768" spans="1:22">
      <c r="A768" s="352" t="s">
        <v>194</v>
      </c>
      <c r="C768" s="102">
        <v>24006800</v>
      </c>
      <c r="E768" s="102">
        <f t="shared" si="223"/>
        <v>23369422</v>
      </c>
      <c r="G768" s="407">
        <v>4.0587999999999997</v>
      </c>
      <c r="H768" s="363" t="s">
        <v>93</v>
      </c>
      <c r="I768" s="339">
        <f>ROUND($G768*C768/100,0)</f>
        <v>974388</v>
      </c>
      <c r="K768" s="339">
        <f>ROUND($G768*E768/100,0)</f>
        <v>948518</v>
      </c>
      <c r="M768" s="407">
        <f t="shared" si="224"/>
        <v>4.5964</v>
      </c>
      <c r="N768" s="363" t="s">
        <v>93</v>
      </c>
      <c r="O768" s="339">
        <f>ROUND(M768*$E768/100,0)</f>
        <v>1074152</v>
      </c>
      <c r="P768" s="376"/>
      <c r="T768" s="356">
        <f t="shared" si="222"/>
        <v>0.13245294175618416</v>
      </c>
      <c r="U768" s="384"/>
    </row>
    <row r="769" spans="1:22">
      <c r="A769" s="352" t="s">
        <v>195</v>
      </c>
      <c r="C769" s="102">
        <v>65103600</v>
      </c>
      <c r="E769" s="102">
        <f t="shared" si="223"/>
        <v>63375106</v>
      </c>
      <c r="G769" s="407">
        <v>3.052</v>
      </c>
      <c r="H769" s="363" t="s">
        <v>93</v>
      </c>
      <c r="I769" s="339">
        <f>ROUND($G769*C769/100,0)</f>
        <v>1986962</v>
      </c>
      <c r="K769" s="339">
        <f>ROUND($G769*E769/100,0)</f>
        <v>1934208</v>
      </c>
      <c r="M769" s="407">
        <f t="shared" si="224"/>
        <v>3.4563000000000001</v>
      </c>
      <c r="N769" s="363" t="s">
        <v>93</v>
      </c>
      <c r="O769" s="339">
        <f>ROUND(M769*$E769/100,0)</f>
        <v>2190434</v>
      </c>
      <c r="P769" s="376"/>
      <c r="T769" s="356">
        <f t="shared" si="222"/>
        <v>0.132470511140236</v>
      </c>
    </row>
    <row r="770" spans="1:22">
      <c r="A770" s="352" t="s">
        <v>189</v>
      </c>
      <c r="C770" s="442">
        <v>164615600</v>
      </c>
      <c r="E770" s="442">
        <f>E771-E768-E769</f>
        <v>160245072</v>
      </c>
      <c r="G770" s="459">
        <v>2.5488</v>
      </c>
      <c r="H770" s="363" t="s">
        <v>93</v>
      </c>
      <c r="I770" s="414">
        <f>ROUND($G770*C770/100,0)</f>
        <v>4195722</v>
      </c>
      <c r="K770" s="414">
        <f>ROUND($G770*E770/100,0)</f>
        <v>4084326</v>
      </c>
      <c r="M770" s="459">
        <f t="shared" si="224"/>
        <v>2.8868</v>
      </c>
      <c r="N770" s="363" t="s">
        <v>93</v>
      </c>
      <c r="O770" s="414">
        <f>ROUND(M770*$E770/100,0)</f>
        <v>4625955</v>
      </c>
      <c r="P770" s="376"/>
      <c r="T770" s="356">
        <f t="shared" si="222"/>
        <v>0.13261142498430645</v>
      </c>
      <c r="V770" s="384"/>
    </row>
    <row r="771" spans="1:22" ht="16.5" thickBot="1">
      <c r="A771" s="352" t="s">
        <v>113</v>
      </c>
      <c r="C771" s="400">
        <f>SUM(C768:C770)</f>
        <v>253726000</v>
      </c>
      <c r="E771" s="400">
        <v>246989600</v>
      </c>
      <c r="G771" s="393"/>
      <c r="I771" s="394">
        <f>SUM(I764:I770)</f>
        <v>10629514</v>
      </c>
      <c r="K771" s="394">
        <f>SUM(K764:K770)</f>
        <v>10347299</v>
      </c>
      <c r="M771" s="393"/>
      <c r="O771" s="394">
        <f>SUM(O764:O770)</f>
        <v>11717242</v>
      </c>
      <c r="P771" s="339"/>
      <c r="Q771" s="332" t="s">
        <v>94</v>
      </c>
      <c r="R771" s="390">
        <f>O771/K771-1</f>
        <v>0.13239619344139952</v>
      </c>
    </row>
    <row r="772" spans="1:22" ht="16.5" thickTop="1">
      <c r="C772" s="102"/>
      <c r="E772" s="102"/>
      <c r="P772" s="339"/>
    </row>
    <row r="773" spans="1:22">
      <c r="A773" s="348" t="s">
        <v>378</v>
      </c>
      <c r="C773" s="102"/>
      <c r="E773" s="102"/>
      <c r="G773" s="397"/>
      <c r="H773" s="405"/>
      <c r="M773" s="397"/>
      <c r="N773" s="405"/>
      <c r="P773" s="339"/>
    </row>
    <row r="774" spans="1:22">
      <c r="A774" s="378" t="s">
        <v>379</v>
      </c>
      <c r="B774" s="333"/>
      <c r="C774" s="102">
        <v>1</v>
      </c>
      <c r="E774" s="102">
        <v>1</v>
      </c>
      <c r="G774" s="99"/>
      <c r="H774" s="353"/>
      <c r="I774" s="339"/>
      <c r="K774" s="339"/>
      <c r="M774" s="99"/>
      <c r="N774" s="353"/>
      <c r="O774" s="339"/>
      <c r="P774" s="376"/>
      <c r="T774" s="356"/>
    </row>
    <row r="775" spans="1:22">
      <c r="A775" s="378" t="s">
        <v>380</v>
      </c>
      <c r="B775" s="333"/>
      <c r="C775" s="102">
        <v>971.99790718477004</v>
      </c>
      <c r="E775" s="102">
        <f>ROUND(C775*E774/C774,0)</f>
        <v>972</v>
      </c>
      <c r="G775" s="454">
        <v>17.775099999999998</v>
      </c>
      <c r="H775" s="455"/>
      <c r="I775" s="339">
        <f>ROUND(G775*$C775,0)</f>
        <v>17277</v>
      </c>
      <c r="K775" s="339">
        <f>ROUND(G775*$E775,0)</f>
        <v>17277</v>
      </c>
      <c r="M775" s="454">
        <v>17.775099999999998</v>
      </c>
      <c r="N775" s="455"/>
      <c r="O775" s="339">
        <f>ROUND(M775*$E775,0)</f>
        <v>17277</v>
      </c>
      <c r="P775" s="376"/>
      <c r="T775" s="356">
        <f t="shared" ref="T775" si="225">M775/G775-1</f>
        <v>0</v>
      </c>
    </row>
    <row r="776" spans="1:22">
      <c r="A776" s="378" t="s">
        <v>128</v>
      </c>
      <c r="B776" s="333"/>
      <c r="C776" s="102">
        <v>140939.69654179199</v>
      </c>
      <c r="E776" s="102">
        <f>E778</f>
        <v>135421</v>
      </c>
      <c r="G776" s="389"/>
      <c r="H776" s="363"/>
      <c r="I776" s="339"/>
      <c r="K776" s="339"/>
      <c r="M776" s="389"/>
      <c r="N776" s="363"/>
      <c r="O776" s="339"/>
      <c r="T776" s="356"/>
    </row>
    <row r="777" spans="1:22">
      <c r="A777" s="332" t="s">
        <v>182</v>
      </c>
      <c r="C777" s="432">
        <v>0</v>
      </c>
      <c r="E777" s="432">
        <v>0</v>
      </c>
      <c r="G777" s="397"/>
      <c r="H777" s="405"/>
      <c r="I777" s="383">
        <v>0</v>
      </c>
      <c r="K777" s="383">
        <v>0</v>
      </c>
      <c r="M777" s="397"/>
      <c r="N777" s="405"/>
      <c r="O777" s="383">
        <v>0</v>
      </c>
      <c r="P777" s="339"/>
    </row>
    <row r="778" spans="1:22" ht="16.5" thickBot="1">
      <c r="A778" s="378" t="s">
        <v>113</v>
      </c>
      <c r="B778" s="333"/>
      <c r="C778" s="400">
        <f>C777+C776</f>
        <v>140939.69654179199</v>
      </c>
      <c r="E778" s="400">
        <v>135421</v>
      </c>
      <c r="G778" s="465"/>
      <c r="H778" s="405"/>
      <c r="I778" s="394">
        <f>SUM(I774:I777)</f>
        <v>17277</v>
      </c>
      <c r="K778" s="394">
        <f>SUM(K774:K777)</f>
        <v>17277</v>
      </c>
      <c r="M778" s="465"/>
      <c r="N778" s="405"/>
      <c r="O778" s="394">
        <f>SUM(O774:O777)</f>
        <v>17277</v>
      </c>
      <c r="P778" s="339"/>
    </row>
    <row r="779" spans="1:22" ht="16.5" thickTop="1">
      <c r="A779" s="378"/>
      <c r="B779" s="333"/>
      <c r="C779" s="357"/>
      <c r="E779" s="357"/>
      <c r="G779" s="405"/>
      <c r="H779" s="405"/>
      <c r="I779" s="376"/>
      <c r="K779" s="376"/>
      <c r="M779" s="405"/>
      <c r="N779" s="405"/>
      <c r="O779" s="376"/>
      <c r="P779" s="376"/>
    </row>
    <row r="780" spans="1:22">
      <c r="A780" s="348" t="s">
        <v>381</v>
      </c>
      <c r="C780" s="102"/>
      <c r="E780" s="102"/>
      <c r="P780" s="376"/>
    </row>
    <row r="781" spans="1:22">
      <c r="A781" s="352" t="s">
        <v>382</v>
      </c>
      <c r="C781" s="102">
        <v>60.169724770642198</v>
      </c>
      <c r="E781" s="102">
        <f>ROUND(C781*($E$784/$C$784),0)</f>
        <v>62</v>
      </c>
      <c r="G781" s="99">
        <v>2.1800000000000002</v>
      </c>
      <c r="H781" s="353"/>
      <c r="I781" s="339">
        <f>ROUND(G781*$C781,0)</f>
        <v>131</v>
      </c>
      <c r="K781" s="339">
        <f>ROUND(G781*$E781,0)</f>
        <v>135</v>
      </c>
      <c r="M781" s="99">
        <v>2.1800000000000002</v>
      </c>
      <c r="N781" s="353"/>
      <c r="O781" s="339">
        <f>ROUND(M781*$E781,0)</f>
        <v>135</v>
      </c>
      <c r="P781" s="333"/>
      <c r="T781" s="356">
        <f t="shared" ref="T781:T782" si="226">M781/G781-1</f>
        <v>0</v>
      </c>
    </row>
    <row r="782" spans="1:22">
      <c r="A782" s="352" t="s">
        <v>383</v>
      </c>
      <c r="C782" s="442">
        <v>206.835026077409</v>
      </c>
      <c r="E782" s="442">
        <f>ROUND(C782*($E$784/$C$784),0)</f>
        <v>213</v>
      </c>
      <c r="G782" s="473">
        <v>2.1858</v>
      </c>
      <c r="H782" s="363"/>
      <c r="I782" s="414">
        <f>ROUND(G782*$C782,0)</f>
        <v>452</v>
      </c>
      <c r="K782" s="414">
        <f>ROUND(G782*$E782,0)</f>
        <v>466</v>
      </c>
      <c r="M782" s="473">
        <v>2.1858</v>
      </c>
      <c r="N782" s="363"/>
      <c r="O782" s="414">
        <f>ROUND(M782*$E782,0)</f>
        <v>466</v>
      </c>
      <c r="T782" s="356">
        <f t="shared" si="226"/>
        <v>0</v>
      </c>
    </row>
    <row r="783" spans="1:22">
      <c r="A783" s="352" t="s">
        <v>265</v>
      </c>
      <c r="C783" s="103">
        <f>SUM(C781:C782)</f>
        <v>267.00475084805117</v>
      </c>
      <c r="E783" s="103">
        <f>SUM(E781:E782)</f>
        <v>275</v>
      </c>
      <c r="G783" s="427"/>
      <c r="I783" s="383">
        <f>SUM(I781:I782)</f>
        <v>583</v>
      </c>
      <c r="K783" s="383">
        <f>SUM(K781:K782)</f>
        <v>601</v>
      </c>
      <c r="M783" s="427"/>
      <c r="O783" s="383">
        <f>SUM(O781:O782)</f>
        <v>601</v>
      </c>
      <c r="P783" s="434"/>
    </row>
    <row r="784" spans="1:22" ht="16.5" thickBot="1">
      <c r="A784" s="352" t="s">
        <v>384</v>
      </c>
      <c r="C784" s="431">
        <v>7743.1377745934697</v>
      </c>
      <c r="E784" s="431">
        <v>7972.13</v>
      </c>
      <c r="G784" s="393"/>
      <c r="I784" s="393"/>
      <c r="K784" s="393"/>
      <c r="M784" s="393"/>
      <c r="O784" s="393"/>
    </row>
    <row r="785" spans="1:21" ht="16.5" thickTop="1">
      <c r="A785" s="352" t="s">
        <v>9</v>
      </c>
      <c r="C785" s="346">
        <v>5</v>
      </c>
      <c r="E785" s="346">
        <v>5</v>
      </c>
    </row>
    <row r="786" spans="1:21">
      <c r="A786" s="352" t="s">
        <v>182</v>
      </c>
      <c r="C786" s="432">
        <v>0</v>
      </c>
      <c r="E786" s="432">
        <v>0</v>
      </c>
      <c r="G786" s="427"/>
      <c r="I786" s="383">
        <v>0</v>
      </c>
      <c r="K786" s="383"/>
      <c r="M786" s="427"/>
      <c r="O786" s="383">
        <v>0</v>
      </c>
      <c r="P786" s="339"/>
    </row>
    <row r="787" spans="1:21" ht="16.5" thickBot="1">
      <c r="A787" s="352" t="s">
        <v>266</v>
      </c>
      <c r="C787" s="431">
        <f>C786+C784</f>
        <v>7743.1377745934697</v>
      </c>
      <c r="E787" s="431">
        <f>E786+E784</f>
        <v>7972.13</v>
      </c>
      <c r="G787" s="433"/>
      <c r="H787" s="434"/>
      <c r="I787" s="433">
        <f>I786+I783</f>
        <v>583</v>
      </c>
      <c r="K787" s="433">
        <f>K786+K783</f>
        <v>601</v>
      </c>
      <c r="M787" s="433"/>
      <c r="N787" s="434"/>
      <c r="O787" s="433">
        <f>O786+O783</f>
        <v>601</v>
      </c>
      <c r="P787" s="339"/>
    </row>
    <row r="788" spans="1:21" ht="16.5" thickTop="1">
      <c r="C788" s="102"/>
      <c r="E788" s="102"/>
      <c r="P788" s="339"/>
    </row>
    <row r="789" spans="1:21">
      <c r="A789" s="330" t="s">
        <v>385</v>
      </c>
      <c r="B789" s="333"/>
      <c r="G789" s="397"/>
      <c r="H789" s="405"/>
      <c r="M789" s="397"/>
      <c r="N789" s="405"/>
      <c r="P789" s="339"/>
    </row>
    <row r="790" spans="1:21">
      <c r="A790" s="378" t="s">
        <v>386</v>
      </c>
      <c r="B790" s="333"/>
      <c r="C790" s="474"/>
      <c r="E790" s="474"/>
      <c r="G790" s="397"/>
      <c r="H790" s="405"/>
      <c r="I790" s="339">
        <v>36561</v>
      </c>
      <c r="K790" s="339">
        <f t="shared" ref="K790:K795" si="227">I790</f>
        <v>36561</v>
      </c>
      <c r="M790" s="397"/>
      <c r="N790" s="405"/>
      <c r="O790" s="339">
        <f t="shared" ref="O790:O795" si="228">K790</f>
        <v>36561</v>
      </c>
      <c r="P790" s="339"/>
    </row>
    <row r="791" spans="1:21">
      <c r="A791" s="378" t="s">
        <v>387</v>
      </c>
      <c r="B791" s="333"/>
      <c r="C791" s="474"/>
      <c r="E791" s="474"/>
      <c r="G791" s="397"/>
      <c r="H791" s="405"/>
      <c r="I791" s="339">
        <v>3441281.67</v>
      </c>
      <c r="K791" s="339">
        <f t="shared" si="227"/>
        <v>3441281.67</v>
      </c>
      <c r="M791" s="397"/>
      <c r="N791" s="405"/>
      <c r="O791" s="339">
        <f t="shared" si="228"/>
        <v>3441281.67</v>
      </c>
      <c r="P791" s="376"/>
      <c r="S791" s="475"/>
    </row>
    <row r="792" spans="1:21">
      <c r="A792" s="378" t="s">
        <v>388</v>
      </c>
      <c r="B792" s="333"/>
      <c r="C792" s="474"/>
      <c r="E792" s="474"/>
      <c r="G792" s="397"/>
      <c r="H792" s="405"/>
      <c r="I792" s="339">
        <v>842690.75999999989</v>
      </c>
      <c r="K792" s="339">
        <f t="shared" si="227"/>
        <v>842690.75999999989</v>
      </c>
      <c r="M792" s="397"/>
      <c r="N792" s="405"/>
      <c r="O792" s="339">
        <f t="shared" si="228"/>
        <v>842690.75999999989</v>
      </c>
      <c r="P792" s="339"/>
    </row>
    <row r="793" spans="1:21">
      <c r="A793" s="378" t="s">
        <v>389</v>
      </c>
      <c r="B793" s="333"/>
      <c r="C793" s="474"/>
      <c r="E793" s="474"/>
      <c r="G793" s="397"/>
      <c r="H793" s="405"/>
      <c r="I793" s="339">
        <v>206452.67</v>
      </c>
      <c r="K793" s="339">
        <f t="shared" si="227"/>
        <v>206452.67</v>
      </c>
      <c r="M793" s="397"/>
      <c r="N793" s="405"/>
      <c r="O793" s="339">
        <f t="shared" si="228"/>
        <v>206452.67</v>
      </c>
      <c r="P793" s="339"/>
    </row>
    <row r="794" spans="1:21">
      <c r="A794" s="378" t="s">
        <v>390</v>
      </c>
      <c r="B794" s="333"/>
      <c r="C794" s="474"/>
      <c r="E794" s="474"/>
      <c r="G794" s="397"/>
      <c r="H794" s="405"/>
      <c r="I794" s="339">
        <v>4661.6400000000003</v>
      </c>
      <c r="K794" s="339">
        <f t="shared" si="227"/>
        <v>4661.6400000000003</v>
      </c>
      <c r="M794" s="397"/>
      <c r="N794" s="405"/>
      <c r="O794" s="339">
        <f t="shared" si="228"/>
        <v>4661.6400000000003</v>
      </c>
      <c r="P794" s="339"/>
      <c r="T794" s="475"/>
      <c r="U794" s="476"/>
    </row>
    <row r="795" spans="1:21">
      <c r="A795" s="378" t="s">
        <v>391</v>
      </c>
      <c r="B795" s="333"/>
      <c r="C795" s="474"/>
      <c r="E795" s="474"/>
      <c r="G795" s="397"/>
      <c r="H795" s="405"/>
      <c r="I795" s="339">
        <v>0</v>
      </c>
      <c r="K795" s="339">
        <f t="shared" si="227"/>
        <v>0</v>
      </c>
      <c r="M795" s="397"/>
      <c r="N795" s="405"/>
      <c r="O795" s="339">
        <f t="shared" si="228"/>
        <v>0</v>
      </c>
      <c r="P795" s="376"/>
    </row>
    <row r="796" spans="1:21" ht="16.5" thickBot="1">
      <c r="A796" s="378" t="s">
        <v>392</v>
      </c>
      <c r="B796" s="333"/>
      <c r="C796" s="477"/>
      <c r="E796" s="477"/>
      <c r="G796" s="469"/>
      <c r="H796" s="405"/>
      <c r="I796" s="387">
        <f>SUM(I790:I795)</f>
        <v>4531647.7399999993</v>
      </c>
      <c r="K796" s="387">
        <f>SUM(K790:K795)</f>
        <v>4531647.7399999993</v>
      </c>
      <c r="M796" s="469"/>
      <c r="N796" s="405"/>
      <c r="O796" s="387">
        <f>SUM(O790:O795)</f>
        <v>4531647.7399999993</v>
      </c>
    </row>
    <row r="797" spans="1:21" ht="16.5" thickTop="1">
      <c r="A797" s="333"/>
      <c r="B797" s="333"/>
      <c r="G797" s="397"/>
      <c r="H797" s="405"/>
      <c r="I797" s="339"/>
      <c r="K797" s="339"/>
      <c r="M797" s="397"/>
      <c r="N797" s="405"/>
      <c r="O797" s="339"/>
      <c r="Q797" s="397"/>
      <c r="R797" s="476"/>
    </row>
    <row r="798" spans="1:21" ht="16.5" thickBot="1">
      <c r="A798" s="386" t="s">
        <v>393</v>
      </c>
      <c r="B798" s="386"/>
      <c r="C798" s="477">
        <f>C25+C42+C61+C73+C157+C133+C145+C221+C233+C268+C317+C325+C341+C357+C409+C503+C512+C518+C535+C548+C673+C716+C724+C728+C745+C778+C787+C796</f>
        <v>23103017861.587563</v>
      </c>
      <c r="E798" s="477">
        <f>E25+E42+E61+E73+E157+E133+E145+E221+E233+E268+E317+E325+E341+E357+E409+E503+E512+E518+E535+E548+E673+E716+E724+E728+E745+E778+E787+E796</f>
        <v>23734642546.710003</v>
      </c>
      <c r="G798" s="386"/>
      <c r="I798" s="387">
        <f>I25+I42+I61+I73+I157+I133+I145+I221+I233+I268+I317+I325+I341+I357+I409+I503+I512+I518+I535+I548+I673+I716+I724+I728+I745+I778+I787+I796</f>
        <v>1731688851.6495602</v>
      </c>
      <c r="K798" s="387">
        <f>K25+K42+K61+K73+K157+K133+K145+K221+K233+K268+K317+K325+K341+K357+K409+K503+K512+K518+K535+K548+K673+K716+K724+K728+K745+K778+K787+K796</f>
        <v>1772847498.4491665</v>
      </c>
      <c r="M798" s="386"/>
      <c r="O798" s="387">
        <f>O25+O42+O61+O73+O157+O133+O145+O221+O233+O268+O317+O325+O341+O357+O409+O503+O512+O518+O535+O548+O673+O716+O724+O728+O745+O778+O787+O796</f>
        <v>1945116193.4491665</v>
      </c>
      <c r="Q798" s="397"/>
      <c r="R798" s="476"/>
    </row>
    <row r="799" spans="1:21" ht="16.5" thickTop="1"/>
  </sheetData>
  <printOptions horizontalCentered="1"/>
  <pageMargins left="1" right="0.5" top="1" bottom="0.55000000000000004" header="0.25" footer="0.25"/>
  <pageSetup scale="57" fitToHeight="88" orientation="portrait" r:id="rId1"/>
  <headerFooter alignWithMargins="0">
    <oddFooter>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2"/>
  <sheetViews>
    <sheetView workbookViewId="0">
      <selection activeCell="AC51" sqref="AC51"/>
    </sheetView>
  </sheetViews>
  <sheetFormatPr defaultColWidth="8" defaultRowHeight="12.75"/>
  <cols>
    <col min="1" max="1" width="7" style="159" customWidth="1"/>
    <col min="2" max="2" width="1.75" style="150" customWidth="1"/>
    <col min="3" max="3" width="5.75" style="150" customWidth="1"/>
    <col min="4" max="4" width="2.375" style="150" customWidth="1"/>
    <col min="5" max="5" width="8.375" style="150" customWidth="1"/>
    <col min="6" max="6" width="1.5" style="150" customWidth="1"/>
    <col min="7" max="7" width="8.375" style="150" customWidth="1"/>
    <col min="8" max="8" width="1.75" style="150" customWidth="1"/>
    <col min="9" max="9" width="7.875" style="177" bestFit="1" customWidth="1"/>
    <col min="10" max="10" width="1.5" style="150" customWidth="1"/>
    <col min="11" max="11" width="9" style="177" bestFit="1" customWidth="1"/>
    <col min="12" max="12" width="1.375" style="150" customWidth="1"/>
    <col min="13" max="13" width="8" style="171" bestFit="1" customWidth="1"/>
    <col min="14" max="14" width="1.375" style="150" customWidth="1"/>
    <col min="15" max="15" width="6.25" style="150" bestFit="1" customWidth="1"/>
    <col min="16" max="16" width="2.125" style="150" customWidth="1"/>
    <col min="17" max="17" width="7.875" style="177" bestFit="1" customWidth="1"/>
    <col min="18" max="18" width="0.875" style="150" customWidth="1"/>
    <col min="19" max="19" width="9" style="177" bestFit="1" customWidth="1"/>
    <col min="20" max="20" width="1.875" style="150" customWidth="1"/>
    <col min="21" max="21" width="7.375" style="171" bestFit="1" customWidth="1"/>
    <col min="22" max="22" width="0.75" style="150" customWidth="1"/>
    <col min="23" max="23" width="6.25" style="150" bestFit="1" customWidth="1"/>
    <col min="24" max="24" width="3.125" style="150" customWidth="1"/>
    <col min="25" max="25" width="15.5" style="150" bestFit="1" customWidth="1"/>
    <col min="26" max="26" width="7.625" style="150" bestFit="1" customWidth="1"/>
    <col min="27" max="27" width="9.75" style="150" customWidth="1"/>
    <col min="28" max="28" width="6.125" style="150" bestFit="1" customWidth="1"/>
    <col min="29" max="29" width="6.875" style="150" bestFit="1" customWidth="1"/>
    <col min="30" max="30" width="8.375" style="150" bestFit="1" customWidth="1"/>
    <col min="31" max="31" width="6.75" style="150" bestFit="1" customWidth="1"/>
    <col min="32" max="32" width="8.25" style="150" bestFit="1" customWidth="1"/>
    <col min="33" max="35" width="8.125" style="150" bestFit="1" customWidth="1"/>
    <col min="36" max="16384" width="8" style="150"/>
  </cols>
  <sheetData>
    <row r="1" spans="1:32" ht="16.5">
      <c r="A1" s="143" t="s">
        <v>1</v>
      </c>
      <c r="B1" s="144"/>
      <c r="C1" s="144"/>
      <c r="D1" s="144"/>
      <c r="E1" s="144"/>
      <c r="F1" s="144"/>
      <c r="G1" s="144"/>
      <c r="H1" s="144"/>
      <c r="I1" s="145"/>
      <c r="J1" s="144"/>
      <c r="K1" s="145"/>
      <c r="L1" s="144"/>
      <c r="M1" s="146"/>
      <c r="N1" s="144"/>
      <c r="O1" s="144"/>
      <c r="P1" s="144"/>
      <c r="Q1" s="145"/>
      <c r="R1" s="144"/>
      <c r="S1" s="145"/>
      <c r="T1" s="144"/>
      <c r="U1" s="146"/>
      <c r="V1" s="144"/>
      <c r="W1" s="147"/>
      <c r="X1" s="148"/>
      <c r="Y1" s="148"/>
      <c r="Z1" s="149"/>
      <c r="AA1" s="97"/>
    </row>
    <row r="2" spans="1:32" ht="16.5">
      <c r="A2" s="143" t="s">
        <v>399</v>
      </c>
      <c r="B2" s="144"/>
      <c r="C2" s="144"/>
      <c r="D2" s="144"/>
      <c r="E2" s="144"/>
      <c r="F2" s="144"/>
      <c r="G2" s="144"/>
      <c r="H2" s="144"/>
      <c r="I2" s="145"/>
      <c r="J2" s="144"/>
      <c r="K2" s="145"/>
      <c r="L2" s="144"/>
      <c r="M2" s="146"/>
      <c r="N2" s="144"/>
      <c r="O2" s="144"/>
      <c r="P2" s="144"/>
      <c r="Q2" s="145"/>
      <c r="R2" s="144"/>
      <c r="S2" s="145"/>
      <c r="T2" s="144"/>
      <c r="U2" s="146"/>
      <c r="V2" s="144"/>
      <c r="W2" s="147"/>
      <c r="X2" s="148"/>
      <c r="Y2" s="148"/>
      <c r="Z2" s="149"/>
      <c r="AA2" s="151"/>
    </row>
    <row r="3" spans="1:32" ht="16.5">
      <c r="A3" s="143" t="s">
        <v>400</v>
      </c>
      <c r="B3" s="144"/>
      <c r="C3" s="144"/>
      <c r="D3" s="144"/>
      <c r="E3" s="144"/>
      <c r="F3" s="144"/>
      <c r="G3" s="144"/>
      <c r="H3" s="144"/>
      <c r="I3" s="145"/>
      <c r="J3" s="144"/>
      <c r="K3" s="145"/>
      <c r="L3" s="144"/>
      <c r="M3" s="146"/>
      <c r="N3" s="144"/>
      <c r="O3" s="144"/>
      <c r="P3" s="144"/>
      <c r="Q3" s="145"/>
      <c r="R3" s="144"/>
      <c r="S3" s="145"/>
      <c r="T3" s="144"/>
      <c r="U3" s="146"/>
      <c r="V3" s="144"/>
      <c r="W3" s="147"/>
      <c r="X3" s="148"/>
      <c r="Y3" s="148"/>
      <c r="Z3" s="149"/>
      <c r="AA3" s="97"/>
    </row>
    <row r="4" spans="1:32" ht="16.5">
      <c r="A4" s="143" t="s">
        <v>401</v>
      </c>
      <c r="B4" s="144"/>
      <c r="C4" s="144"/>
      <c r="D4" s="144"/>
      <c r="E4" s="144"/>
      <c r="F4" s="144"/>
      <c r="G4" s="144"/>
      <c r="H4" s="144"/>
      <c r="I4" s="145"/>
      <c r="J4" s="144"/>
      <c r="K4" s="145"/>
      <c r="L4" s="144"/>
      <c r="M4" s="146"/>
      <c r="N4" s="144"/>
      <c r="O4" s="144"/>
      <c r="P4" s="144"/>
      <c r="Q4" s="145"/>
      <c r="R4" s="144"/>
      <c r="S4" s="145"/>
      <c r="T4" s="144"/>
      <c r="U4" s="146"/>
      <c r="V4" s="144"/>
      <c r="W4" s="147"/>
      <c r="X4" s="148"/>
      <c r="Y4" s="148"/>
      <c r="Z4" s="152"/>
      <c r="AA4" s="98"/>
    </row>
    <row r="5" spans="1:32" ht="17.25">
      <c r="A5" s="153"/>
      <c r="B5" s="147"/>
      <c r="C5" s="147"/>
      <c r="D5" s="147"/>
      <c r="E5" s="147"/>
      <c r="F5" s="147"/>
      <c r="G5" s="147"/>
      <c r="H5" s="147"/>
      <c r="I5" s="154"/>
      <c r="J5" s="155"/>
      <c r="K5" s="156"/>
      <c r="L5" s="155"/>
      <c r="M5" s="155"/>
      <c r="N5" s="157"/>
      <c r="O5" s="157"/>
      <c r="Q5" s="158"/>
      <c r="R5" s="157"/>
      <c r="S5" s="158"/>
      <c r="T5" s="157"/>
      <c r="U5" s="157"/>
      <c r="V5" s="157"/>
      <c r="W5" s="157"/>
    </row>
    <row r="7" spans="1:32" ht="15.75">
      <c r="C7" s="144"/>
      <c r="D7" s="144"/>
      <c r="E7" s="144"/>
      <c r="F7" s="144"/>
      <c r="G7" s="144"/>
      <c r="I7" s="160" t="s">
        <v>402</v>
      </c>
      <c r="J7" s="161"/>
      <c r="K7" s="162"/>
      <c r="L7" s="161"/>
      <c r="M7" s="163"/>
      <c r="N7" s="163"/>
      <c r="O7" s="163"/>
      <c r="P7" s="161"/>
      <c r="Q7" s="162"/>
      <c r="R7" s="161"/>
      <c r="S7" s="162"/>
      <c r="T7" s="161"/>
      <c r="U7" s="163"/>
      <c r="V7" s="163"/>
      <c r="W7" s="163"/>
      <c r="AC7" s="144" t="s">
        <v>403</v>
      </c>
      <c r="AD7" s="144"/>
      <c r="AE7" s="144"/>
      <c r="AF7" s="144"/>
    </row>
    <row r="8" spans="1:32">
      <c r="C8" s="160" t="s">
        <v>404</v>
      </c>
      <c r="D8" s="161"/>
      <c r="E8" s="162"/>
      <c r="F8" s="161"/>
      <c r="G8" s="161"/>
      <c r="I8" s="164" t="s">
        <v>405</v>
      </c>
      <c r="J8" s="165"/>
      <c r="K8" s="166"/>
      <c r="L8" s="167"/>
      <c r="M8" s="168"/>
      <c r="N8" s="167"/>
      <c r="O8" s="167"/>
      <c r="Q8" s="160" t="s">
        <v>406</v>
      </c>
      <c r="R8" s="169"/>
      <c r="S8" s="162"/>
      <c r="T8" s="161"/>
      <c r="U8" s="170"/>
      <c r="V8" s="161"/>
      <c r="W8" s="161"/>
      <c r="Z8" s="171"/>
      <c r="AA8" s="171"/>
      <c r="AC8" s="144" t="s">
        <v>405</v>
      </c>
      <c r="AD8" s="144"/>
      <c r="AE8" s="144" t="s">
        <v>406</v>
      </c>
      <c r="AF8" s="144"/>
    </row>
    <row r="9" spans="1:32">
      <c r="A9" s="172" t="s">
        <v>397</v>
      </c>
      <c r="C9" s="162" t="s">
        <v>395</v>
      </c>
      <c r="E9" s="173" t="s">
        <v>6</v>
      </c>
      <c r="G9" s="174" t="s">
        <v>17</v>
      </c>
      <c r="I9" s="162" t="s">
        <v>395</v>
      </c>
      <c r="K9" s="173" t="s">
        <v>6</v>
      </c>
      <c r="M9" s="175" t="s">
        <v>407</v>
      </c>
      <c r="O9" s="175" t="s">
        <v>408</v>
      </c>
      <c r="Q9" s="162" t="s">
        <v>395</v>
      </c>
      <c r="S9" s="173" t="s">
        <v>6</v>
      </c>
      <c r="U9" s="175" t="s">
        <v>407</v>
      </c>
      <c r="W9" s="175" t="s">
        <v>408</v>
      </c>
      <c r="AC9" s="176" t="s">
        <v>395</v>
      </c>
      <c r="AD9" s="176" t="s">
        <v>6</v>
      </c>
      <c r="AE9" s="176" t="s">
        <v>395</v>
      </c>
      <c r="AF9" s="176" t="s">
        <v>6</v>
      </c>
    </row>
    <row r="10" spans="1:32">
      <c r="A10" s="159">
        <v>100</v>
      </c>
      <c r="C10" s="171">
        <f>$Z$12</f>
        <v>4</v>
      </c>
      <c r="E10" s="171">
        <f>$AA$12</f>
        <v>10</v>
      </c>
      <c r="G10" s="171">
        <f>E10-C10</f>
        <v>6</v>
      </c>
      <c r="I10" s="177">
        <f>ROUND((MIN(400,$A10)*$Z$13+MAX(0,MIN(600,$A10-400))*$Z$14+MAX(0,$A10-1000)*$Z$15)/100*(1+$Z$30)*(1+$Z$18)+$Z$17,2)</f>
        <v>8.7200000000000006</v>
      </c>
      <c r="K10" s="177">
        <f>ROUND((MIN(400,$A10)*$AA$13+MAX(0,MIN(600,$A10-400))*$AA$14+MAX(0,$A10-1000)*$AA$15)/100*(1+$AA$30)*(1+$AA$18)+$AA$17,2)</f>
        <v>9.01</v>
      </c>
      <c r="L10" s="177"/>
      <c r="M10" s="178">
        <f>K10-I10</f>
        <v>0.28999999999999915</v>
      </c>
      <c r="O10" s="179">
        <f>ROUND(IF(I10=0,0,K10/I10-1),3)</f>
        <v>3.3000000000000002E-2</v>
      </c>
      <c r="Q10" s="177">
        <f>ROUND($A10*$Z$21/100*(1+$Z$30)*(1+$Z$24)+$Z$23,2)</f>
        <v>9.02</v>
      </c>
      <c r="S10" s="177">
        <f>ROUND($A10*$AA$21/100*(1+$AA$30)*(1+$AA$24)+$AA$23,2)</f>
        <v>9.33</v>
      </c>
      <c r="T10" s="177"/>
      <c r="U10" s="178">
        <f t="shared" ref="U10:U19" si="0">S10-Q10</f>
        <v>0.3100000000000005</v>
      </c>
      <c r="W10" s="179">
        <f t="shared" ref="W10:W19" si="1">ROUND(IF(Q10=0,0,S10/Q10-1),3)</f>
        <v>3.4000000000000002E-2</v>
      </c>
      <c r="Y10" s="180" t="s">
        <v>102</v>
      </c>
      <c r="Z10" s="181" t="s">
        <v>395</v>
      </c>
      <c r="AA10" s="182" t="s">
        <v>6</v>
      </c>
      <c r="AC10" s="183">
        <f t="shared" ref="AC10:AC22" si="2">I10/$A10*100</f>
        <v>8.7200000000000006</v>
      </c>
      <c r="AD10" s="183">
        <f t="shared" ref="AD10:AD22" si="3">K10/A10*100</f>
        <v>9.01</v>
      </c>
      <c r="AE10" s="183">
        <f t="shared" ref="AE10:AE22" si="4">Q10/$A10*100</f>
        <v>9.02</v>
      </c>
      <c r="AF10" s="183">
        <f t="shared" ref="AF10:AF22" si="5">S10/$A10*100</f>
        <v>9.33</v>
      </c>
    </row>
    <row r="11" spans="1:32" ht="13.5">
      <c r="A11" s="159">
        <v>200</v>
      </c>
      <c r="C11" s="171">
        <f t="shared" ref="C11:C31" si="6">$Z$12</f>
        <v>4</v>
      </c>
      <c r="E11" s="171">
        <f t="shared" ref="E11:E31" si="7">$AA$12</f>
        <v>10</v>
      </c>
      <c r="G11" s="171">
        <f t="shared" ref="G11:G31" si="8">E11-C11</f>
        <v>6</v>
      </c>
      <c r="I11" s="177">
        <f>ROUND((MIN(400,$A11)*$Z$13+MAX(0,MIN(600,$A11-400))*$Z$14+MAX(0,$A11-1000)*$Z$15)/100*(1+$Z$30)*(1+$Z$18)+$Z$17,2)</f>
        <v>17.170000000000002</v>
      </c>
      <c r="K11" s="177">
        <f t="shared" ref="K11:K31" si="9">ROUND((MIN(400,$A11)*$AA$13+MAX(0,MIN(600,$A11-400))*$AA$14+MAX(0,$A11-1000)*$AA$15)/100*(1+$AA$30)*(1+$AA$18)+$AA$17,2)</f>
        <v>17.760000000000002</v>
      </c>
      <c r="L11" s="177"/>
      <c r="M11" s="178">
        <f t="shared" ref="M11:M16" si="10">K11-I11</f>
        <v>0.58999999999999986</v>
      </c>
      <c r="O11" s="179">
        <f t="shared" ref="O11:O16" si="11">ROUND(IF(I11=0,0,K11/I11-1),3)</f>
        <v>3.4000000000000002E-2</v>
      </c>
      <c r="Q11" s="177">
        <f t="shared" ref="Q11:Q31" si="12">ROUND($A11*$Z$21/100*(1+$Z$30)*(1+$Z$24)+$Z$23,2)</f>
        <v>17.78</v>
      </c>
      <c r="S11" s="177">
        <f t="shared" ref="S11:S31" si="13">ROUND($A11*$AA$21/100*(1+$AA$30)*(1+$AA$24)+$AA$23,2)</f>
        <v>18.39</v>
      </c>
      <c r="T11" s="177"/>
      <c r="U11" s="178">
        <f t="shared" si="0"/>
        <v>0.60999999999999943</v>
      </c>
      <c r="W11" s="179">
        <f t="shared" si="1"/>
        <v>3.4000000000000002E-2</v>
      </c>
      <c r="Y11" s="184" t="s">
        <v>405</v>
      </c>
      <c r="Z11" s="148"/>
      <c r="AA11" s="185"/>
      <c r="AC11" s="183">
        <f t="shared" si="2"/>
        <v>8.5850000000000009</v>
      </c>
      <c r="AD11" s="183">
        <f t="shared" si="3"/>
        <v>8.8800000000000008</v>
      </c>
      <c r="AE11" s="183">
        <f t="shared" si="4"/>
        <v>8.89</v>
      </c>
      <c r="AF11" s="183">
        <f t="shared" si="5"/>
        <v>9.1950000000000003</v>
      </c>
    </row>
    <row r="12" spans="1:32">
      <c r="A12" s="159">
        <v>300</v>
      </c>
      <c r="C12" s="171">
        <f t="shared" si="6"/>
        <v>4</v>
      </c>
      <c r="E12" s="171">
        <f t="shared" si="7"/>
        <v>10</v>
      </c>
      <c r="G12" s="171">
        <f t="shared" si="8"/>
        <v>6</v>
      </c>
      <c r="I12" s="177">
        <f t="shared" ref="I12:I16" si="14">ROUND((MIN(400,$A12)*$Z$13+MAX(0,MIN(600,$A12-400))*$Z$14+MAX(0,$A12-1000)*$Z$15)/100*(1+$Z$30)*(1+$Z$18)+$Z$17,2)</f>
        <v>25.63</v>
      </c>
      <c r="K12" s="177">
        <f t="shared" si="9"/>
        <v>26.51</v>
      </c>
      <c r="L12" s="177"/>
      <c r="M12" s="178">
        <f t="shared" si="10"/>
        <v>0.88000000000000256</v>
      </c>
      <c r="O12" s="179">
        <f t="shared" si="11"/>
        <v>3.4000000000000002E-2</v>
      </c>
      <c r="Q12" s="177">
        <f t="shared" si="12"/>
        <v>26.54</v>
      </c>
      <c r="S12" s="177">
        <f t="shared" si="13"/>
        <v>27.46</v>
      </c>
      <c r="T12" s="177"/>
      <c r="U12" s="178">
        <f t="shared" si="0"/>
        <v>0.92000000000000171</v>
      </c>
      <c r="W12" s="179">
        <f t="shared" si="1"/>
        <v>3.5000000000000003E-2</v>
      </c>
      <c r="Y12" s="186" t="s">
        <v>409</v>
      </c>
      <c r="Z12" s="187">
        <f>'Exhibit RMP(WRG-3)'!G12</f>
        <v>4</v>
      </c>
      <c r="AA12" s="188">
        <f>'Exhibit RMP(WRG-3)'!M12</f>
        <v>10</v>
      </c>
      <c r="AB12" s="189">
        <f>AA12/Z12-1</f>
        <v>1.5</v>
      </c>
      <c r="AC12" s="183">
        <f t="shared" si="2"/>
        <v>8.543333333333333</v>
      </c>
      <c r="AD12" s="183">
        <f t="shared" si="3"/>
        <v>8.8366666666666678</v>
      </c>
      <c r="AE12" s="183">
        <f t="shared" si="4"/>
        <v>8.8466666666666658</v>
      </c>
      <c r="AF12" s="183">
        <f t="shared" si="5"/>
        <v>9.1533333333333342</v>
      </c>
    </row>
    <row r="13" spans="1:32">
      <c r="A13" s="159">
        <v>400</v>
      </c>
      <c r="C13" s="171">
        <f t="shared" si="6"/>
        <v>4</v>
      </c>
      <c r="E13" s="171">
        <f t="shared" si="7"/>
        <v>10</v>
      </c>
      <c r="G13" s="171">
        <f t="shared" si="8"/>
        <v>6</v>
      </c>
      <c r="I13" s="177">
        <f t="shared" si="14"/>
        <v>34.08</v>
      </c>
      <c r="K13" s="177">
        <f t="shared" si="9"/>
        <v>35.26</v>
      </c>
      <c r="L13" s="177"/>
      <c r="M13" s="178">
        <f t="shared" si="10"/>
        <v>1.1799999999999997</v>
      </c>
      <c r="O13" s="179">
        <f t="shared" si="11"/>
        <v>3.5000000000000003E-2</v>
      </c>
      <c r="Q13" s="177">
        <f t="shared" si="12"/>
        <v>35.299999999999997</v>
      </c>
      <c r="S13" s="177">
        <f t="shared" si="13"/>
        <v>36.53</v>
      </c>
      <c r="T13" s="177"/>
      <c r="U13" s="178">
        <f t="shared" si="0"/>
        <v>1.230000000000004</v>
      </c>
      <c r="W13" s="179">
        <f t="shared" si="1"/>
        <v>3.5000000000000003E-2</v>
      </c>
      <c r="Y13" s="186" t="s">
        <v>410</v>
      </c>
      <c r="Z13" s="190">
        <f>'Exhibit RMP(WRG-3)'!G14</f>
        <v>8.4003999999999994</v>
      </c>
      <c r="AA13" s="191">
        <f>'Exhibit RMP(WRG-3)'!M14</f>
        <v>8.6940000000000008</v>
      </c>
      <c r="AB13" s="189">
        <f t="shared" ref="AB13:AB30" si="15">AA13/Z13-1</f>
        <v>3.4950716632541567E-2</v>
      </c>
      <c r="AC13" s="183">
        <f t="shared" si="2"/>
        <v>8.52</v>
      </c>
      <c r="AD13" s="183">
        <f t="shared" si="3"/>
        <v>8.8149999999999995</v>
      </c>
      <c r="AE13" s="183">
        <f t="shared" si="4"/>
        <v>8.8249999999999993</v>
      </c>
      <c r="AF13" s="183">
        <f t="shared" si="5"/>
        <v>9.1325000000000003</v>
      </c>
    </row>
    <row r="14" spans="1:32">
      <c r="A14" s="159">
        <v>500</v>
      </c>
      <c r="C14" s="171">
        <f t="shared" si="6"/>
        <v>4</v>
      </c>
      <c r="E14" s="171">
        <f t="shared" si="7"/>
        <v>10</v>
      </c>
      <c r="G14" s="171">
        <f t="shared" si="8"/>
        <v>6</v>
      </c>
      <c r="I14" s="177">
        <f t="shared" si="14"/>
        <v>44.5</v>
      </c>
      <c r="K14" s="177">
        <f t="shared" si="9"/>
        <v>46.04</v>
      </c>
      <c r="L14" s="177"/>
      <c r="M14" s="178">
        <f t="shared" si="10"/>
        <v>1.5399999999999991</v>
      </c>
      <c r="O14" s="179">
        <f t="shared" si="11"/>
        <v>3.5000000000000003E-2</v>
      </c>
      <c r="Q14" s="177">
        <f t="shared" si="12"/>
        <v>44.06</v>
      </c>
      <c r="S14" s="177">
        <f t="shared" si="13"/>
        <v>45.59</v>
      </c>
      <c r="T14" s="177"/>
      <c r="U14" s="178">
        <f t="shared" si="0"/>
        <v>1.5300000000000011</v>
      </c>
      <c r="W14" s="179">
        <f t="shared" si="1"/>
        <v>3.5000000000000003E-2</v>
      </c>
      <c r="Y14" s="186" t="s">
        <v>411</v>
      </c>
      <c r="Z14" s="190">
        <f>'Exhibit RMP(WRG-3)'!G15</f>
        <v>10.348100000000001</v>
      </c>
      <c r="AA14" s="191">
        <f>'Exhibit RMP(WRG-3)'!M15</f>
        <v>10.7098</v>
      </c>
      <c r="AB14" s="189">
        <f t="shared" si="15"/>
        <v>3.4953276446883841E-2</v>
      </c>
      <c r="AC14" s="183">
        <f t="shared" si="2"/>
        <v>8.9</v>
      </c>
      <c r="AD14" s="183">
        <f t="shared" si="3"/>
        <v>9.2080000000000002</v>
      </c>
      <c r="AE14" s="183">
        <f t="shared" si="4"/>
        <v>8.8120000000000012</v>
      </c>
      <c r="AF14" s="183">
        <f t="shared" si="5"/>
        <v>9.1180000000000003</v>
      </c>
    </row>
    <row r="15" spans="1:32">
      <c r="A15" s="159">
        <v>600</v>
      </c>
      <c r="C15" s="171">
        <f t="shared" si="6"/>
        <v>4</v>
      </c>
      <c r="E15" s="171">
        <f t="shared" si="7"/>
        <v>10</v>
      </c>
      <c r="G15" s="171">
        <f t="shared" si="8"/>
        <v>6</v>
      </c>
      <c r="I15" s="177">
        <f t="shared" si="14"/>
        <v>54.91</v>
      </c>
      <c r="K15" s="177">
        <f t="shared" si="9"/>
        <v>56.82</v>
      </c>
      <c r="L15" s="177"/>
      <c r="M15" s="178">
        <f t="shared" si="10"/>
        <v>1.9100000000000037</v>
      </c>
      <c r="O15" s="179">
        <f t="shared" si="11"/>
        <v>3.5000000000000003E-2</v>
      </c>
      <c r="Q15" s="177">
        <f t="shared" si="12"/>
        <v>52.82</v>
      </c>
      <c r="S15" s="177">
        <f t="shared" si="13"/>
        <v>54.66</v>
      </c>
      <c r="T15" s="177"/>
      <c r="U15" s="178">
        <f t="shared" si="0"/>
        <v>1.8399999999999963</v>
      </c>
      <c r="W15" s="179">
        <f t="shared" si="1"/>
        <v>3.5000000000000003E-2</v>
      </c>
      <c r="Y15" s="186" t="s">
        <v>412</v>
      </c>
      <c r="Z15" s="190">
        <f>'Exhibit RMP(WRG-3)'!G16</f>
        <v>12.870900000000001</v>
      </c>
      <c r="AA15" s="191">
        <f>'Exhibit RMP(WRG-3)'!M16</f>
        <v>13.3207</v>
      </c>
      <c r="AB15" s="189">
        <f t="shared" si="15"/>
        <v>3.494705109976759E-2</v>
      </c>
      <c r="AC15" s="183">
        <f t="shared" si="2"/>
        <v>9.1516666666666655</v>
      </c>
      <c r="AD15" s="183">
        <f t="shared" si="3"/>
        <v>9.4700000000000006</v>
      </c>
      <c r="AE15" s="183">
        <f t="shared" si="4"/>
        <v>8.8033333333333346</v>
      </c>
      <c r="AF15" s="183">
        <f t="shared" si="5"/>
        <v>9.11</v>
      </c>
    </row>
    <row r="16" spans="1:32">
      <c r="A16" s="159">
        <v>700</v>
      </c>
      <c r="C16" s="171">
        <f t="shared" si="6"/>
        <v>4</v>
      </c>
      <c r="E16" s="171">
        <f t="shared" si="7"/>
        <v>10</v>
      </c>
      <c r="G16" s="171">
        <f t="shared" si="8"/>
        <v>6</v>
      </c>
      <c r="I16" s="177">
        <f t="shared" si="14"/>
        <v>65.33</v>
      </c>
      <c r="K16" s="177">
        <f t="shared" si="9"/>
        <v>67.599999999999994</v>
      </c>
      <c r="L16" s="177"/>
      <c r="M16" s="178">
        <f t="shared" si="10"/>
        <v>2.269999999999996</v>
      </c>
      <c r="O16" s="179">
        <f t="shared" si="11"/>
        <v>3.5000000000000003E-2</v>
      </c>
      <c r="Q16" s="177">
        <f t="shared" si="12"/>
        <v>61.58</v>
      </c>
      <c r="S16" s="177">
        <f t="shared" si="13"/>
        <v>63.72</v>
      </c>
      <c r="T16" s="177"/>
      <c r="U16" s="178">
        <f t="shared" si="0"/>
        <v>2.1400000000000006</v>
      </c>
      <c r="W16" s="179">
        <f t="shared" si="1"/>
        <v>3.5000000000000003E-2</v>
      </c>
      <c r="Y16" s="186" t="s">
        <v>413</v>
      </c>
      <c r="Z16" s="187">
        <f>'Exhibit RMP(WRG-3)'!G18</f>
        <v>7</v>
      </c>
      <c r="AA16" s="188">
        <f>'Exhibit RMP(WRG-3)'!M18</f>
        <v>10</v>
      </c>
      <c r="AB16" s="189">
        <f t="shared" si="15"/>
        <v>0.4285714285714286</v>
      </c>
      <c r="AC16" s="183">
        <f t="shared" si="2"/>
        <v>9.3328571428571436</v>
      </c>
      <c r="AD16" s="183">
        <f t="shared" si="3"/>
        <v>9.6571428571428566</v>
      </c>
      <c r="AE16" s="183">
        <f t="shared" si="4"/>
        <v>8.7971428571428572</v>
      </c>
      <c r="AF16" s="183">
        <f t="shared" si="5"/>
        <v>9.1028571428571432</v>
      </c>
    </row>
    <row r="17" spans="1:32">
      <c r="A17" s="159">
        <f>Z38</f>
        <v>718.98159349153343</v>
      </c>
      <c r="B17" s="150" t="s">
        <v>414</v>
      </c>
      <c r="C17" s="171">
        <f t="shared" si="6"/>
        <v>4</v>
      </c>
      <c r="E17" s="171">
        <f t="shared" si="7"/>
        <v>10</v>
      </c>
      <c r="G17" s="171">
        <f t="shared" si="8"/>
        <v>6</v>
      </c>
      <c r="L17" s="177"/>
      <c r="M17" s="178"/>
      <c r="O17" s="179"/>
      <c r="Q17" s="177">
        <f t="shared" si="12"/>
        <v>63.24</v>
      </c>
      <c r="S17" s="177">
        <f t="shared" si="13"/>
        <v>65.45</v>
      </c>
      <c r="T17" s="177"/>
      <c r="U17" s="178">
        <f t="shared" si="0"/>
        <v>2.2100000000000009</v>
      </c>
      <c r="W17" s="179">
        <f t="shared" si="1"/>
        <v>3.5000000000000003E-2</v>
      </c>
      <c r="Y17" s="186" t="s">
        <v>415</v>
      </c>
      <c r="Z17" s="187">
        <v>0.26</v>
      </c>
      <c r="AA17" s="188">
        <f>Z17</f>
        <v>0.26</v>
      </c>
      <c r="AB17" s="189">
        <f t="shared" si="15"/>
        <v>0</v>
      </c>
      <c r="AC17" s="183">
        <f t="shared" si="2"/>
        <v>0</v>
      </c>
      <c r="AD17" s="183">
        <f t="shared" si="3"/>
        <v>0</v>
      </c>
      <c r="AE17" s="183">
        <f t="shared" si="4"/>
        <v>8.795774547286058</v>
      </c>
      <c r="AF17" s="183">
        <f t="shared" si="5"/>
        <v>9.1031537653363763</v>
      </c>
    </row>
    <row r="18" spans="1:32">
      <c r="A18" s="159">
        <f>Z39</f>
        <v>766.53412479096016</v>
      </c>
      <c r="B18" s="150" t="s">
        <v>416</v>
      </c>
      <c r="C18" s="171">
        <f t="shared" si="6"/>
        <v>4</v>
      </c>
      <c r="E18" s="171">
        <f t="shared" si="7"/>
        <v>10</v>
      </c>
      <c r="G18" s="171">
        <f t="shared" si="8"/>
        <v>6</v>
      </c>
      <c r="I18" s="177">
        <f t="shared" ref="I18:I31" si="16">ROUND((MIN(400,$A18)*$Z$13+MAX(0,MIN(600,$A18-400))*$Z$14+MAX(0,$A18-1000)*$Z$15)/100*(1+$Z$30)*(1+$Z$18)+$Z$17,2)</f>
        <v>72.260000000000005</v>
      </c>
      <c r="K18" s="177">
        <f t="shared" si="9"/>
        <v>74.77</v>
      </c>
      <c r="L18" s="177"/>
      <c r="M18" s="178">
        <f t="shared" ref="M18:M31" si="17">K18-I18</f>
        <v>2.5099999999999909</v>
      </c>
      <c r="O18" s="179">
        <f t="shared" ref="O18:O31" si="18">ROUND(IF(I18=0,0,K18/I18-1),3)</f>
        <v>3.5000000000000003E-2</v>
      </c>
      <c r="Q18" s="177">
        <f t="shared" si="12"/>
        <v>67.41</v>
      </c>
      <c r="S18" s="177">
        <f t="shared" si="13"/>
        <v>69.760000000000005</v>
      </c>
      <c r="T18" s="177"/>
      <c r="U18" s="178">
        <f t="shared" si="0"/>
        <v>2.3500000000000085</v>
      </c>
      <c r="W18" s="179">
        <f t="shared" si="1"/>
        <v>3.5000000000000003E-2</v>
      </c>
      <c r="Y18" s="186" t="s">
        <v>417</v>
      </c>
      <c r="Z18" s="192">
        <v>3.3799999999999997E-2</v>
      </c>
      <c r="AA18" s="193">
        <v>3.3799999999999997E-2</v>
      </c>
      <c r="AB18" s="189">
        <f t="shared" si="15"/>
        <v>0</v>
      </c>
      <c r="AC18" s="183">
        <f t="shared" si="2"/>
        <v>9.4268471113019103</v>
      </c>
      <c r="AD18" s="183">
        <f t="shared" si="3"/>
        <v>9.7542950250767184</v>
      </c>
      <c r="AE18" s="183">
        <f t="shared" si="4"/>
        <v>8.7941290309003826</v>
      </c>
      <c r="AF18" s="183">
        <f t="shared" si="5"/>
        <v>9.1007037708887513</v>
      </c>
    </row>
    <row r="19" spans="1:32" ht="13.5">
      <c r="A19" s="159">
        <v>800</v>
      </c>
      <c r="C19" s="171">
        <f t="shared" si="6"/>
        <v>4</v>
      </c>
      <c r="E19" s="171">
        <f t="shared" si="7"/>
        <v>10</v>
      </c>
      <c r="G19" s="171">
        <f t="shared" si="8"/>
        <v>6</v>
      </c>
      <c r="I19" s="177">
        <f t="shared" si="16"/>
        <v>75.739999999999995</v>
      </c>
      <c r="K19" s="177">
        <f t="shared" si="9"/>
        <v>78.38</v>
      </c>
      <c r="L19" s="177"/>
      <c r="M19" s="178">
        <f t="shared" si="17"/>
        <v>2.6400000000000006</v>
      </c>
      <c r="O19" s="179">
        <f t="shared" si="18"/>
        <v>3.5000000000000003E-2</v>
      </c>
      <c r="Q19" s="177">
        <f t="shared" si="12"/>
        <v>70.34</v>
      </c>
      <c r="S19" s="177">
        <f t="shared" si="13"/>
        <v>72.790000000000006</v>
      </c>
      <c r="T19" s="177"/>
      <c r="U19" s="178">
        <f t="shared" si="0"/>
        <v>2.4500000000000028</v>
      </c>
      <c r="W19" s="179">
        <f t="shared" si="1"/>
        <v>3.5000000000000003E-2</v>
      </c>
      <c r="Y19" s="184" t="s">
        <v>406</v>
      </c>
      <c r="Z19" s="148"/>
      <c r="AA19" s="185"/>
      <c r="AB19" s="189"/>
      <c r="AC19" s="183">
        <f t="shared" si="2"/>
        <v>9.4674999999999994</v>
      </c>
      <c r="AD19" s="183">
        <f t="shared" si="3"/>
        <v>9.7974999999999994</v>
      </c>
      <c r="AE19" s="183">
        <f t="shared" si="4"/>
        <v>8.7925000000000004</v>
      </c>
      <c r="AF19" s="183">
        <f t="shared" si="5"/>
        <v>9.0987500000000008</v>
      </c>
    </row>
    <row r="20" spans="1:32">
      <c r="A20" s="159">
        <f>Z37</f>
        <v>833.10766861015759</v>
      </c>
      <c r="B20" s="150" t="s">
        <v>418</v>
      </c>
      <c r="C20" s="171">
        <f t="shared" si="6"/>
        <v>4</v>
      </c>
      <c r="E20" s="171">
        <f t="shared" si="7"/>
        <v>10</v>
      </c>
      <c r="G20" s="171">
        <f t="shared" si="8"/>
        <v>6</v>
      </c>
      <c r="I20" s="177">
        <f t="shared" si="16"/>
        <v>79.19</v>
      </c>
      <c r="K20" s="177">
        <f t="shared" si="9"/>
        <v>81.95</v>
      </c>
      <c r="L20" s="177"/>
      <c r="M20" s="178">
        <f t="shared" si="17"/>
        <v>2.7600000000000051</v>
      </c>
      <c r="O20" s="179">
        <f t="shared" si="18"/>
        <v>3.5000000000000003E-2</v>
      </c>
      <c r="T20" s="177"/>
      <c r="U20" s="178"/>
      <c r="W20" s="179"/>
      <c r="Y20" s="186" t="s">
        <v>409</v>
      </c>
      <c r="Z20" s="194">
        <f>Z12</f>
        <v>4</v>
      </c>
      <c r="AA20" s="195">
        <f>AA12</f>
        <v>10</v>
      </c>
      <c r="AB20" s="189">
        <f t="shared" si="15"/>
        <v>1.5</v>
      </c>
      <c r="AC20" s="183">
        <f t="shared" si="2"/>
        <v>9.5053740331198391</v>
      </c>
      <c r="AD20" s="183">
        <f t="shared" si="3"/>
        <v>9.8366637456013493</v>
      </c>
      <c r="AE20" s="183">
        <f t="shared" si="4"/>
        <v>0</v>
      </c>
      <c r="AF20" s="183">
        <f t="shared" si="5"/>
        <v>0</v>
      </c>
    </row>
    <row r="21" spans="1:32">
      <c r="A21" s="159">
        <v>900</v>
      </c>
      <c r="C21" s="171">
        <f t="shared" si="6"/>
        <v>4</v>
      </c>
      <c r="E21" s="171">
        <f t="shared" si="7"/>
        <v>10</v>
      </c>
      <c r="G21" s="171">
        <f t="shared" si="8"/>
        <v>6</v>
      </c>
      <c r="I21" s="177">
        <f t="shared" si="16"/>
        <v>86.16</v>
      </c>
      <c r="K21" s="177">
        <f t="shared" si="9"/>
        <v>89.16</v>
      </c>
      <c r="L21" s="177"/>
      <c r="M21" s="178">
        <f t="shared" si="17"/>
        <v>3</v>
      </c>
      <c r="O21" s="179">
        <f t="shared" si="18"/>
        <v>3.5000000000000003E-2</v>
      </c>
      <c r="Q21" s="177">
        <f t="shared" si="12"/>
        <v>79.099999999999994</v>
      </c>
      <c r="S21" s="177">
        <f t="shared" si="13"/>
        <v>81.86</v>
      </c>
      <c r="T21" s="177"/>
      <c r="U21" s="178">
        <f t="shared" ref="U21:U31" si="19">S21-Q21</f>
        <v>2.7600000000000051</v>
      </c>
      <c r="W21" s="179">
        <f t="shared" ref="W21:W31" si="20">ROUND(IF(Q21=0,0,S21/Q21-1),3)</f>
        <v>3.5000000000000003E-2</v>
      </c>
      <c r="Y21" s="186" t="s">
        <v>397</v>
      </c>
      <c r="Z21" s="196">
        <f>'Exhibit RMP(WRG-3)'!G17</f>
        <v>8.7035</v>
      </c>
      <c r="AA21" s="197">
        <f>'Exhibit RMP(WRG-3)'!M17</f>
        <v>9.0076999999999998</v>
      </c>
      <c r="AB21" s="189">
        <f t="shared" si="15"/>
        <v>3.4951456310679641E-2</v>
      </c>
      <c r="AC21" s="183">
        <f t="shared" si="2"/>
        <v>9.5733333333333324</v>
      </c>
      <c r="AD21" s="183">
        <f t="shared" si="3"/>
        <v>9.9066666666666663</v>
      </c>
      <c r="AE21" s="183">
        <f t="shared" si="4"/>
        <v>8.7888888888888879</v>
      </c>
      <c r="AF21" s="183">
        <f t="shared" si="5"/>
        <v>9.0955555555555545</v>
      </c>
    </row>
    <row r="22" spans="1:32">
      <c r="A22" s="159">
        <v>1000</v>
      </c>
      <c r="C22" s="171">
        <f t="shared" si="6"/>
        <v>4</v>
      </c>
      <c r="E22" s="171">
        <f t="shared" si="7"/>
        <v>10</v>
      </c>
      <c r="G22" s="171">
        <f t="shared" si="8"/>
        <v>6</v>
      </c>
      <c r="I22" s="177">
        <f t="shared" si="16"/>
        <v>96.57</v>
      </c>
      <c r="K22" s="177">
        <f t="shared" si="9"/>
        <v>99.94</v>
      </c>
      <c r="L22" s="177"/>
      <c r="M22" s="178">
        <f t="shared" si="17"/>
        <v>3.3700000000000045</v>
      </c>
      <c r="O22" s="179">
        <f t="shared" si="18"/>
        <v>3.5000000000000003E-2</v>
      </c>
      <c r="Q22" s="177">
        <f t="shared" si="12"/>
        <v>87.86</v>
      </c>
      <c r="S22" s="177">
        <f t="shared" si="13"/>
        <v>90.92</v>
      </c>
      <c r="T22" s="177"/>
      <c r="U22" s="178">
        <f t="shared" si="19"/>
        <v>3.0600000000000023</v>
      </c>
      <c r="W22" s="179">
        <f t="shared" si="20"/>
        <v>3.5000000000000003E-2</v>
      </c>
      <c r="Y22" s="186" t="s">
        <v>413</v>
      </c>
      <c r="Z22" s="194">
        <f>Z16</f>
        <v>7</v>
      </c>
      <c r="AA22" s="195">
        <f>AA16</f>
        <v>10</v>
      </c>
      <c r="AB22" s="189">
        <f t="shared" si="15"/>
        <v>0.4285714285714286</v>
      </c>
      <c r="AC22" s="183">
        <f t="shared" si="2"/>
        <v>9.6569999999999983</v>
      </c>
      <c r="AD22" s="183">
        <f t="shared" si="3"/>
        <v>9.9939999999999998</v>
      </c>
      <c r="AE22" s="183">
        <f t="shared" si="4"/>
        <v>8.7859999999999996</v>
      </c>
      <c r="AF22" s="183">
        <f t="shared" si="5"/>
        <v>9.0920000000000005</v>
      </c>
    </row>
    <row r="23" spans="1:32">
      <c r="A23" s="159">
        <v>1100</v>
      </c>
      <c r="C23" s="171">
        <f t="shared" si="6"/>
        <v>4</v>
      </c>
      <c r="E23" s="171">
        <f t="shared" si="7"/>
        <v>10</v>
      </c>
      <c r="G23" s="171">
        <f t="shared" si="8"/>
        <v>6</v>
      </c>
      <c r="I23" s="177">
        <f t="shared" si="16"/>
        <v>109.53</v>
      </c>
      <c r="K23" s="177">
        <f t="shared" si="9"/>
        <v>113.35</v>
      </c>
      <c r="L23" s="177"/>
      <c r="M23" s="178">
        <f t="shared" si="17"/>
        <v>3.8199999999999932</v>
      </c>
      <c r="O23" s="179">
        <f t="shared" si="18"/>
        <v>3.5000000000000003E-2</v>
      </c>
      <c r="Q23" s="177">
        <f t="shared" si="12"/>
        <v>96.62</v>
      </c>
      <c r="S23" s="177">
        <f t="shared" si="13"/>
        <v>99.99</v>
      </c>
      <c r="T23" s="177"/>
      <c r="U23" s="178">
        <f t="shared" si="19"/>
        <v>3.3699999999999903</v>
      </c>
      <c r="W23" s="179">
        <f t="shared" si="20"/>
        <v>3.5000000000000003E-2</v>
      </c>
      <c r="Y23" s="186" t="s">
        <v>415</v>
      </c>
      <c r="Z23" s="194">
        <f>Z17</f>
        <v>0.26</v>
      </c>
      <c r="AA23" s="195">
        <f>Z23</f>
        <v>0.26</v>
      </c>
      <c r="AB23" s="189">
        <f t="shared" si="15"/>
        <v>0</v>
      </c>
      <c r="AC23" s="183"/>
      <c r="AD23" s="183"/>
      <c r="AE23" s="183"/>
      <c r="AF23" s="183"/>
    </row>
    <row r="24" spans="1:32">
      <c r="A24" s="159">
        <v>1200</v>
      </c>
      <c r="C24" s="171">
        <f t="shared" si="6"/>
        <v>4</v>
      </c>
      <c r="E24" s="171">
        <f t="shared" si="7"/>
        <v>10</v>
      </c>
      <c r="G24" s="171">
        <f t="shared" si="8"/>
        <v>6</v>
      </c>
      <c r="I24" s="177">
        <f t="shared" si="16"/>
        <v>122.48</v>
      </c>
      <c r="K24" s="177">
        <f t="shared" si="9"/>
        <v>126.75</v>
      </c>
      <c r="L24" s="177"/>
      <c r="M24" s="178">
        <f t="shared" si="17"/>
        <v>4.269999999999996</v>
      </c>
      <c r="O24" s="179">
        <f t="shared" si="18"/>
        <v>3.5000000000000003E-2</v>
      </c>
      <c r="Q24" s="177">
        <f t="shared" si="12"/>
        <v>105.38</v>
      </c>
      <c r="S24" s="177">
        <f t="shared" si="13"/>
        <v>109.06</v>
      </c>
      <c r="T24" s="177"/>
      <c r="U24" s="178">
        <f t="shared" si="19"/>
        <v>3.6800000000000068</v>
      </c>
      <c r="W24" s="179">
        <f t="shared" si="20"/>
        <v>3.5000000000000003E-2</v>
      </c>
      <c r="Y24" s="198" t="s">
        <v>417</v>
      </c>
      <c r="Z24" s="199">
        <f>Z18</f>
        <v>3.3799999999999997E-2</v>
      </c>
      <c r="AA24" s="200">
        <f>Z24</f>
        <v>3.3799999999999997E-2</v>
      </c>
      <c r="AB24" s="189">
        <f t="shared" si="15"/>
        <v>0</v>
      </c>
      <c r="AC24" s="183">
        <f>I23/$A23*100</f>
        <v>9.9572727272727271</v>
      </c>
      <c r="AD24" s="183">
        <f>K23/A23*100</f>
        <v>10.304545454545453</v>
      </c>
      <c r="AE24" s="183">
        <f>Q23/$A23*100</f>
        <v>8.783636363636365</v>
      </c>
      <c r="AF24" s="183">
        <f>S23/$A23*100</f>
        <v>9.09</v>
      </c>
    </row>
    <row r="25" spans="1:32">
      <c r="A25" s="159">
        <v>1300</v>
      </c>
      <c r="C25" s="171">
        <f t="shared" si="6"/>
        <v>4</v>
      </c>
      <c r="E25" s="171">
        <f t="shared" si="7"/>
        <v>10</v>
      </c>
      <c r="G25" s="171">
        <f t="shared" si="8"/>
        <v>6</v>
      </c>
      <c r="I25" s="177">
        <f t="shared" si="16"/>
        <v>135.44</v>
      </c>
      <c r="K25" s="177">
        <f t="shared" si="9"/>
        <v>140.16</v>
      </c>
      <c r="L25" s="177"/>
      <c r="M25" s="178">
        <f t="shared" si="17"/>
        <v>4.7199999999999989</v>
      </c>
      <c r="O25" s="179">
        <f t="shared" si="18"/>
        <v>3.5000000000000003E-2</v>
      </c>
      <c r="Q25" s="177">
        <f t="shared" si="12"/>
        <v>114.14</v>
      </c>
      <c r="S25" s="177">
        <f t="shared" si="13"/>
        <v>118.12</v>
      </c>
      <c r="T25" s="177"/>
      <c r="U25" s="178">
        <f t="shared" si="19"/>
        <v>3.980000000000004</v>
      </c>
      <c r="W25" s="179">
        <f t="shared" si="20"/>
        <v>3.5000000000000003E-2</v>
      </c>
      <c r="AB25" s="189"/>
      <c r="AC25" s="183">
        <f>I24/$A24*100</f>
        <v>10.206666666666667</v>
      </c>
      <c r="AD25" s="183">
        <f>K24/A24*100</f>
        <v>10.5625</v>
      </c>
      <c r="AE25" s="183">
        <f>Q24/$A24*100</f>
        <v>8.7816666666666663</v>
      </c>
      <c r="AF25" s="183">
        <f>S24/$A24*100</f>
        <v>9.0883333333333329</v>
      </c>
    </row>
    <row r="26" spans="1:32">
      <c r="A26" s="159">
        <v>1400</v>
      </c>
      <c r="C26" s="171">
        <f t="shared" si="6"/>
        <v>4</v>
      </c>
      <c r="E26" s="171">
        <f t="shared" si="7"/>
        <v>10</v>
      </c>
      <c r="G26" s="171">
        <f t="shared" si="8"/>
        <v>6</v>
      </c>
      <c r="I26" s="177">
        <f t="shared" si="16"/>
        <v>148.38999999999999</v>
      </c>
      <c r="K26" s="177">
        <f t="shared" si="9"/>
        <v>153.57</v>
      </c>
      <c r="L26" s="177"/>
      <c r="M26" s="178">
        <f t="shared" si="17"/>
        <v>5.1800000000000068</v>
      </c>
      <c r="O26" s="179">
        <f t="shared" si="18"/>
        <v>3.5000000000000003E-2</v>
      </c>
      <c r="Q26" s="177">
        <f t="shared" si="12"/>
        <v>122.9</v>
      </c>
      <c r="S26" s="177">
        <f t="shared" si="13"/>
        <v>127.19</v>
      </c>
      <c r="T26" s="177"/>
      <c r="U26" s="178">
        <f t="shared" si="19"/>
        <v>4.289999999999992</v>
      </c>
      <c r="W26" s="179">
        <f t="shared" si="20"/>
        <v>3.5000000000000003E-2</v>
      </c>
      <c r="Y26" s="150" t="s">
        <v>419</v>
      </c>
      <c r="Z26" s="148"/>
      <c r="AA26" s="201">
        <f>'SJB-2'!Q15</f>
        <v>0.11246083928588053</v>
      </c>
      <c r="AB26" s="189"/>
      <c r="AC26" s="183">
        <f>I25/$A25*100</f>
        <v>10.418461538461539</v>
      </c>
      <c r="AD26" s="183">
        <f>K25/A25*100</f>
        <v>10.781538461538462</v>
      </c>
      <c r="AE26" s="183">
        <f>Q25/$A25*100</f>
        <v>8.7800000000000011</v>
      </c>
      <c r="AF26" s="183">
        <f>S25/$A25*100</f>
        <v>9.0861538461538469</v>
      </c>
    </row>
    <row r="27" spans="1:32">
      <c r="A27" s="159">
        <v>1500</v>
      </c>
      <c r="C27" s="171">
        <f t="shared" si="6"/>
        <v>4</v>
      </c>
      <c r="E27" s="171">
        <f t="shared" si="7"/>
        <v>10</v>
      </c>
      <c r="G27" s="171">
        <f t="shared" si="8"/>
        <v>6</v>
      </c>
      <c r="I27" s="177">
        <f t="shared" si="16"/>
        <v>161.35</v>
      </c>
      <c r="K27" s="177">
        <f t="shared" si="9"/>
        <v>166.98</v>
      </c>
      <c r="L27" s="177"/>
      <c r="M27" s="178">
        <f t="shared" si="17"/>
        <v>5.6299999999999955</v>
      </c>
      <c r="O27" s="179">
        <f t="shared" si="18"/>
        <v>3.5000000000000003E-2</v>
      </c>
      <c r="Q27" s="177">
        <f t="shared" si="12"/>
        <v>131.66</v>
      </c>
      <c r="S27" s="177">
        <f t="shared" si="13"/>
        <v>136.25</v>
      </c>
      <c r="T27" s="177"/>
      <c r="U27" s="178">
        <f t="shared" si="19"/>
        <v>4.5900000000000034</v>
      </c>
      <c r="W27" s="179">
        <f t="shared" si="20"/>
        <v>3.5000000000000003E-2</v>
      </c>
      <c r="Y27" s="150" t="s">
        <v>420</v>
      </c>
      <c r="Z27" s="201"/>
      <c r="AB27" s="189"/>
      <c r="AC27" s="183">
        <f>I26/$A26*100</f>
        <v>10.599285714285713</v>
      </c>
      <c r="AD27" s="183">
        <f>K26/A26*100</f>
        <v>10.969285714285713</v>
      </c>
      <c r="AE27" s="183">
        <f>Q26/$A26*100</f>
        <v>8.7785714285714285</v>
      </c>
      <c r="AF27" s="183">
        <f>S26/$A26*100</f>
        <v>9.0850000000000009</v>
      </c>
    </row>
    <row r="28" spans="1:32">
      <c r="A28" s="159">
        <v>2000</v>
      </c>
      <c r="C28" s="171">
        <f t="shared" si="6"/>
        <v>4</v>
      </c>
      <c r="E28" s="171">
        <f t="shared" si="7"/>
        <v>10</v>
      </c>
      <c r="G28" s="171">
        <f t="shared" si="8"/>
        <v>6</v>
      </c>
      <c r="I28" s="177">
        <f t="shared" si="16"/>
        <v>226.12</v>
      </c>
      <c r="K28" s="177">
        <f t="shared" si="9"/>
        <v>234.01</v>
      </c>
      <c r="L28" s="177"/>
      <c r="M28" s="178">
        <f t="shared" si="17"/>
        <v>7.8899999999999864</v>
      </c>
      <c r="O28" s="179">
        <f t="shared" si="18"/>
        <v>3.5000000000000003E-2</v>
      </c>
      <c r="Q28" s="177">
        <f t="shared" si="12"/>
        <v>175.46</v>
      </c>
      <c r="S28" s="177">
        <f t="shared" si="13"/>
        <v>181.59</v>
      </c>
      <c r="T28" s="177"/>
      <c r="U28" s="178">
        <f t="shared" si="19"/>
        <v>6.1299999999999955</v>
      </c>
      <c r="W28" s="179">
        <f t="shared" si="20"/>
        <v>3.5000000000000003E-2</v>
      </c>
      <c r="Y28" s="150" t="s">
        <v>421</v>
      </c>
      <c r="Z28" s="201"/>
      <c r="AA28" s="202"/>
      <c r="AB28" s="189"/>
      <c r="AC28" s="183">
        <f>I27/$A27*100</f>
        <v>10.756666666666666</v>
      </c>
      <c r="AD28" s="183">
        <f>K27/A27*100</f>
        <v>11.132</v>
      </c>
      <c r="AE28" s="183">
        <f>Q27/$A27*100</f>
        <v>8.777333333333333</v>
      </c>
      <c r="AF28" s="183">
        <f>S27/$A27*100</f>
        <v>9.0833333333333339</v>
      </c>
    </row>
    <row r="29" spans="1:32">
      <c r="A29" s="159">
        <v>3000</v>
      </c>
      <c r="C29" s="171">
        <f t="shared" si="6"/>
        <v>4</v>
      </c>
      <c r="E29" s="171">
        <f t="shared" si="7"/>
        <v>10</v>
      </c>
      <c r="G29" s="171">
        <f t="shared" si="8"/>
        <v>6</v>
      </c>
      <c r="I29" s="177">
        <f t="shared" si="16"/>
        <v>355.67</v>
      </c>
      <c r="K29" s="177">
        <f t="shared" si="9"/>
        <v>368.09</v>
      </c>
      <c r="L29" s="177"/>
      <c r="M29" s="178">
        <f t="shared" si="17"/>
        <v>12.419999999999959</v>
      </c>
      <c r="O29" s="179">
        <f t="shared" si="18"/>
        <v>3.5000000000000003E-2</v>
      </c>
      <c r="Q29" s="177">
        <f t="shared" si="12"/>
        <v>263.06</v>
      </c>
      <c r="S29" s="177">
        <f t="shared" si="13"/>
        <v>272.25</v>
      </c>
      <c r="T29" s="177"/>
      <c r="U29" s="178">
        <f t="shared" si="19"/>
        <v>9.1899999999999977</v>
      </c>
      <c r="W29" s="179">
        <f t="shared" si="20"/>
        <v>3.5000000000000003E-2</v>
      </c>
      <c r="Y29" s="150" t="s">
        <v>422</v>
      </c>
      <c r="Z29" s="201">
        <v>-2.64E-2</v>
      </c>
      <c r="AA29" s="202">
        <f>Z29</f>
        <v>-2.64E-2</v>
      </c>
      <c r="AB29" s="189">
        <f t="shared" si="15"/>
        <v>0</v>
      </c>
      <c r="AC29" s="183"/>
      <c r="AD29" s="183"/>
      <c r="AE29" s="183"/>
      <c r="AF29" s="183"/>
    </row>
    <row r="30" spans="1:32">
      <c r="A30" s="159">
        <v>4000</v>
      </c>
      <c r="C30" s="171">
        <f t="shared" si="6"/>
        <v>4</v>
      </c>
      <c r="E30" s="171">
        <f t="shared" si="7"/>
        <v>10</v>
      </c>
      <c r="G30" s="171">
        <f t="shared" si="8"/>
        <v>6</v>
      </c>
      <c r="I30" s="177">
        <f t="shared" si="16"/>
        <v>485.21</v>
      </c>
      <c r="K30" s="177">
        <f t="shared" si="9"/>
        <v>502.16</v>
      </c>
      <c r="L30" s="177"/>
      <c r="M30" s="178">
        <f t="shared" si="17"/>
        <v>16.950000000000045</v>
      </c>
      <c r="O30" s="179">
        <f t="shared" si="18"/>
        <v>3.5000000000000003E-2</v>
      </c>
      <c r="Q30" s="177">
        <f t="shared" si="12"/>
        <v>350.67</v>
      </c>
      <c r="S30" s="177">
        <f t="shared" si="13"/>
        <v>362.91</v>
      </c>
      <c r="T30" s="177"/>
      <c r="U30" s="178">
        <f t="shared" si="19"/>
        <v>12.240000000000009</v>
      </c>
      <c r="W30" s="179">
        <f t="shared" si="20"/>
        <v>3.5000000000000003E-2</v>
      </c>
      <c r="Y30" s="148" t="s">
        <v>423</v>
      </c>
      <c r="Z30" s="201">
        <f>SUM(Z27:Z29)</f>
        <v>-2.64E-2</v>
      </c>
      <c r="AA30" s="202">
        <f>SUM(AA27:AA29)</f>
        <v>-2.64E-2</v>
      </c>
      <c r="AB30" s="189">
        <f t="shared" si="15"/>
        <v>0</v>
      </c>
      <c r="AC30" s="183">
        <f>I28/$A28*100</f>
        <v>11.306000000000001</v>
      </c>
      <c r="AD30" s="183">
        <f>K28/A28*100</f>
        <v>11.7005</v>
      </c>
      <c r="AE30" s="183">
        <f>Q28/$A28*100</f>
        <v>8.7729999999999997</v>
      </c>
      <c r="AF30" s="183">
        <f>S28/$A28*100</f>
        <v>9.0794999999999995</v>
      </c>
    </row>
    <row r="31" spans="1:32">
      <c r="A31" s="159">
        <v>5000</v>
      </c>
      <c r="C31" s="171">
        <f t="shared" si="6"/>
        <v>4</v>
      </c>
      <c r="E31" s="171">
        <f t="shared" si="7"/>
        <v>10</v>
      </c>
      <c r="G31" s="171">
        <f t="shared" si="8"/>
        <v>6</v>
      </c>
      <c r="I31" s="177">
        <f t="shared" si="16"/>
        <v>614.76</v>
      </c>
      <c r="K31" s="177">
        <f t="shared" si="9"/>
        <v>636.23</v>
      </c>
      <c r="L31" s="177"/>
      <c r="M31" s="178">
        <f t="shared" si="17"/>
        <v>21.470000000000027</v>
      </c>
      <c r="O31" s="179">
        <f t="shared" si="18"/>
        <v>3.5000000000000003E-2</v>
      </c>
      <c r="Q31" s="177">
        <f t="shared" si="12"/>
        <v>438.27</v>
      </c>
      <c r="S31" s="177">
        <f t="shared" si="13"/>
        <v>453.58</v>
      </c>
      <c r="T31" s="177"/>
      <c r="U31" s="178">
        <f t="shared" si="19"/>
        <v>15.310000000000002</v>
      </c>
      <c r="W31" s="179">
        <f t="shared" si="20"/>
        <v>3.5000000000000003E-2</v>
      </c>
      <c r="AC31" s="183">
        <f>I29/$A29*100</f>
        <v>11.855666666666668</v>
      </c>
      <c r="AD31" s="183">
        <f>K29/A29*100</f>
        <v>12.269666666666666</v>
      </c>
      <c r="AE31" s="183">
        <f>Q29/$A29*100</f>
        <v>8.7686666666666664</v>
      </c>
      <c r="AF31" s="183">
        <f>S29/$A29*100</f>
        <v>9.0749999999999993</v>
      </c>
    </row>
    <row r="32" spans="1:32">
      <c r="X32" s="203"/>
      <c r="AC32" s="183">
        <f>I30/$A30*100</f>
        <v>12.13025</v>
      </c>
      <c r="AD32" s="183">
        <f>K30/A30*100</f>
        <v>12.554000000000002</v>
      </c>
      <c r="AE32" s="183">
        <f>Q30/$A30*100</f>
        <v>8.7667500000000018</v>
      </c>
      <c r="AF32" s="183">
        <f>S30/$A30*100</f>
        <v>9.072750000000001</v>
      </c>
    </row>
    <row r="33" spans="1:36">
      <c r="Y33" s="204"/>
      <c r="Z33" s="148"/>
      <c r="AA33" s="148"/>
      <c r="AC33" s="183">
        <f>I31/$A31*100</f>
        <v>12.295199999999999</v>
      </c>
      <c r="AD33" s="183">
        <f>K31/A31*100</f>
        <v>12.724600000000001</v>
      </c>
      <c r="AE33" s="183">
        <f>Q31/$A31*100</f>
        <v>8.7653999999999996</v>
      </c>
      <c r="AF33" s="183">
        <f>S31/$A31*100</f>
        <v>9.0715999999999983</v>
      </c>
    </row>
    <row r="34" spans="1:36" ht="15.75">
      <c r="A34" s="205" t="s">
        <v>424</v>
      </c>
      <c r="Y34" s="148"/>
      <c r="Z34" s="148"/>
      <c r="AA34" s="148"/>
      <c r="AC34" s="206"/>
      <c r="AD34" s="154"/>
    </row>
    <row r="35" spans="1:36">
      <c r="A35" s="159" t="s">
        <v>425</v>
      </c>
      <c r="Z35" s="207" t="s">
        <v>396</v>
      </c>
      <c r="AA35" s="208"/>
      <c r="AB35" s="208"/>
      <c r="AC35" s="209" t="s">
        <v>17</v>
      </c>
      <c r="AD35" s="210"/>
      <c r="AE35" s="208" t="s">
        <v>395</v>
      </c>
      <c r="AF35" s="211" t="s">
        <v>426</v>
      </c>
    </row>
    <row r="36" spans="1:36" ht="15.75">
      <c r="A36" s="205"/>
      <c r="Y36" s="148"/>
      <c r="Z36" s="212" t="s">
        <v>397</v>
      </c>
      <c r="AA36" s="212" t="s">
        <v>395</v>
      </c>
      <c r="AB36" s="212" t="s">
        <v>6</v>
      </c>
      <c r="AC36" s="213" t="s">
        <v>398</v>
      </c>
      <c r="AD36" s="214" t="s">
        <v>46</v>
      </c>
      <c r="AE36" s="215" t="s">
        <v>19</v>
      </c>
      <c r="AF36" s="215" t="s">
        <v>19</v>
      </c>
    </row>
    <row r="37" spans="1:36">
      <c r="Y37" s="216" t="s">
        <v>405</v>
      </c>
      <c r="Z37" s="217">
        <f>'Exhibit RMP(WRG-3)'!R21</f>
        <v>833.10766861015759</v>
      </c>
      <c r="AA37" s="218">
        <f>I20</f>
        <v>79.19</v>
      </c>
      <c r="AB37" s="218">
        <f>K20</f>
        <v>81.95</v>
      </c>
      <c r="AC37" s="218">
        <f>AB37-AA37</f>
        <v>2.7600000000000051</v>
      </c>
      <c r="AD37" s="219">
        <f>AB37/AA37-1</f>
        <v>3.4852885465336492E-2</v>
      </c>
      <c r="AE37" s="216">
        <f t="shared" ref="AE37:AF39" si="21">ROUND(AA37/$Z37*100,2)</f>
        <v>9.51</v>
      </c>
      <c r="AF37" s="220">
        <f t="shared" si="21"/>
        <v>9.84</v>
      </c>
    </row>
    <row r="38" spans="1:36">
      <c r="Y38" s="220" t="s">
        <v>406</v>
      </c>
      <c r="Z38" s="217">
        <f>'Exhibit RMP(WRG-3)'!R22</f>
        <v>718.98159349153343</v>
      </c>
      <c r="AA38" s="218">
        <f>Q17</f>
        <v>63.24</v>
      </c>
      <c r="AB38" s="218">
        <f>S17</f>
        <v>65.45</v>
      </c>
      <c r="AC38" s="218">
        <f>AB38-AA38</f>
        <v>2.2100000000000009</v>
      </c>
      <c r="AD38" s="221">
        <f>AB38/AA38-1</f>
        <v>3.4946236559139754E-2</v>
      </c>
      <c r="AE38" s="222">
        <f t="shared" si="21"/>
        <v>8.8000000000000007</v>
      </c>
      <c r="AF38" s="220">
        <f t="shared" si="21"/>
        <v>9.1</v>
      </c>
    </row>
    <row r="39" spans="1:36">
      <c r="Y39" s="223" t="s">
        <v>427</v>
      </c>
      <c r="Z39" s="224">
        <f>'Exhibit RMP(WRG-3)'!R20</f>
        <v>766.53412479096016</v>
      </c>
      <c r="AA39" s="225">
        <f>(I18*5+Q18*7)/12</f>
        <v>69.430833333333339</v>
      </c>
      <c r="AB39" s="225">
        <f>(K18*5+S18*7)/12</f>
        <v>71.847500000000011</v>
      </c>
      <c r="AC39" s="225">
        <f>AB39-AA39</f>
        <v>2.4166666666666714</v>
      </c>
      <c r="AD39" s="226">
        <f>AB39/AA39-1</f>
        <v>3.4806822137138926E-2</v>
      </c>
      <c r="AE39" s="223">
        <f t="shared" si="21"/>
        <v>9.06</v>
      </c>
      <c r="AF39" s="223">
        <f t="shared" si="21"/>
        <v>9.3699999999999992</v>
      </c>
    </row>
    <row r="40" spans="1:36">
      <c r="P40" s="179"/>
      <c r="Q40" s="179"/>
      <c r="R40" s="179"/>
      <c r="S40" s="179"/>
      <c r="T40" s="179"/>
      <c r="U40" s="179"/>
      <c r="AA40" s="177"/>
    </row>
    <row r="41" spans="1:36">
      <c r="P41" s="179"/>
      <c r="Q41" s="179"/>
      <c r="R41" s="179"/>
      <c r="S41" s="179"/>
      <c r="T41" s="179"/>
      <c r="U41" s="179"/>
      <c r="Z41" s="209" t="s">
        <v>428</v>
      </c>
      <c r="AA41" s="210"/>
      <c r="AB41" s="209" t="s">
        <v>429</v>
      </c>
      <c r="AC41" s="210"/>
      <c r="AD41" s="148"/>
      <c r="AE41" s="148"/>
      <c r="AF41" s="148"/>
      <c r="AG41" s="148"/>
      <c r="AH41" s="148"/>
      <c r="AI41" s="148"/>
      <c r="AJ41" s="148"/>
    </row>
    <row r="42" spans="1:36">
      <c r="P42" s="179"/>
      <c r="Q42" s="179"/>
      <c r="R42" s="179"/>
      <c r="S42" s="179"/>
      <c r="T42" s="179"/>
      <c r="U42" s="179"/>
      <c r="Y42" s="150" t="s">
        <v>430</v>
      </c>
      <c r="Z42" s="227" t="s">
        <v>431</v>
      </c>
      <c r="AA42" s="228" t="s">
        <v>432</v>
      </c>
      <c r="AB42" s="227" t="s">
        <v>431</v>
      </c>
      <c r="AC42" s="228" t="s">
        <v>432</v>
      </c>
    </row>
    <row r="43" spans="1:36">
      <c r="P43" s="179"/>
      <c r="Q43" s="179"/>
      <c r="R43" s="179"/>
      <c r="S43" s="179"/>
      <c r="T43" s="179"/>
      <c r="U43" s="179"/>
      <c r="Y43" s="229" t="s">
        <v>409</v>
      </c>
      <c r="Z43" s="230">
        <f>'Exhibit RMP(WRG-3)'!G12</f>
        <v>4</v>
      </c>
      <c r="AA43" s="231">
        <f>'Exhibit RMP(WRG-3)'!M12</f>
        <v>10</v>
      </c>
      <c r="AB43" s="230">
        <f>'Exhibit RMP(WRG-3)'!G13</f>
        <v>8</v>
      </c>
      <c r="AC43" s="231">
        <f>'Exhibit RMP(WRG-3)'!M13</f>
        <v>20</v>
      </c>
    </row>
    <row r="44" spans="1:36">
      <c r="P44" s="179"/>
      <c r="Q44" s="179"/>
      <c r="R44" s="179"/>
      <c r="S44" s="179"/>
      <c r="T44" s="179"/>
      <c r="U44" s="179"/>
      <c r="Y44" s="186" t="s">
        <v>433</v>
      </c>
      <c r="Z44" s="232">
        <f>'Exhibit RMP(WRG-3)'!G18</f>
        <v>7</v>
      </c>
      <c r="AA44" s="233">
        <f>'Exhibit RMP(WRG-3)'!M18</f>
        <v>10</v>
      </c>
      <c r="AB44" s="232">
        <f>'Exhibit RMP(WRG-3)'!G19</f>
        <v>14</v>
      </c>
      <c r="AC44" s="233">
        <f>'Exhibit RMP(WRG-3)'!M19</f>
        <v>20</v>
      </c>
    </row>
    <row r="45" spans="1:36">
      <c r="P45" s="179"/>
      <c r="Q45" s="179"/>
      <c r="R45" s="179"/>
      <c r="S45" s="179"/>
      <c r="T45" s="179"/>
      <c r="U45" s="179"/>
      <c r="Y45" s="186" t="s">
        <v>434</v>
      </c>
      <c r="Z45" s="234">
        <f>ROUND((Z$44-Z$43)/($Z13/100),0)</f>
        <v>36</v>
      </c>
      <c r="AA45" s="234">
        <f>ROUND((AA$44-AA$43)/($AA13/100),0)</f>
        <v>0</v>
      </c>
      <c r="AB45" s="234">
        <f>ROUND((AB$44-AB$43)/($Z13/100),0)</f>
        <v>71</v>
      </c>
      <c r="AC45" s="235">
        <f>ROUND((AC$44-AC$43)/($AA13/100),0)</f>
        <v>0</v>
      </c>
    </row>
    <row r="46" spans="1:36">
      <c r="P46" s="179"/>
      <c r="Q46" s="179"/>
      <c r="R46" s="179"/>
      <c r="S46" s="179"/>
      <c r="T46" s="179"/>
      <c r="U46" s="179"/>
      <c r="Y46" s="198" t="s">
        <v>435</v>
      </c>
      <c r="Z46" s="236">
        <f>ROUND((Z$44-Z$43)/($Z21/100),0)</f>
        <v>34</v>
      </c>
      <c r="AA46" s="236">
        <f>ROUND((AA$44-AA$43)/($AA21/100),0)</f>
        <v>0</v>
      </c>
      <c r="AB46" s="236">
        <f>ROUND((AB$44-AB$43)/($Z21/100),0)</f>
        <v>69</v>
      </c>
      <c r="AC46" s="237">
        <f>ROUND((AC$44-AC$43)/($AA21/100),0)</f>
        <v>0</v>
      </c>
    </row>
    <row r="47" spans="1:36">
      <c r="P47" s="179"/>
      <c r="Q47" s="179"/>
      <c r="R47" s="179"/>
      <c r="S47" s="179"/>
      <c r="T47" s="179"/>
      <c r="U47" s="179"/>
    </row>
    <row r="48" spans="1:36">
      <c r="G48" s="148"/>
      <c r="H48" s="148"/>
      <c r="I48" s="154"/>
      <c r="J48" s="148"/>
      <c r="K48" s="154"/>
      <c r="L48" s="148"/>
      <c r="M48" s="194"/>
      <c r="N48" s="148"/>
      <c r="O48" s="148"/>
      <c r="P48" s="286"/>
      <c r="Q48" s="286"/>
      <c r="R48" s="179"/>
      <c r="S48" s="179"/>
      <c r="T48" s="179"/>
      <c r="U48" s="179"/>
    </row>
    <row r="49" spans="1:21">
      <c r="G49" s="148"/>
      <c r="H49" s="148"/>
      <c r="I49" s="156"/>
      <c r="J49" s="287"/>
      <c r="K49" s="241"/>
      <c r="L49" s="147"/>
      <c r="M49" s="288"/>
      <c r="N49" s="147"/>
      <c r="O49" s="147"/>
      <c r="P49" s="286"/>
      <c r="Q49" s="286"/>
      <c r="R49" s="179"/>
      <c r="S49" s="179"/>
      <c r="T49" s="179"/>
      <c r="U49" s="179"/>
    </row>
    <row r="50" spans="1:21">
      <c r="G50" s="148"/>
      <c r="H50" s="148"/>
      <c r="I50" s="241"/>
      <c r="J50" s="147"/>
      <c r="K50" s="241"/>
      <c r="L50" s="148"/>
      <c r="M50" s="241"/>
      <c r="N50" s="147"/>
      <c r="O50" s="241"/>
      <c r="P50" s="286"/>
      <c r="Q50" s="286"/>
      <c r="R50" s="179"/>
      <c r="S50" s="179"/>
      <c r="T50" s="179"/>
      <c r="U50" s="179"/>
    </row>
    <row r="51" spans="1:21">
      <c r="G51" s="289"/>
      <c r="H51" s="148"/>
      <c r="I51" s="241"/>
      <c r="J51" s="148"/>
      <c r="K51" s="290"/>
      <c r="L51" s="148"/>
      <c r="M51" s="291"/>
      <c r="N51" s="148"/>
      <c r="O51" s="266"/>
      <c r="P51" s="286"/>
      <c r="Q51" s="286"/>
      <c r="R51" s="179"/>
      <c r="S51" s="179"/>
      <c r="T51" s="179"/>
      <c r="U51" s="179"/>
    </row>
    <row r="52" spans="1:21">
      <c r="A52" s="150"/>
      <c r="G52" s="292"/>
      <c r="H52" s="148"/>
      <c r="I52" s="154"/>
      <c r="J52" s="148"/>
      <c r="K52" s="154"/>
      <c r="L52" s="154"/>
      <c r="M52" s="293"/>
      <c r="N52" s="148"/>
      <c r="O52" s="286"/>
      <c r="P52" s="286"/>
      <c r="Q52" s="286"/>
      <c r="R52" s="179"/>
      <c r="S52" s="179"/>
      <c r="T52" s="179"/>
      <c r="U52" s="179"/>
    </row>
    <row r="53" spans="1:21">
      <c r="A53" s="150"/>
      <c r="G53" s="292"/>
      <c r="H53" s="148"/>
      <c r="I53" s="154"/>
      <c r="J53" s="148"/>
      <c r="K53" s="154"/>
      <c r="L53" s="154"/>
      <c r="M53" s="293"/>
      <c r="N53" s="148"/>
      <c r="O53" s="286"/>
      <c r="P53" s="286"/>
      <c r="Q53" s="286"/>
      <c r="R53" s="179"/>
      <c r="S53" s="179"/>
      <c r="T53" s="179"/>
      <c r="U53" s="179"/>
    </row>
    <row r="54" spans="1:21">
      <c r="A54" s="150"/>
      <c r="G54" s="292"/>
      <c r="H54" s="148"/>
      <c r="I54" s="154"/>
      <c r="J54" s="148"/>
      <c r="K54" s="154"/>
      <c r="L54" s="154"/>
      <c r="M54" s="293"/>
      <c r="N54" s="148"/>
      <c r="O54" s="286"/>
      <c r="P54" s="286"/>
      <c r="Q54" s="286"/>
      <c r="R54" s="179"/>
      <c r="S54" s="179"/>
      <c r="T54" s="179"/>
      <c r="U54" s="179"/>
    </row>
    <row r="55" spans="1:21">
      <c r="A55" s="150"/>
      <c r="G55" s="292"/>
      <c r="H55" s="148"/>
      <c r="I55" s="154"/>
      <c r="J55" s="148"/>
      <c r="K55" s="154"/>
      <c r="L55" s="154"/>
      <c r="M55" s="293"/>
      <c r="N55" s="148"/>
      <c r="O55" s="286"/>
      <c r="P55" s="286"/>
      <c r="Q55" s="286"/>
      <c r="R55" s="179"/>
      <c r="S55" s="179"/>
      <c r="T55" s="179"/>
      <c r="U55" s="179"/>
    </row>
    <row r="56" spans="1:21">
      <c r="A56" s="150"/>
      <c r="G56" s="292"/>
      <c r="H56" s="148"/>
      <c r="I56" s="154"/>
      <c r="J56" s="148"/>
      <c r="K56" s="154"/>
      <c r="L56" s="154"/>
      <c r="M56" s="293"/>
      <c r="N56" s="148"/>
      <c r="O56" s="286"/>
      <c r="P56" s="286"/>
      <c r="Q56" s="286"/>
      <c r="R56" s="179"/>
      <c r="S56" s="179"/>
      <c r="T56" s="179"/>
      <c r="U56" s="179"/>
    </row>
    <row r="57" spans="1:21">
      <c r="A57" s="150"/>
      <c r="G57" s="292"/>
      <c r="H57" s="148"/>
      <c r="I57" s="154"/>
      <c r="J57" s="148"/>
      <c r="K57" s="154"/>
      <c r="L57" s="154"/>
      <c r="M57" s="293"/>
      <c r="N57" s="148"/>
      <c r="O57" s="286"/>
      <c r="P57" s="286"/>
      <c r="Q57" s="286"/>
      <c r="R57" s="179"/>
      <c r="S57" s="179"/>
      <c r="T57" s="179"/>
      <c r="U57" s="179"/>
    </row>
    <row r="58" spans="1:21">
      <c r="A58" s="150"/>
      <c r="G58" s="292"/>
      <c r="H58" s="148"/>
      <c r="I58" s="154"/>
      <c r="J58" s="148"/>
      <c r="K58" s="154"/>
      <c r="L58" s="154"/>
      <c r="M58" s="293"/>
      <c r="N58" s="148"/>
      <c r="O58" s="286"/>
      <c r="P58" s="286"/>
      <c r="Q58" s="286"/>
      <c r="R58" s="179"/>
      <c r="S58" s="179"/>
      <c r="T58" s="179"/>
      <c r="U58" s="179"/>
    </row>
    <row r="59" spans="1:21">
      <c r="A59" s="150"/>
      <c r="G59" s="292"/>
      <c r="H59" s="148"/>
      <c r="I59" s="154"/>
      <c r="J59" s="148"/>
      <c r="K59" s="154"/>
      <c r="L59" s="154"/>
      <c r="M59" s="293"/>
      <c r="N59" s="148"/>
      <c r="O59" s="286"/>
      <c r="P59" s="286"/>
      <c r="Q59" s="286"/>
      <c r="R59" s="179"/>
      <c r="S59" s="179"/>
      <c r="T59" s="179"/>
      <c r="U59" s="179"/>
    </row>
    <row r="60" spans="1:21">
      <c r="A60" s="150"/>
      <c r="G60" s="292"/>
      <c r="H60" s="148"/>
      <c r="I60" s="154"/>
      <c r="J60" s="148"/>
      <c r="K60" s="154"/>
      <c r="L60" s="154"/>
      <c r="M60" s="293"/>
      <c r="N60" s="148"/>
      <c r="O60" s="286"/>
      <c r="P60" s="286"/>
      <c r="Q60" s="286"/>
      <c r="R60" s="179"/>
      <c r="S60" s="179"/>
      <c r="T60" s="179"/>
      <c r="U60" s="179"/>
    </row>
    <row r="61" spans="1:21">
      <c r="A61" s="150"/>
      <c r="G61" s="292"/>
      <c r="H61" s="148"/>
      <c r="I61" s="154"/>
      <c r="J61" s="148"/>
      <c r="K61" s="154"/>
      <c r="L61" s="154"/>
      <c r="M61" s="293"/>
      <c r="N61" s="148"/>
      <c r="O61" s="286"/>
      <c r="P61" s="148"/>
      <c r="Q61" s="154"/>
    </row>
    <row r="62" spans="1:21">
      <c r="A62" s="150"/>
      <c r="G62" s="292"/>
      <c r="H62" s="148"/>
      <c r="I62" s="154"/>
      <c r="J62" s="148"/>
      <c r="K62" s="154"/>
      <c r="L62" s="154"/>
      <c r="M62" s="293"/>
      <c r="N62" s="148"/>
      <c r="O62" s="286"/>
      <c r="P62" s="148"/>
      <c r="Q62" s="154"/>
    </row>
    <row r="63" spans="1:21">
      <c r="A63" s="150"/>
      <c r="G63" s="292"/>
      <c r="H63" s="148"/>
      <c r="I63" s="154"/>
      <c r="J63" s="148"/>
      <c r="K63" s="154"/>
      <c r="L63" s="154"/>
      <c r="M63" s="293"/>
      <c r="N63" s="148"/>
      <c r="O63" s="286"/>
      <c r="P63" s="148"/>
      <c r="Q63" s="154"/>
    </row>
    <row r="64" spans="1:21">
      <c r="A64" s="150"/>
      <c r="G64" s="292"/>
      <c r="H64" s="148"/>
      <c r="I64" s="154"/>
      <c r="J64" s="148"/>
      <c r="K64" s="154"/>
      <c r="L64" s="154"/>
      <c r="M64" s="293"/>
      <c r="N64" s="148"/>
      <c r="O64" s="286"/>
      <c r="P64" s="148"/>
      <c r="Q64" s="154"/>
    </row>
    <row r="65" spans="1:17">
      <c r="A65" s="150"/>
      <c r="G65" s="292"/>
      <c r="H65" s="148"/>
      <c r="I65" s="154"/>
      <c r="J65" s="148"/>
      <c r="K65" s="154"/>
      <c r="L65" s="154"/>
      <c r="M65" s="293"/>
      <c r="N65" s="148"/>
      <c r="O65" s="286"/>
      <c r="P65" s="148"/>
      <c r="Q65" s="154"/>
    </row>
    <row r="66" spans="1:17">
      <c r="A66" s="150"/>
      <c r="G66" s="292"/>
      <c r="H66" s="148"/>
      <c r="I66" s="154"/>
      <c r="J66" s="148"/>
      <c r="K66" s="154"/>
      <c r="L66" s="154"/>
      <c r="M66" s="293"/>
      <c r="N66" s="148"/>
      <c r="O66" s="286"/>
      <c r="P66" s="148"/>
      <c r="Q66" s="154"/>
    </row>
    <row r="67" spans="1:17">
      <c r="A67" s="150"/>
      <c r="G67" s="292"/>
      <c r="H67" s="148"/>
      <c r="I67" s="154"/>
      <c r="J67" s="148"/>
      <c r="K67" s="154"/>
      <c r="L67" s="154"/>
      <c r="M67" s="293"/>
      <c r="N67" s="148"/>
      <c r="O67" s="286"/>
      <c r="P67" s="148"/>
      <c r="Q67" s="154"/>
    </row>
    <row r="68" spans="1:17">
      <c r="A68" s="150"/>
      <c r="G68" s="292"/>
      <c r="H68" s="148"/>
      <c r="I68" s="154"/>
      <c r="J68" s="148"/>
      <c r="K68" s="154"/>
      <c r="L68" s="154"/>
      <c r="M68" s="293"/>
      <c r="N68" s="148"/>
      <c r="O68" s="286"/>
      <c r="P68" s="148"/>
      <c r="Q68" s="154"/>
    </row>
    <row r="69" spans="1:17">
      <c r="A69" s="150"/>
      <c r="G69" s="292"/>
      <c r="H69" s="148"/>
      <c r="I69" s="154"/>
      <c r="J69" s="148"/>
      <c r="K69" s="154"/>
      <c r="L69" s="154"/>
      <c r="M69" s="293"/>
      <c r="N69" s="148"/>
      <c r="O69" s="286"/>
      <c r="P69" s="148"/>
      <c r="Q69" s="154"/>
    </row>
    <row r="70" spans="1:17">
      <c r="A70" s="150"/>
      <c r="G70" s="292"/>
      <c r="H70" s="148"/>
      <c r="I70" s="154"/>
      <c r="J70" s="148"/>
      <c r="K70" s="154"/>
      <c r="L70" s="154"/>
      <c r="M70" s="293"/>
      <c r="N70" s="148"/>
      <c r="O70" s="286"/>
      <c r="P70" s="148"/>
      <c r="Q70" s="154"/>
    </row>
    <row r="71" spans="1:17">
      <c r="A71" s="150"/>
      <c r="G71" s="292"/>
      <c r="H71" s="148"/>
      <c r="I71" s="154"/>
      <c r="J71" s="148"/>
      <c r="K71" s="154"/>
      <c r="L71" s="154"/>
      <c r="M71" s="293"/>
      <c r="N71" s="148"/>
      <c r="O71" s="286"/>
      <c r="P71" s="148"/>
      <c r="Q71" s="154"/>
    </row>
    <row r="72" spans="1:17">
      <c r="A72" s="150"/>
      <c r="G72" s="292"/>
      <c r="H72" s="148"/>
      <c r="I72" s="154"/>
      <c r="J72" s="148"/>
      <c r="K72" s="154"/>
      <c r="L72" s="154"/>
      <c r="M72" s="293"/>
      <c r="N72" s="148"/>
      <c r="O72" s="286"/>
      <c r="P72" s="148"/>
      <c r="Q72" s="154"/>
    </row>
  </sheetData>
  <printOptions horizontalCentered="1"/>
  <pageMargins left="0.75" right="0.75" top="1" bottom="0.5" header="0.5" footer="0.2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topLeftCell="D7" workbookViewId="0">
      <selection activeCell="O30" sqref="O30"/>
    </sheetView>
  </sheetViews>
  <sheetFormatPr defaultColWidth="8" defaultRowHeight="12.75"/>
  <cols>
    <col min="1" max="1" width="8" style="159" customWidth="1"/>
    <col min="2" max="2" width="1.125" style="159" customWidth="1"/>
    <col min="3" max="3" width="6.75" style="159" bestFit="1" customWidth="1"/>
    <col min="4" max="4" width="0.875" style="150" customWidth="1"/>
    <col min="5" max="5" width="8.875" style="177" bestFit="1" customWidth="1"/>
    <col min="6" max="6" width="1" style="150" customWidth="1"/>
    <col min="7" max="7" width="9" style="177" bestFit="1" customWidth="1"/>
    <col min="8" max="8" width="1.25" style="150" customWidth="1"/>
    <col min="9" max="9" width="7.625" style="150" bestFit="1" customWidth="1"/>
    <col min="10" max="10" width="0.875" style="150" customWidth="1"/>
    <col min="11" max="11" width="5.625" style="150" bestFit="1" customWidth="1"/>
    <col min="12" max="12" width="1.75" style="150" customWidth="1"/>
    <col min="13" max="13" width="8.875" style="177" bestFit="1" customWidth="1"/>
    <col min="14" max="14" width="0.875" style="150" customWidth="1"/>
    <col min="15" max="15" width="9" style="177" bestFit="1" customWidth="1"/>
    <col min="16" max="16" width="0.875" style="150" customWidth="1"/>
    <col min="17" max="17" width="8" style="150" bestFit="1" customWidth="1"/>
    <col min="18" max="18" width="0.75" style="150" customWidth="1"/>
    <col min="19" max="19" width="5.625" style="150" bestFit="1" customWidth="1"/>
    <col min="20" max="20" width="2.5" style="150" customWidth="1"/>
    <col min="21" max="21" width="10.625" style="150" bestFit="1" customWidth="1"/>
    <col min="22" max="22" width="7.125" style="150" bestFit="1" customWidth="1"/>
    <col min="23" max="23" width="11.125" style="150" bestFit="1" customWidth="1"/>
    <col min="24" max="16384" width="8" style="150"/>
  </cols>
  <sheetData>
    <row r="1" spans="1:25" ht="16.5">
      <c r="A1" s="143" t="s">
        <v>1</v>
      </c>
      <c r="B1" s="143"/>
      <c r="C1" s="143"/>
      <c r="D1" s="144"/>
      <c r="E1" s="145"/>
      <c r="F1" s="144"/>
      <c r="G1" s="145"/>
      <c r="H1" s="144"/>
      <c r="I1" s="144"/>
      <c r="J1" s="144"/>
      <c r="K1" s="144"/>
      <c r="L1" s="144"/>
      <c r="M1" s="145"/>
      <c r="N1" s="144"/>
      <c r="O1" s="145"/>
      <c r="P1" s="144"/>
      <c r="Q1" s="144"/>
      <c r="R1" s="144"/>
      <c r="S1" s="144"/>
    </row>
    <row r="2" spans="1:25" ht="16.5">
      <c r="A2" s="143" t="s">
        <v>399</v>
      </c>
      <c r="B2" s="143"/>
      <c r="C2" s="143"/>
      <c r="D2" s="144"/>
      <c r="E2" s="145"/>
      <c r="F2" s="144"/>
      <c r="G2" s="145"/>
      <c r="H2" s="144"/>
      <c r="I2" s="144"/>
      <c r="J2" s="144"/>
      <c r="K2" s="144"/>
      <c r="L2" s="144"/>
      <c r="M2" s="145"/>
      <c r="N2" s="144"/>
      <c r="O2" s="145"/>
      <c r="P2" s="144"/>
      <c r="Q2" s="144"/>
      <c r="R2" s="144"/>
      <c r="S2" s="144"/>
    </row>
    <row r="3" spans="1:25" ht="16.5">
      <c r="A3" s="143" t="s">
        <v>436</v>
      </c>
      <c r="B3" s="143"/>
      <c r="C3" s="143"/>
      <c r="D3" s="144"/>
      <c r="E3" s="145"/>
      <c r="F3" s="144"/>
      <c r="G3" s="145"/>
      <c r="H3" s="144"/>
      <c r="I3" s="144"/>
      <c r="J3" s="144"/>
      <c r="K3" s="144"/>
      <c r="L3" s="144"/>
      <c r="M3" s="145"/>
      <c r="N3" s="144"/>
      <c r="O3" s="145"/>
      <c r="P3" s="144"/>
      <c r="Q3" s="144"/>
      <c r="R3" s="144"/>
      <c r="S3" s="144"/>
    </row>
    <row r="4" spans="1:25" ht="16.5">
      <c r="A4" s="143" t="s">
        <v>437</v>
      </c>
      <c r="B4" s="143"/>
      <c r="C4" s="143"/>
      <c r="D4" s="144"/>
      <c r="E4" s="145"/>
      <c r="F4" s="144"/>
      <c r="G4" s="145"/>
      <c r="H4" s="144"/>
      <c r="I4" s="144"/>
      <c r="J4" s="144"/>
      <c r="K4" s="144"/>
      <c r="L4" s="144"/>
      <c r="M4" s="145"/>
      <c r="N4" s="144"/>
      <c r="O4" s="145"/>
      <c r="P4" s="144"/>
      <c r="Q4" s="144"/>
      <c r="R4" s="144"/>
      <c r="S4" s="144"/>
    </row>
    <row r="5" spans="1:25">
      <c r="A5" s="240"/>
      <c r="B5" s="240"/>
      <c r="C5" s="240"/>
      <c r="D5" s="144"/>
      <c r="E5" s="145"/>
      <c r="F5" s="144"/>
      <c r="G5" s="145"/>
      <c r="H5" s="144"/>
      <c r="J5" s="144"/>
      <c r="L5" s="144"/>
      <c r="M5" s="145"/>
      <c r="N5" s="144"/>
      <c r="O5" s="145"/>
      <c r="P5" s="144"/>
      <c r="R5" s="144"/>
    </row>
    <row r="6" spans="1:25" ht="17.25">
      <c r="A6" s="153"/>
      <c r="B6" s="147"/>
      <c r="C6" s="148"/>
      <c r="D6" s="148"/>
      <c r="E6" s="156"/>
      <c r="F6" s="155"/>
      <c r="G6" s="156"/>
      <c r="H6" s="155"/>
      <c r="I6" s="155"/>
      <c r="J6" s="155"/>
      <c r="K6" s="155"/>
      <c r="L6" s="148"/>
      <c r="M6" s="156"/>
      <c r="N6" s="155"/>
      <c r="O6" s="156"/>
      <c r="P6" s="155"/>
      <c r="Q6" s="155"/>
      <c r="R6" s="155"/>
      <c r="S6" s="155"/>
    </row>
    <row r="7" spans="1:25">
      <c r="E7" s="241"/>
      <c r="F7" s="147"/>
      <c r="G7" s="241"/>
      <c r="H7" s="148"/>
      <c r="I7" s="491"/>
      <c r="J7" s="491"/>
      <c r="K7" s="491"/>
      <c r="L7" s="148"/>
      <c r="M7" s="241"/>
      <c r="N7" s="147"/>
      <c r="O7" s="241"/>
      <c r="P7" s="148"/>
      <c r="Q7" s="491"/>
      <c r="R7" s="491"/>
      <c r="S7" s="491"/>
    </row>
    <row r="8" spans="1:25">
      <c r="E8" s="160" t="s">
        <v>405</v>
      </c>
      <c r="F8" s="169"/>
      <c r="G8" s="162"/>
      <c r="H8" s="161"/>
      <c r="I8" s="170"/>
      <c r="J8" s="161"/>
      <c r="K8" s="161"/>
      <c r="M8" s="160" t="s">
        <v>406</v>
      </c>
      <c r="N8" s="169"/>
      <c r="O8" s="162"/>
      <c r="P8" s="161"/>
      <c r="Q8" s="170"/>
      <c r="R8" s="161"/>
      <c r="S8" s="161"/>
    </row>
    <row r="9" spans="1:25" ht="15.75">
      <c r="A9" s="239" t="s">
        <v>438</v>
      </c>
      <c r="E9" s="162" t="s">
        <v>439</v>
      </c>
      <c r="F9" s="161"/>
      <c r="G9" s="162"/>
      <c r="I9" s="162" t="s">
        <v>17</v>
      </c>
      <c r="J9" s="161"/>
      <c r="K9" s="162"/>
      <c r="M9" s="162" t="s">
        <v>439</v>
      </c>
      <c r="N9" s="161"/>
      <c r="O9" s="162"/>
      <c r="Q9" s="162" t="s">
        <v>17</v>
      </c>
      <c r="R9" s="161"/>
      <c r="S9" s="162"/>
    </row>
    <row r="10" spans="1:25">
      <c r="A10" s="174" t="s">
        <v>440</v>
      </c>
      <c r="B10" s="242"/>
      <c r="C10" s="243" t="s">
        <v>397</v>
      </c>
      <c r="E10" s="166" t="s">
        <v>395</v>
      </c>
      <c r="G10" s="238" t="s">
        <v>6</v>
      </c>
      <c r="I10" s="175" t="s">
        <v>398</v>
      </c>
      <c r="K10" s="174" t="s">
        <v>46</v>
      </c>
      <c r="M10" s="166" t="s">
        <v>395</v>
      </c>
      <c r="O10" s="238" t="s">
        <v>6</v>
      </c>
      <c r="Q10" s="175" t="s">
        <v>398</v>
      </c>
      <c r="S10" s="174" t="s">
        <v>46</v>
      </c>
    </row>
    <row r="11" spans="1:25" ht="18" customHeight="1">
      <c r="A11" s="244" t="s">
        <v>441</v>
      </c>
      <c r="C11" s="159">
        <v>200</v>
      </c>
      <c r="E11" s="177">
        <f>ROUND($V$13+(MIN(1500,$C11)*$V$16/100+MAX(0,$C11-1500)*$V$17/100)*(1+$V$33)*(1+$V$19)+$V$18,2)</f>
        <v>31.23</v>
      </c>
      <c r="G11" s="177">
        <f>ROUND($W$13+(MIN(1500,$C11)*$W$16/100+MAX(0,$C11-1500)*$W$17/100)*(1+$W$33)*(1+$W$19)+$W$18,2)</f>
        <v>33.75</v>
      </c>
      <c r="I11" s="171">
        <f t="shared" ref="I11:I14" si="0">IF(G11="","",G11-E11)</f>
        <v>2.5199999999999996</v>
      </c>
      <c r="K11" s="179">
        <f t="shared" ref="K11:K14" si="1">IF(E11="","",G11/E11-1)</f>
        <v>8.0691642651296913E-2</v>
      </c>
      <c r="M11" s="177">
        <f t="shared" ref="M11:M14" si="2">ROUND($V$21+(MIN(1500,$C11)*$V$24/100+MAX(0,$C11-1500)*$V$25/100)*(1+$V$33)*(1+$V$27)+$V$26,2)</f>
        <v>29.5</v>
      </c>
      <c r="O11" s="177">
        <f t="shared" ref="O11:O14" si="3">ROUND($W$21+(MIN(1500,$C11)*$W$24/100+MAX(0,$C11-1500)*$W$25/100)*(1+$W$33)*(1+$W$27)+$W$26,2)</f>
        <v>31.9</v>
      </c>
      <c r="Q11" s="171">
        <f t="shared" ref="Q11:Q18" si="4">IF(O11="","",O11-M11)</f>
        <v>2.3999999999999986</v>
      </c>
      <c r="S11" s="179">
        <f t="shared" ref="S11:S14" si="5">IF(M11="","",O11/M11-1)</f>
        <v>8.135593220338988E-2</v>
      </c>
      <c r="U11" s="245" t="s">
        <v>442</v>
      </c>
      <c r="V11" s="246" t="s">
        <v>395</v>
      </c>
      <c r="W11" s="247" t="s">
        <v>6</v>
      </c>
      <c r="X11" s="248"/>
    </row>
    <row r="12" spans="1:25" ht="13.5">
      <c r="C12" s="159">
        <v>500</v>
      </c>
      <c r="E12" s="177">
        <f t="shared" ref="E12:E13" si="6">ROUND($V$13+(MIN(1500,$C12)*$V$16/100+MAX(0,$C12-1500)*$V$17/100)*(1+$V$33)*(1+$V$19)+$V$18,2)</f>
        <v>63.9</v>
      </c>
      <c r="G12" s="177">
        <f t="shared" ref="G12:G14" si="7">ROUND($W$13+(MIN(1500,$C12)*$W$16/100+MAX(0,$C12-1500)*$W$17/100)*(1+$W$33)*(1+$W$19)+$W$18,2)</f>
        <v>68.7</v>
      </c>
      <c r="I12" s="171">
        <f t="shared" si="0"/>
        <v>4.8000000000000043</v>
      </c>
      <c r="K12" s="179">
        <f t="shared" si="1"/>
        <v>7.5117370892018753E-2</v>
      </c>
      <c r="M12" s="177">
        <f t="shared" si="2"/>
        <v>59.57</v>
      </c>
      <c r="O12" s="177">
        <f t="shared" si="3"/>
        <v>64.069999999999993</v>
      </c>
      <c r="Q12" s="171">
        <f t="shared" si="4"/>
        <v>4.4999999999999929</v>
      </c>
      <c r="S12" s="179">
        <f t="shared" si="5"/>
        <v>7.5541379889205951E-2</v>
      </c>
      <c r="U12" s="249" t="s">
        <v>405</v>
      </c>
      <c r="V12" s="148"/>
      <c r="W12" s="185"/>
    </row>
    <row r="13" spans="1:25">
      <c r="C13" s="159">
        <v>1000</v>
      </c>
      <c r="E13" s="177">
        <f t="shared" si="6"/>
        <v>118.35</v>
      </c>
      <c r="G13" s="177">
        <f t="shared" si="7"/>
        <v>126.95</v>
      </c>
      <c r="I13" s="171">
        <f t="shared" si="0"/>
        <v>8.6000000000000085</v>
      </c>
      <c r="K13" s="179">
        <f t="shared" si="1"/>
        <v>7.2665821715251377E-2</v>
      </c>
      <c r="M13" s="177">
        <f t="shared" si="2"/>
        <v>109.69</v>
      </c>
      <c r="O13" s="177">
        <f t="shared" si="3"/>
        <v>117.68</v>
      </c>
      <c r="Q13" s="171">
        <f t="shared" si="4"/>
        <v>7.9900000000000091</v>
      </c>
      <c r="S13" s="179">
        <f t="shared" si="5"/>
        <v>7.2841644634880298E-2</v>
      </c>
      <c r="U13" s="186" t="s">
        <v>100</v>
      </c>
      <c r="V13" s="187">
        <f>'Exhibit RMP(WRG-3)'!G538</f>
        <v>9</v>
      </c>
      <c r="W13" s="188">
        <f>'Exhibit RMP(WRG-3)'!M538</f>
        <v>10</v>
      </c>
      <c r="X13" s="187"/>
      <c r="Y13" s="250"/>
    </row>
    <row r="14" spans="1:25">
      <c r="C14" s="159">
        <v>2000</v>
      </c>
      <c r="E14" s="177">
        <f>ROUND($V$13+(MIN(1500,$C14)*$V$16/100+MAX(0,$C14-1500)*$V$17/100)*(1+$V$33)*(1+$V$19)+$V$18,2)</f>
        <v>203.33</v>
      </c>
      <c r="G14" s="177">
        <f t="shared" si="7"/>
        <v>217.86</v>
      </c>
      <c r="I14" s="171">
        <f t="shared" si="0"/>
        <v>14.530000000000001</v>
      </c>
      <c r="K14" s="179">
        <f t="shared" si="1"/>
        <v>7.1460187871932312E-2</v>
      </c>
      <c r="M14" s="177">
        <f t="shared" si="2"/>
        <v>187.89</v>
      </c>
      <c r="O14" s="177">
        <f t="shared" si="3"/>
        <v>201.35</v>
      </c>
      <c r="Q14" s="171">
        <f t="shared" si="4"/>
        <v>13.460000000000008</v>
      </c>
      <c r="S14" s="179">
        <f t="shared" si="5"/>
        <v>7.1637660333173647E-2</v>
      </c>
      <c r="U14" s="186" t="s">
        <v>443</v>
      </c>
      <c r="V14" s="187">
        <f>'Exhibit RMP(WRG-3)'!G539</f>
        <v>8</v>
      </c>
      <c r="W14" s="188">
        <f>'Exhibit RMP(WRG-3)'!M539</f>
        <v>8.5500000000000007</v>
      </c>
      <c r="X14" s="187"/>
      <c r="Y14" s="250"/>
    </row>
    <row r="15" spans="1:25">
      <c r="I15" s="171"/>
      <c r="K15" s="251"/>
      <c r="Q15" s="171" t="str">
        <f t="shared" si="4"/>
        <v/>
      </c>
      <c r="S15" s="251"/>
      <c r="U15" s="186" t="s">
        <v>444</v>
      </c>
      <c r="V15" s="187">
        <f>'Exhibit RMP(WRG-3)'!G541</f>
        <v>-0.45</v>
      </c>
      <c r="W15" s="188">
        <f>'Exhibit RMP(WRG-3)'!M541</f>
        <v>-0.48</v>
      </c>
      <c r="X15" s="187"/>
      <c r="Y15" s="250"/>
    </row>
    <row r="16" spans="1:25">
      <c r="A16" s="159">
        <v>20</v>
      </c>
      <c r="C16" s="159">
        <v>5000</v>
      </c>
      <c r="E16" s="177">
        <f>ROUND($V$13+(($A$16-15)*$V$14+MIN(1500,$C16)*$V$16/100+MAX(0,$C16-1500)*$V$17/100)*(1+$V$33)*(1+$V$19)+$V$18,2)</f>
        <v>426.78</v>
      </c>
      <c r="G16" s="177">
        <f>ROUND($W$13+(($A$16-15)*$W$14+MIN(1500,$C16)*$W$16/100+MAX(0,$C16-1500)*$W$17/100)*(1+$W$33)*(1+$W$19)+$W$18,2)</f>
        <v>456.86</v>
      </c>
      <c r="I16" s="171">
        <f>IF(G16="","",G16-E16)</f>
        <v>30.080000000000041</v>
      </c>
      <c r="K16" s="179">
        <f>IF(E16="","",G16/E16-1)</f>
        <v>7.0481278410422288E-2</v>
      </c>
      <c r="M16" s="177">
        <f>ROUND($V$21+(($A$16-15)*$V$22+MIN(1500,$C16)*$V$24/100+MAX(0,$C16-1500)*$V$25/100)*(1+$V$33)*(1+$V$27)+$V$26,2)</f>
        <v>396.91</v>
      </c>
      <c r="O16" s="177">
        <f>ROUND($W$21+(($A$16-15)*$W$22+MIN(1500,$C16)*$W$24/100+MAX(0,$C16-1500)*$W$25/100)*(1+$W$33)*(1+$W$27)+$W$26,2)</f>
        <v>424.94</v>
      </c>
      <c r="Q16" s="171">
        <f t="shared" si="4"/>
        <v>28.029999999999973</v>
      </c>
      <c r="S16" s="179">
        <f>IF(M16="","",O16/M16-1)</f>
        <v>7.0620543700083083E-2</v>
      </c>
      <c r="U16" s="186" t="s">
        <v>445</v>
      </c>
      <c r="V16" s="252">
        <f>'Exhibit RMP(WRG-3)'!G542</f>
        <v>10.8148</v>
      </c>
      <c r="W16" s="253">
        <f>'Exhibit RMP(WRG-3)'!M542</f>
        <v>11.5695</v>
      </c>
      <c r="X16" s="254"/>
      <c r="Y16" s="250"/>
    </row>
    <row r="17" spans="1:25">
      <c r="A17" s="255"/>
      <c r="B17" s="250"/>
      <c r="C17" s="159">
        <v>7500</v>
      </c>
      <c r="E17" s="177">
        <f>ROUND($V$13+(($A$16-15)*$V$14+MIN(1500,$C17)*$V$16/100+MAX(0,$C17-1500)*$V$17/100)*(1+$V$33)*(1+$V$19)+$V$18,2)</f>
        <v>579.41999999999996</v>
      </c>
      <c r="G17" s="177">
        <f>ROUND($W$13+(($A$16-15)*$W$14+MIN(1500,$C17)*$W$16/100+MAX(0,$C17-1500)*$W$17/100)*(1+$W$33)*(1+$W$19)+$W$18,2)</f>
        <v>620.16</v>
      </c>
      <c r="I17" s="171">
        <f>IF(G17="","",G17-E17)</f>
        <v>40.740000000000009</v>
      </c>
      <c r="K17" s="179">
        <f>IF(E17="","",G17/E17-1)</f>
        <v>7.0311691001346155E-2</v>
      </c>
      <c r="M17" s="177">
        <f>ROUND($V$21+(($A$16-15)*$V$22+MIN(1500,$C17)*$V$24/100+MAX(0,$C17-1500)*$V$25/100)*(1+$V$33)*(1+$V$27)+$V$26,2)</f>
        <v>537.30999999999995</v>
      </c>
      <c r="O17" s="177">
        <f>ROUND($W$21+(($A$16-15)*$W$22+MIN(1500,$C17)*$W$24/100+MAX(0,$C17-1500)*$W$25/100)*(1+$W$33)*(1+$W$27)+$W$26,2)</f>
        <v>575.17999999999995</v>
      </c>
      <c r="Q17" s="171">
        <f t="shared" si="4"/>
        <v>37.870000000000005</v>
      </c>
      <c r="S17" s="179">
        <f>IF(M17="","",O17/M17-1)</f>
        <v>7.0480728071318222E-2</v>
      </c>
      <c r="U17" s="186" t="s">
        <v>446</v>
      </c>
      <c r="V17" s="252">
        <f>'Exhibit RMP(WRG-3)'!G543</f>
        <v>6.0632000000000001</v>
      </c>
      <c r="W17" s="253">
        <f>'Exhibit RMP(WRG-3)'!M543</f>
        <v>6.4863</v>
      </c>
      <c r="X17" s="254"/>
      <c r="Y17" s="250"/>
    </row>
    <row r="18" spans="1:25">
      <c r="A18" s="255"/>
      <c r="B18" s="250"/>
      <c r="C18" s="159">
        <v>10000</v>
      </c>
      <c r="E18" s="177">
        <f>ROUND($V$13+(($A$16-15)*$V$14+MIN(1500,$C18)*$V$16/100+MAX(0,$C18-1500)*$V$17/100)*(1+$V$33)*(1+$V$19)+$V$18,2)</f>
        <v>732.06</v>
      </c>
      <c r="G18" s="177">
        <f>ROUND($W$13+(($A$16-15)*$W$14+MIN(1500,$C18)*$W$16/100+MAX(0,$C18-1500)*$W$17/100)*(1+$W$33)*(1+$W$19)+$W$18,2)</f>
        <v>783.45</v>
      </c>
      <c r="I18" s="171">
        <f>IF(G18="","",G18-E18)</f>
        <v>51.3900000000001</v>
      </c>
      <c r="K18" s="179">
        <f>IF(E18="","",G18/E18-1)</f>
        <v>7.0199164002950676E-2</v>
      </c>
      <c r="M18" s="177">
        <f>ROUND($V$21+(($A$16-15)*$V$22+MIN(1500,$C18)*$V$24/100+MAX(0,$C18-1500)*$V$25/100)*(1+$V$33)*(1+$V$27)+$V$26,2)</f>
        <v>677.72</v>
      </c>
      <c r="O18" s="177">
        <f>ROUND($W$21+(($A$16-15)*$W$22+MIN(1500,$C18)*$W$24/100+MAX(0,$C18-1500)*$W$25/100)*(1+$W$33)*(1+$W$27)+$W$26,2)</f>
        <v>725.42</v>
      </c>
      <c r="Q18" s="171">
        <f t="shared" si="4"/>
        <v>47.699999999999932</v>
      </c>
      <c r="S18" s="179">
        <f>IF(M18="","",O18/M18-1)</f>
        <v>7.0383049046803814E-2</v>
      </c>
      <c r="U18" s="186" t="s">
        <v>447</v>
      </c>
      <c r="V18" s="187">
        <v>0.45</v>
      </c>
      <c r="W18" s="256">
        <f>V18</f>
        <v>0.45</v>
      </c>
      <c r="X18" s="187"/>
      <c r="Y18" s="250"/>
    </row>
    <row r="19" spans="1:25">
      <c r="A19" s="250"/>
      <c r="B19" s="250"/>
      <c r="C19" s="250"/>
      <c r="I19" s="171"/>
      <c r="K19" s="179"/>
      <c r="Q19" s="171"/>
      <c r="S19" s="183"/>
      <c r="U19" s="186" t="s">
        <v>417</v>
      </c>
      <c r="V19" s="257">
        <v>3.4299999999999997E-2</v>
      </c>
      <c r="W19" s="258">
        <f>V19</f>
        <v>3.4299999999999997E-2</v>
      </c>
      <c r="X19" s="257"/>
      <c r="Y19" s="250"/>
    </row>
    <row r="20" spans="1:25" ht="13.5">
      <c r="A20" s="159">
        <v>25</v>
      </c>
      <c r="C20" s="159">
        <v>7500</v>
      </c>
      <c r="D20" s="259"/>
      <c r="E20" s="177">
        <f>ROUND($V$13+(($A$20-15)*$V$14+MIN(1500,$C20)*$V$16/100+MAX(0,$C20-1500)*$V$17/100)*(1+$V$33)*(1+$V$19)+$V$18,2)</f>
        <v>619.70000000000005</v>
      </c>
      <c r="G20" s="177">
        <f>ROUND($W$13+(($A$20-15)*$W$14+MIN(1500,$C20)*$W$16/100+MAX(0,$C20-1500)*$W$17/100)*(1+$W$33)*(1+$W$19)+$W$18,2)</f>
        <v>663.2</v>
      </c>
      <c r="I20" s="171">
        <f>IF(G20="","",G20-E20)</f>
        <v>43.5</v>
      </c>
      <c r="K20" s="179">
        <f>IF(E20="","",G20/E20-1)</f>
        <v>7.0195255768920495E-2</v>
      </c>
      <c r="L20" s="259">
        <f>C20/A20/730</f>
        <v>0.41095890410958902</v>
      </c>
      <c r="M20" s="177">
        <f>ROUND($V$21+(($A$20-15)*$V$22+MIN(1500,$C20)*$V$24/100+MAX(0,$C20-1500)*$V$25/100)*(1+$V$33)*(1+$V$27)+$V$26,2)</f>
        <v>577.85</v>
      </c>
      <c r="O20" s="177">
        <f>ROUND($W$21+(($A$20-15)*$W$22+MIN(1500,$C20)*$W$24/100+MAX(0,$C20-1500)*$W$25/100)*(1+$W$33)*(1+$W$27)+$W$26,2)</f>
        <v>618.48</v>
      </c>
      <c r="Q20" s="171">
        <f>IF(O20="","",O20-M20)</f>
        <v>40.629999999999995</v>
      </c>
      <c r="S20" s="179">
        <f>IF(M20="","",O20/M20-1)</f>
        <v>7.0312364800553695E-2</v>
      </c>
      <c r="U20" s="249" t="s">
        <v>406</v>
      </c>
      <c r="V20" s="148"/>
      <c r="W20" s="185"/>
    </row>
    <row r="21" spans="1:25">
      <c r="A21" s="255"/>
      <c r="C21" s="159">
        <v>10000</v>
      </c>
      <c r="D21" s="259"/>
      <c r="E21" s="177">
        <f>ROUND($V$13+(($A$20-15)*$V$14+MIN(1500,$C21)*$V$16/100+MAX(0,$C21-1500)*$V$17/100)*(1+$V$33)*(1+$V$19)+$V$18,2)</f>
        <v>772.34</v>
      </c>
      <c r="G21" s="177">
        <f>ROUND($W$13+(($A$20-15)*$W$14+MIN(1500,$C21)*$W$16/100+MAX(0,$C21-1500)*$W$17/100)*(1+$W$33)*(1+$W$19)+$W$18,2)</f>
        <v>826.5</v>
      </c>
      <c r="I21" s="171">
        <f>IF(G21="","",G21-E21)</f>
        <v>54.159999999999968</v>
      </c>
      <c r="K21" s="179">
        <f>IF(E21="","",G21/E21-1)</f>
        <v>7.0124556542455307E-2</v>
      </c>
      <c r="L21" s="259">
        <f>C21/A20/730</f>
        <v>0.54794520547945202</v>
      </c>
      <c r="M21" s="177">
        <f>ROUND($V$21+(($A$20-15)*$V$22+MIN(1500,$C21)*$V$24/100+MAX(0,$C21-1500)*$V$25/100)*(1+$V$33)*(1+$V$27)+$V$26,2)</f>
        <v>718.25</v>
      </c>
      <c r="O21" s="177">
        <f>ROUND($W$21+(($A$20-15)*$W$22+MIN(1500,$C21)*$W$24/100+MAX(0,$C21-1500)*$W$25/100)*(1+$W$33)*(1+$W$27)+$W$26,2)</f>
        <v>768.72</v>
      </c>
      <c r="Q21" s="171">
        <f>IF(O21="","",O21-M21)</f>
        <v>50.470000000000027</v>
      </c>
      <c r="S21" s="179">
        <f>IF(M21="","",O21/M21-1)</f>
        <v>7.0268012530456003E-2</v>
      </c>
      <c r="U21" s="186" t="s">
        <v>100</v>
      </c>
      <c r="V21" s="194">
        <f>V13</f>
        <v>9</v>
      </c>
      <c r="W21" s="195">
        <f>W13</f>
        <v>10</v>
      </c>
      <c r="X21" s="187"/>
    </row>
    <row r="22" spans="1:25">
      <c r="A22" s="255"/>
      <c r="C22" s="159">
        <v>12500</v>
      </c>
      <c r="D22" s="259"/>
      <c r="E22" s="177">
        <f>ROUND($V$13+(($A$20-15)*$V$14+MIN(1500,$C22)*$V$16/100+MAX(0,$C22-1500)*$V$17/100)*(1+$V$33)*(1+$V$19)+$V$18,2)</f>
        <v>924.98</v>
      </c>
      <c r="G22" s="177">
        <f>ROUND($W$13+(($A$20-15)*$W$14+MIN(1500,$C22)*$W$16/100+MAX(0,$C22-1500)*$W$17/100)*(1+$W$33)*(1+$W$19)+$W$18,2)</f>
        <v>989.79</v>
      </c>
      <c r="I22" s="171">
        <f>IF(G22="","",G22-E22)</f>
        <v>64.809999999999945</v>
      </c>
      <c r="K22" s="179">
        <f>IF(E22="","",G22/E22-1)</f>
        <v>7.006637981361763E-2</v>
      </c>
      <c r="L22" s="259">
        <f>C22/A20/730</f>
        <v>0.68493150684931503</v>
      </c>
      <c r="M22" s="177">
        <f>ROUND($V$21+(($A$20-15)*$V$22+MIN(1500,$C22)*$V$24/100+MAX(0,$C22-1500)*$V$25/100)*(1+$V$33)*(1+$V$27)+$V$26,2)</f>
        <v>858.66</v>
      </c>
      <c r="O22" s="177">
        <f>ROUND($W$21+(($A$20-15)*$W$22+MIN(1500,$C22)*$W$24/100+MAX(0,$C22-1500)*$W$25/100)*(1+$W$33)*(1+$W$27)+$W$26,2)</f>
        <v>918.96</v>
      </c>
      <c r="Q22" s="171">
        <f>IF(O22="","",O22-M22)</f>
        <v>60.300000000000068</v>
      </c>
      <c r="S22" s="179">
        <f>IF(M22="","",O22/M22-1)</f>
        <v>7.0225700510097244E-2</v>
      </c>
      <c r="U22" s="186" t="s">
        <v>443</v>
      </c>
      <c r="V22" s="187">
        <f>'Exhibit RMP(WRG-3)'!G540</f>
        <v>8.0500000000000007</v>
      </c>
      <c r="W22" s="188">
        <f>'Exhibit RMP(WRG-3)'!M540</f>
        <v>8.6</v>
      </c>
      <c r="X22" s="187"/>
    </row>
    <row r="23" spans="1:25">
      <c r="D23" s="259"/>
      <c r="I23" s="171"/>
      <c r="K23" s="179"/>
      <c r="L23" s="259"/>
      <c r="Q23" s="171"/>
      <c r="S23" s="179"/>
      <c r="U23" s="186" t="s">
        <v>444</v>
      </c>
      <c r="V23" s="194">
        <f>V15</f>
        <v>-0.45</v>
      </c>
      <c r="W23" s="195">
        <f>W15</f>
        <v>-0.48</v>
      </c>
      <c r="X23" s="187"/>
    </row>
    <row r="24" spans="1:25">
      <c r="A24" s="159">
        <v>30</v>
      </c>
      <c r="C24" s="159">
        <v>10000</v>
      </c>
      <c r="D24" s="259"/>
      <c r="E24" s="177">
        <f>ROUND($V$13+(($A$24-15)*$V$14+MIN(1500,$C24)*$V$16/100+MAX(0,$C24-1500)*$V$17/100)*(1+$V$33)*(1+$V$19)+$V$18,2)</f>
        <v>812.62</v>
      </c>
      <c r="G24" s="177">
        <f>ROUND($W$13+(($A$24-15)*$W$14+MIN(1500,$C24)*$W$16/100+MAX(0,$C24-1500)*$W$17/100)*(1+$W$33)*(1+$W$19)+$W$18,2)</f>
        <v>869.55</v>
      </c>
      <c r="I24" s="171">
        <f>IF(G24="","",G24-E24)</f>
        <v>56.92999999999995</v>
      </c>
      <c r="K24" s="179">
        <f>IF(E24="","",G24/E24-1)</f>
        <v>7.0057345376682845E-2</v>
      </c>
      <c r="L24" s="259">
        <f>C24/A24/730</f>
        <v>0.45662100456621002</v>
      </c>
      <c r="M24" s="177">
        <f>ROUND($V$21+(($A$24-15)*$V$22+MIN(1500,$C24)*$V$24/100+MAX(0,$C24-1500)*$V$25/100)*(1+$V$33)*(1+$V$27)+$V$26,2)</f>
        <v>758.78</v>
      </c>
      <c r="O24" s="177">
        <f>ROUND($W$21+(($A$24-15)*$W$22+MIN(1500,$C24)*$W$24/100+MAX(0,$C24-1500)*$W$25/100)*(1+$W$33)*(1+$W$27)+$W$26,2)</f>
        <v>812.02</v>
      </c>
      <c r="Q24" s="171">
        <f>IF(O24="","",O24-M24)</f>
        <v>53.240000000000009</v>
      </c>
      <c r="S24" s="179">
        <f>IF(M24="","",O24/M24-1)</f>
        <v>7.0165265294288126E-2</v>
      </c>
      <c r="U24" s="186" t="s">
        <v>445</v>
      </c>
      <c r="V24" s="252">
        <f>'Exhibit RMP(WRG-3)'!G544</f>
        <v>9.9543999999999997</v>
      </c>
      <c r="W24" s="253">
        <f>'Exhibit RMP(WRG-3)'!M544</f>
        <v>10.648999999999999</v>
      </c>
      <c r="X24" s="254"/>
    </row>
    <row r="25" spans="1:25">
      <c r="A25" s="255"/>
      <c r="B25" s="250"/>
      <c r="C25" s="159">
        <v>12500</v>
      </c>
      <c r="D25" s="259"/>
      <c r="E25" s="177">
        <f>ROUND($V$13+(($A$24-15)*$V$14+MIN(1500,$C25)*$V$16/100+MAX(0,$C25-1500)*$V$17/100)*(1+$V$33)*(1+$V$19)+$V$18,2)</f>
        <v>965.26</v>
      </c>
      <c r="G25" s="177">
        <f>ROUND($W$13+(($A$24-15)*$W$14+MIN(1500,$C25)*$W$16/100+MAX(0,$C25-1500)*$W$17/100)*(1+$W$33)*(1+$W$19)+$W$18,2)</f>
        <v>1032.8399999999999</v>
      </c>
      <c r="I25" s="171">
        <f>IF(G25="","",G25-E25)</f>
        <v>67.579999999999927</v>
      </c>
      <c r="K25" s="179">
        <f>IF(E25="","",G25/E25-1)</f>
        <v>7.0012224685576774E-2</v>
      </c>
      <c r="L25" s="259">
        <f>C25/A24/730</f>
        <v>0.57077625570776258</v>
      </c>
      <c r="M25" s="177">
        <f>ROUND($V$21+(($A$24-15)*$V$22+MIN(1500,$C25)*$V$24/100+MAX(0,$C25-1500)*$V$25/100)*(1+$V$33)*(1+$V$27)+$V$26,2)</f>
        <v>899.19</v>
      </c>
      <c r="O25" s="177">
        <f>ROUND($W$21+(($A$24-15)*$W$22+MIN(1500,$C25)*$W$24/100+MAX(0,$C25-1500)*$W$25/100)*(1+$W$33)*(1+$W$27)+$W$26,2)</f>
        <v>962.27</v>
      </c>
      <c r="Q25" s="171">
        <f>IF(O25="","",O25-M25)</f>
        <v>63.079999999999927</v>
      </c>
      <c r="S25" s="179">
        <f>IF(M25="","",O25/M25-1)</f>
        <v>7.0152025712029609E-2</v>
      </c>
      <c r="U25" s="186" t="s">
        <v>446</v>
      </c>
      <c r="V25" s="252">
        <f>'Exhibit RMP(WRG-3)'!G545</f>
        <v>5.5771999999999995</v>
      </c>
      <c r="W25" s="253">
        <f>'Exhibit RMP(WRG-3)'!M545</f>
        <v>5.9679000000000002</v>
      </c>
      <c r="X25" s="254"/>
    </row>
    <row r="26" spans="1:25">
      <c r="A26" s="255"/>
      <c r="B26" s="250"/>
      <c r="C26" s="159">
        <v>15000</v>
      </c>
      <c r="D26" s="259"/>
      <c r="E26" s="177">
        <f>ROUND($V$13+(($A$24-15)*$V$14+MIN(1500,$C26)*$V$16/100+MAX(0,$C26-1500)*$V$17/100)*(1+$V$33)*(1+$V$19)+$V$18,2)</f>
        <v>1117.9000000000001</v>
      </c>
      <c r="G26" s="177">
        <f>ROUND($W$13+(($A$24-15)*$W$14+MIN(1500,$C26)*$W$16/100+MAX(0,$C26-1500)*$W$17/100)*(1+$W$33)*(1+$W$19)+$W$18,2)</f>
        <v>1196.1300000000001</v>
      </c>
      <c r="I26" s="171">
        <f>IF(G26="","",G26-E26)</f>
        <v>78.230000000000018</v>
      </c>
      <c r="K26" s="179">
        <f>IF(E26="","",G26/E26-1)</f>
        <v>6.9979425708918575E-2</v>
      </c>
      <c r="L26" s="259">
        <f>C26/A24/730</f>
        <v>0.68493150684931503</v>
      </c>
      <c r="M26" s="177">
        <f>ROUND($V$21+(($A$24-15)*$V$22+MIN(1500,$C26)*$V$24/100+MAX(0,$C26-1500)*$V$25/100)*(1+$V$33)*(1+$V$27)+$V$26,2)</f>
        <v>1039.5899999999999</v>
      </c>
      <c r="O26" s="177">
        <f>ROUND($W$21+(($A$24-15)*$W$22+MIN(1500,$C26)*$W$24/100+MAX(0,$C26-1500)*$W$25/100)*(1+$W$33)*(1+$W$27)+$W$26,2)</f>
        <v>1112.51</v>
      </c>
      <c r="Q26" s="171">
        <f>IF(O26="","",O26-M26)</f>
        <v>72.920000000000073</v>
      </c>
      <c r="S26" s="179">
        <f>IF(M26="","",O26/M26-1)</f>
        <v>7.0143037158880039E-2</v>
      </c>
      <c r="U26" s="186" t="s">
        <v>447</v>
      </c>
      <c r="V26" s="194">
        <f>V18</f>
        <v>0.45</v>
      </c>
      <c r="W26" s="195">
        <f>W18</f>
        <v>0.45</v>
      </c>
      <c r="X26" s="187"/>
    </row>
    <row r="27" spans="1:25">
      <c r="A27" s="250"/>
      <c r="B27" s="250"/>
      <c r="C27" s="250"/>
      <c r="D27" s="259"/>
      <c r="I27" s="171"/>
      <c r="K27" s="251"/>
      <c r="L27" s="259"/>
      <c r="Q27" s="171"/>
      <c r="S27" s="251"/>
      <c r="U27" s="198" t="s">
        <v>417</v>
      </c>
      <c r="V27" s="260">
        <f>V19</f>
        <v>3.4299999999999997E-2</v>
      </c>
      <c r="W27" s="261">
        <f>W19</f>
        <v>3.4299999999999997E-2</v>
      </c>
      <c r="X27" s="257"/>
    </row>
    <row r="28" spans="1:25" ht="15.75">
      <c r="A28" s="205" t="s">
        <v>448</v>
      </c>
      <c r="D28" s="259"/>
      <c r="I28" s="171"/>
      <c r="K28" s="251"/>
      <c r="L28" s="259"/>
      <c r="Q28" s="171"/>
      <c r="S28" s="251"/>
    </row>
    <row r="29" spans="1:25" ht="15.75">
      <c r="A29" s="205"/>
      <c r="I29" s="171"/>
      <c r="K29" s="251"/>
      <c r="Q29" s="171"/>
      <c r="S29" s="251"/>
      <c r="U29" s="150" t="s">
        <v>419</v>
      </c>
      <c r="W29" s="202">
        <f>'SJB-2'!Q32</f>
        <v>7.2449910299173359E-2</v>
      </c>
    </row>
    <row r="30" spans="1:25">
      <c r="I30" s="171"/>
      <c r="K30" s="251"/>
      <c r="Q30" s="171"/>
      <c r="S30" s="251"/>
      <c r="U30" s="150" t="s">
        <v>420</v>
      </c>
      <c r="V30" s="201"/>
      <c r="X30" s="202"/>
    </row>
    <row r="31" spans="1:25">
      <c r="I31" s="171"/>
      <c r="K31" s="251"/>
      <c r="Q31" s="171"/>
      <c r="S31" s="251"/>
      <c r="U31" s="150" t="s">
        <v>421</v>
      </c>
      <c r="V31" s="201"/>
      <c r="W31" s="202"/>
    </row>
    <row r="32" spans="1:25">
      <c r="I32" s="171"/>
      <c r="K32" s="179"/>
      <c r="M32" s="179"/>
      <c r="O32" s="179"/>
      <c r="Q32" s="189"/>
      <c r="S32" s="251"/>
      <c r="U32" s="150" t="s">
        <v>422</v>
      </c>
      <c r="V32" s="201">
        <v>-2.64E-2</v>
      </c>
      <c r="W32" s="202">
        <f>V32</f>
        <v>-2.64E-2</v>
      </c>
    </row>
    <row r="33" spans="11:23">
      <c r="K33" s="179"/>
      <c r="M33" s="179"/>
      <c r="O33" s="179"/>
      <c r="Q33" s="189"/>
      <c r="U33" s="148" t="s">
        <v>423</v>
      </c>
      <c r="V33" s="201">
        <f>SUM(V30:V32)</f>
        <v>-2.64E-2</v>
      </c>
      <c r="W33" s="202">
        <f>SUM(W30:W32)</f>
        <v>-2.64E-2</v>
      </c>
    </row>
    <row r="34" spans="11:23">
      <c r="K34" s="179"/>
      <c r="M34" s="179"/>
      <c r="O34" s="179"/>
      <c r="Q34" s="189"/>
    </row>
    <row r="35" spans="11:23">
      <c r="K35" s="179"/>
      <c r="M35" s="179"/>
      <c r="O35" s="179"/>
      <c r="Q35" s="189"/>
    </row>
    <row r="36" spans="11:23">
      <c r="K36" s="179"/>
      <c r="M36" s="179"/>
      <c r="O36" s="179"/>
      <c r="Q36" s="189"/>
    </row>
    <row r="37" spans="11:23">
      <c r="K37" s="179"/>
      <c r="M37" s="179"/>
      <c r="O37" s="179"/>
      <c r="Q37" s="189"/>
    </row>
    <row r="38" spans="11:23">
      <c r="K38" s="251"/>
      <c r="M38" s="179"/>
      <c r="O38" s="251"/>
      <c r="Q38" s="189"/>
    </row>
    <row r="39" spans="11:23">
      <c r="K39" s="179"/>
      <c r="M39" s="179"/>
      <c r="O39" s="179"/>
      <c r="Q39" s="189"/>
    </row>
    <row r="40" spans="11:23">
      <c r="K40" s="179"/>
      <c r="M40" s="179"/>
      <c r="O40" s="179"/>
      <c r="Q40" s="189"/>
    </row>
    <row r="41" spans="11:23">
      <c r="K41" s="179"/>
      <c r="M41" s="179"/>
      <c r="O41" s="179"/>
      <c r="Q41" s="189"/>
    </row>
    <row r="42" spans="11:23">
      <c r="K42" s="179"/>
      <c r="M42" s="179"/>
      <c r="O42" s="179"/>
      <c r="Q42" s="189"/>
    </row>
    <row r="43" spans="11:23">
      <c r="K43" s="179"/>
      <c r="M43" s="179"/>
      <c r="O43" s="179"/>
      <c r="Q43" s="189"/>
    </row>
    <row r="44" spans="11:23">
      <c r="K44" s="179"/>
      <c r="M44" s="179"/>
      <c r="O44" s="179"/>
      <c r="Q44" s="189"/>
    </row>
    <row r="45" spans="11:23">
      <c r="K45" s="179"/>
      <c r="M45" s="179"/>
      <c r="O45" s="179"/>
      <c r="Q45" s="189"/>
    </row>
    <row r="46" spans="11:23">
      <c r="K46" s="179"/>
      <c r="M46" s="179"/>
      <c r="O46" s="179"/>
      <c r="Q46" s="189"/>
    </row>
    <row r="47" spans="11:23">
      <c r="K47" s="179"/>
      <c r="M47" s="179"/>
      <c r="O47" s="179"/>
      <c r="Q47" s="189"/>
    </row>
    <row r="48" spans="11:23">
      <c r="K48" s="179"/>
      <c r="M48" s="179"/>
      <c r="O48" s="179"/>
      <c r="Q48" s="189"/>
    </row>
    <row r="49" spans="11:17">
      <c r="K49" s="179"/>
      <c r="M49" s="179"/>
      <c r="O49" s="179"/>
      <c r="Q49" s="189"/>
    </row>
  </sheetData>
  <mergeCells count="2">
    <mergeCell ref="I7:K7"/>
    <mergeCell ref="Q7:S7"/>
  </mergeCells>
  <printOptions horizontalCentered="1"/>
  <pageMargins left="0.75" right="0.75" top="1" bottom="0.5" header="0.5" footer="0.25"/>
  <pageSetup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opLeftCell="D1" workbookViewId="0">
      <selection activeCell="O6" sqref="O6"/>
    </sheetView>
  </sheetViews>
  <sheetFormatPr defaultColWidth="8" defaultRowHeight="12.75"/>
  <cols>
    <col min="1" max="1" width="8" style="159" customWidth="1"/>
    <col min="2" max="2" width="2.125" style="159" customWidth="1"/>
    <col min="3" max="3" width="9.625" style="159" bestFit="1" customWidth="1"/>
    <col min="4" max="4" width="1.875" style="150" customWidth="1"/>
    <col min="5" max="5" width="9.25" style="177" bestFit="1" customWidth="1"/>
    <col min="6" max="6" width="1" style="150" customWidth="1"/>
    <col min="7" max="7" width="9.25" style="177" bestFit="1" customWidth="1"/>
    <col min="8" max="8" width="0.875" style="150" customWidth="1"/>
    <col min="9" max="9" width="8.125" style="150" bestFit="1" customWidth="1"/>
    <col min="10" max="10" width="1.125" style="150" customWidth="1"/>
    <col min="11" max="11" width="5.5" style="150" bestFit="1" customWidth="1"/>
    <col min="12" max="12" width="1.5" style="150" customWidth="1"/>
    <col min="13" max="13" width="8.375" style="177" bestFit="1" customWidth="1"/>
    <col min="14" max="14" width="0.625" style="150" customWidth="1"/>
    <col min="15" max="15" width="9" style="177" bestFit="1" customWidth="1"/>
    <col min="16" max="16" width="0.75" style="150" customWidth="1"/>
    <col min="17" max="17" width="8" style="150" bestFit="1" customWidth="1"/>
    <col min="18" max="18" width="0.625" style="150" customWidth="1"/>
    <col min="19" max="19" width="5.5" style="150" bestFit="1" customWidth="1"/>
    <col min="20" max="20" width="3.375" style="150" customWidth="1"/>
    <col min="21" max="21" width="10.375" style="150" customWidth="1"/>
    <col min="22" max="22" width="8.375" style="150" bestFit="1" customWidth="1"/>
    <col min="23" max="23" width="10" style="150" bestFit="1" customWidth="1"/>
    <col min="24" max="16384" width="8" style="150"/>
  </cols>
  <sheetData>
    <row r="1" spans="1:24" ht="16.5">
      <c r="A1" s="143" t="s">
        <v>1</v>
      </c>
      <c r="B1" s="143"/>
      <c r="C1" s="143"/>
      <c r="D1" s="144"/>
      <c r="E1" s="145"/>
      <c r="F1" s="144"/>
      <c r="G1" s="145"/>
      <c r="H1" s="144"/>
      <c r="I1" s="144"/>
      <c r="J1" s="144"/>
      <c r="K1" s="144"/>
      <c r="L1" s="144"/>
      <c r="M1" s="145"/>
      <c r="N1" s="144"/>
      <c r="O1" s="145"/>
      <c r="P1" s="144"/>
      <c r="Q1" s="144"/>
      <c r="R1" s="144"/>
      <c r="S1" s="144"/>
    </row>
    <row r="2" spans="1:24" ht="16.5">
      <c r="A2" s="143" t="s">
        <v>399</v>
      </c>
      <c r="B2" s="143"/>
      <c r="C2" s="143"/>
      <c r="D2" s="144"/>
      <c r="E2" s="145"/>
      <c r="F2" s="144"/>
      <c r="G2" s="145"/>
      <c r="H2" s="144"/>
      <c r="I2" s="144"/>
      <c r="J2" s="144"/>
      <c r="K2" s="144"/>
      <c r="L2" s="144"/>
      <c r="M2" s="145"/>
      <c r="N2" s="144"/>
      <c r="O2" s="145"/>
      <c r="P2" s="144"/>
      <c r="Q2" s="144"/>
      <c r="R2" s="144"/>
      <c r="S2" s="144"/>
    </row>
    <row r="3" spans="1:24" ht="16.5">
      <c r="A3" s="143" t="s">
        <v>449</v>
      </c>
      <c r="B3" s="143"/>
      <c r="C3" s="143"/>
      <c r="D3" s="144"/>
      <c r="E3" s="145"/>
      <c r="F3" s="144"/>
      <c r="G3" s="145"/>
      <c r="H3" s="144"/>
      <c r="I3" s="144"/>
      <c r="J3" s="144"/>
      <c r="K3" s="144"/>
      <c r="L3" s="144"/>
      <c r="M3" s="145"/>
      <c r="N3" s="144"/>
      <c r="O3" s="145"/>
      <c r="P3" s="144"/>
      <c r="Q3" s="144"/>
      <c r="R3" s="144"/>
      <c r="S3" s="144"/>
    </row>
    <row r="4" spans="1:24" ht="16.5">
      <c r="A4" s="143" t="s">
        <v>437</v>
      </c>
      <c r="B4" s="143"/>
      <c r="C4" s="143"/>
      <c r="D4" s="144"/>
      <c r="E4" s="145"/>
      <c r="F4" s="144"/>
      <c r="G4" s="145"/>
      <c r="H4" s="144"/>
      <c r="I4" s="144"/>
      <c r="J4" s="144"/>
      <c r="K4" s="144"/>
      <c r="L4" s="144"/>
      <c r="M4" s="145"/>
      <c r="N4" s="144"/>
      <c r="O4" s="145"/>
      <c r="P4" s="144"/>
      <c r="Q4" s="144"/>
      <c r="R4" s="144"/>
      <c r="S4" s="144"/>
    </row>
    <row r="5" spans="1:24" ht="16.5">
      <c r="A5" s="262"/>
      <c r="B5" s="263"/>
      <c r="C5" s="263"/>
      <c r="D5" s="264"/>
      <c r="E5" s="265"/>
      <c r="F5" s="264"/>
      <c r="G5" s="265"/>
      <c r="H5" s="264"/>
      <c r="I5" s="264"/>
      <c r="J5" s="264"/>
      <c r="K5" s="264"/>
      <c r="L5" s="264"/>
      <c r="M5" s="265"/>
      <c r="N5" s="264"/>
      <c r="O5" s="265"/>
      <c r="P5" s="264"/>
      <c r="Q5" s="264"/>
      <c r="R5" s="264"/>
      <c r="S5" s="264"/>
    </row>
    <row r="6" spans="1:24" ht="17.25">
      <c r="A6" s="153"/>
      <c r="B6" s="147"/>
      <c r="C6" s="147"/>
      <c r="D6" s="147"/>
      <c r="E6" s="156"/>
      <c r="F6" s="155"/>
      <c r="G6" s="156"/>
      <c r="H6" s="155"/>
      <c r="I6" s="155"/>
      <c r="J6" s="155"/>
      <c r="K6" s="155"/>
      <c r="L6" s="147"/>
      <c r="M6" s="156"/>
      <c r="N6" s="155"/>
      <c r="O6" s="156"/>
      <c r="P6" s="155"/>
      <c r="Q6" s="155"/>
      <c r="R6" s="155"/>
      <c r="S6" s="155"/>
    </row>
    <row r="7" spans="1:24">
      <c r="E7" s="241"/>
      <c r="F7" s="148"/>
      <c r="G7" s="241"/>
      <c r="H7" s="148"/>
      <c r="I7" s="266"/>
      <c r="J7" s="148"/>
      <c r="K7" s="266"/>
      <c r="L7" s="148"/>
      <c r="M7" s="241"/>
      <c r="N7" s="148"/>
      <c r="O7" s="241"/>
      <c r="P7" s="148"/>
      <c r="Q7" s="266"/>
      <c r="R7" s="148"/>
      <c r="S7" s="266"/>
    </row>
    <row r="8" spans="1:24">
      <c r="E8" s="160" t="s">
        <v>405</v>
      </c>
      <c r="F8" s="169"/>
      <c r="G8" s="162"/>
      <c r="H8" s="161"/>
      <c r="I8" s="170"/>
      <c r="J8" s="161"/>
      <c r="K8" s="161"/>
      <c r="M8" s="160" t="s">
        <v>406</v>
      </c>
      <c r="N8" s="169"/>
      <c r="O8" s="162"/>
      <c r="P8" s="161"/>
      <c r="Q8" s="170"/>
      <c r="R8" s="161"/>
      <c r="S8" s="161"/>
      <c r="U8" s="245" t="s">
        <v>450</v>
      </c>
      <c r="V8" s="246" t="s">
        <v>395</v>
      </c>
      <c r="W8" s="247" t="s">
        <v>6</v>
      </c>
    </row>
    <row r="9" spans="1:24" ht="16.5">
      <c r="A9" s="239" t="s">
        <v>438</v>
      </c>
      <c r="E9" s="162" t="s">
        <v>439</v>
      </c>
      <c r="F9" s="161"/>
      <c r="G9" s="162"/>
      <c r="I9" s="162" t="s">
        <v>17</v>
      </c>
      <c r="J9" s="161"/>
      <c r="K9" s="162"/>
      <c r="M9" s="162" t="s">
        <v>439</v>
      </c>
      <c r="N9" s="161"/>
      <c r="O9" s="162"/>
      <c r="Q9" s="162" t="s">
        <v>17</v>
      </c>
      <c r="R9" s="161"/>
      <c r="S9" s="162"/>
      <c r="U9" s="249" t="s">
        <v>405</v>
      </c>
      <c r="V9" s="148"/>
      <c r="W9" s="185"/>
    </row>
    <row r="10" spans="1:24">
      <c r="A10" s="174" t="s">
        <v>440</v>
      </c>
      <c r="B10" s="242"/>
      <c r="C10" s="243" t="s">
        <v>397</v>
      </c>
      <c r="E10" s="166" t="s">
        <v>395</v>
      </c>
      <c r="G10" s="238" t="s">
        <v>6</v>
      </c>
      <c r="I10" s="175" t="s">
        <v>398</v>
      </c>
      <c r="K10" s="174" t="s">
        <v>46</v>
      </c>
      <c r="M10" s="166" t="s">
        <v>395</v>
      </c>
      <c r="O10" s="238" t="s">
        <v>6</v>
      </c>
      <c r="Q10" s="175" t="s">
        <v>398</v>
      </c>
      <c r="S10" s="174" t="s">
        <v>46</v>
      </c>
      <c r="U10" s="186" t="s">
        <v>100</v>
      </c>
      <c r="V10" s="187">
        <f>'Exhibit RMP(WRG-3)'!G64</f>
        <v>50</v>
      </c>
      <c r="W10" s="188">
        <f>'Exhibit RMP(WRG-3)'!M64</f>
        <v>54</v>
      </c>
      <c r="X10" s="187"/>
    </row>
    <row r="11" spans="1:24" ht="18.75" customHeight="1">
      <c r="A11" s="159">
        <v>50</v>
      </c>
      <c r="C11" s="159">
        <v>5000</v>
      </c>
      <c r="E11" s="267">
        <f>ROUND(($V$10+($V$11*$A11+$V$13/100*$C11)*(1+$V$28)*(1+$V$15))+$V$14,2)</f>
        <v>1082.07</v>
      </c>
      <c r="F11" s="267"/>
      <c r="G11" s="267">
        <f>ROUND(($W$10+($W$11*$A11+$W$13/100*$C11)*(1+$W$28)*(1+$W$15))+$W$14,2)</f>
        <v>1160.18</v>
      </c>
      <c r="H11" s="267"/>
      <c r="I11" s="267">
        <f>IF(G11="","",G11-E11)</f>
        <v>78.110000000000127</v>
      </c>
      <c r="K11" s="179">
        <f>IF(I11="","",G11/E11-1)</f>
        <v>7.2185718114355035E-2</v>
      </c>
      <c r="M11" s="267">
        <f>ROUND(($V$17+($V$18*$A11+$V$20/100*$C11)*(1+$V$28)*(1+$V$22))+$V$21,2)</f>
        <v>901.47</v>
      </c>
      <c r="N11" s="267"/>
      <c r="O11" s="267">
        <f>ROUND(($W$17+($W$18*$A11+$W$20/100*$C11)*(1+$W$28)*(1+$W$22))+$W$21,2)</f>
        <v>966.46</v>
      </c>
      <c r="P11" s="267"/>
      <c r="Q11" s="267">
        <f t="shared" ref="Q11:Q29" si="0">IF(O11="","",O11-M11)</f>
        <v>64.990000000000009</v>
      </c>
      <c r="S11" s="179">
        <f t="shared" ref="S11:S29" si="1">IF(Q11="","",O11/M11-1)</f>
        <v>7.2093358625356263E-2</v>
      </c>
      <c r="U11" s="186" t="s">
        <v>443</v>
      </c>
      <c r="V11" s="187">
        <f>'Exhibit RMP(WRG-3)'!G65</f>
        <v>16.84</v>
      </c>
      <c r="W11" s="188">
        <f>'Exhibit RMP(WRG-3)'!M65</f>
        <v>18.059999999999999</v>
      </c>
      <c r="X11" s="187"/>
    </row>
    <row r="12" spans="1:24">
      <c r="A12" s="268">
        <f>A11</f>
        <v>50</v>
      </c>
      <c r="C12" s="159">
        <v>10000</v>
      </c>
      <c r="E12" s="267">
        <f t="shared" ref="E12:E29" si="2">ROUND(($V$10+($V$11*$A12+$V$13/100*$C12)*(1+$V$28)*(1+$V$15))+$V$14,2)</f>
        <v>1259.96</v>
      </c>
      <c r="F12" s="267"/>
      <c r="G12" s="267">
        <f t="shared" ref="G12:G29" si="3">ROUND(($W$10+($W$11*$A12+$W$13/100*$C12)*(1+$W$28)*(1+$W$15))+$W$14,2)</f>
        <v>1350.93</v>
      </c>
      <c r="H12" s="267"/>
      <c r="I12" s="267">
        <f>IF(G12="","",G12-E12)</f>
        <v>90.970000000000027</v>
      </c>
      <c r="K12" s="179">
        <f>IF(I12="","",G12/E12-1)</f>
        <v>7.220070478427898E-2</v>
      </c>
      <c r="M12" s="267">
        <f t="shared" ref="M12:M13" si="4">ROUND(($V$17+($V$18*$A12+$V$20/100*$C12)*(1+$V$28)*(1+$V$22))+$V$21,2)</f>
        <v>1065.4000000000001</v>
      </c>
      <c r="N12" s="267"/>
      <c r="O12" s="267">
        <f t="shared" ref="O12:O13" si="5">ROUND(($W$17+($W$18*$A12+$W$20/100*$C12)*(1+$W$28)*(1+$W$22))+$W$21,2)</f>
        <v>1142.2</v>
      </c>
      <c r="P12" s="267"/>
      <c r="Q12" s="267">
        <f t="shared" si="0"/>
        <v>76.799999999999955</v>
      </c>
      <c r="S12" s="179">
        <f t="shared" si="1"/>
        <v>7.2085601651961762E-2</v>
      </c>
      <c r="U12" s="186" t="s">
        <v>444</v>
      </c>
      <c r="V12" s="187">
        <f>'Exhibit RMP(WRG-3)'!G67</f>
        <v>-0.87</v>
      </c>
      <c r="W12" s="188">
        <f>'Exhibit RMP(WRG-3)'!M67</f>
        <v>-0.93</v>
      </c>
      <c r="X12" s="187"/>
    </row>
    <row r="13" spans="1:24">
      <c r="A13" s="268">
        <f>A12</f>
        <v>50</v>
      </c>
      <c r="C13" s="159">
        <v>20000</v>
      </c>
      <c r="E13" s="267">
        <f t="shared" si="2"/>
        <v>1615.73</v>
      </c>
      <c r="F13" s="267"/>
      <c r="G13" s="267">
        <f t="shared" si="3"/>
        <v>1732.43</v>
      </c>
      <c r="H13" s="267"/>
      <c r="I13" s="267">
        <f>IF(G13="","",G13-E13)</f>
        <v>116.70000000000005</v>
      </c>
      <c r="K13" s="179">
        <f>IF(I13="","",G13/E13-1)</f>
        <v>7.2227414233813736E-2</v>
      </c>
      <c r="M13" s="267">
        <f t="shared" si="4"/>
        <v>1393.27</v>
      </c>
      <c r="N13" s="267"/>
      <c r="O13" s="267">
        <f t="shared" si="5"/>
        <v>1493.66</v>
      </c>
      <c r="P13" s="267"/>
      <c r="Q13" s="267">
        <f t="shared" si="0"/>
        <v>100.3900000000001</v>
      </c>
      <c r="S13" s="179">
        <f t="shared" si="1"/>
        <v>7.205351439419494E-2</v>
      </c>
      <c r="U13" s="186" t="s">
        <v>451</v>
      </c>
      <c r="V13" s="252">
        <f>'Exhibit RMP(WRG-3)'!G69</f>
        <v>3.5438999999999998</v>
      </c>
      <c r="W13" s="253">
        <f>'Exhibit RMP(WRG-3)'!M69</f>
        <v>3.8001999999999998</v>
      </c>
      <c r="X13" s="254"/>
    </row>
    <row r="14" spans="1:24">
      <c r="E14" s="267"/>
      <c r="F14" s="267"/>
      <c r="G14" s="267"/>
      <c r="H14" s="267"/>
      <c r="I14" s="267"/>
      <c r="K14" s="179"/>
      <c r="M14" s="267"/>
      <c r="N14" s="267"/>
      <c r="O14" s="267"/>
      <c r="P14" s="267"/>
      <c r="Q14" s="267" t="str">
        <f t="shared" si="0"/>
        <v/>
      </c>
      <c r="S14" s="179" t="str">
        <f t="shared" si="1"/>
        <v/>
      </c>
      <c r="U14" s="186" t="s">
        <v>415</v>
      </c>
      <c r="V14" s="187">
        <v>8.91</v>
      </c>
      <c r="W14" s="256">
        <f>V14</f>
        <v>8.91</v>
      </c>
      <c r="X14" s="187"/>
    </row>
    <row r="15" spans="1:24">
      <c r="A15" s="159">
        <v>100</v>
      </c>
      <c r="C15" s="159">
        <v>20000</v>
      </c>
      <c r="E15" s="267">
        <f t="shared" si="2"/>
        <v>2461.0100000000002</v>
      </c>
      <c r="F15" s="267"/>
      <c r="G15" s="267">
        <f t="shared" si="3"/>
        <v>2638.94</v>
      </c>
      <c r="H15" s="267"/>
      <c r="I15" s="267">
        <f>IF(G15="","",G15-E15)</f>
        <v>177.92999999999984</v>
      </c>
      <c r="K15" s="179">
        <f>IF(I15="","",G15/E15-1)</f>
        <v>7.2299584317008003E-2</v>
      </c>
      <c r="M15" s="267">
        <f t="shared" ref="M15:M17" si="6">ROUND(($V$17+($V$18*$A15+$V$20/100*$C15)*(1+$V$28)*(1+$V$22))+$V$21,2)</f>
        <v>2071.9</v>
      </c>
      <c r="N15" s="267"/>
      <c r="O15" s="267">
        <f t="shared" ref="O15:O17" si="7">ROUND(($W$17+($W$18*$A15+$W$20/100*$C15)*(1+$W$28)*(1+$W$22))+$W$21,2)</f>
        <v>2221.48</v>
      </c>
      <c r="P15" s="267"/>
      <c r="Q15" s="267">
        <f t="shared" si="0"/>
        <v>149.57999999999993</v>
      </c>
      <c r="S15" s="179">
        <f t="shared" si="1"/>
        <v>7.2194603986678763E-2</v>
      </c>
      <c r="U15" s="186" t="s">
        <v>417</v>
      </c>
      <c r="V15" s="257">
        <v>3.2599999999999997E-2</v>
      </c>
      <c r="W15" s="269">
        <f>V15</f>
        <v>3.2599999999999997E-2</v>
      </c>
      <c r="X15" s="257"/>
    </row>
    <row r="16" spans="1:24" ht="13.5">
      <c r="A16" s="268">
        <f>A15</f>
        <v>100</v>
      </c>
      <c r="C16" s="159">
        <v>40000</v>
      </c>
      <c r="E16" s="267">
        <f t="shared" si="2"/>
        <v>3172.55</v>
      </c>
      <c r="F16" s="267"/>
      <c r="G16" s="267">
        <f t="shared" si="3"/>
        <v>3401.94</v>
      </c>
      <c r="H16" s="267"/>
      <c r="I16" s="267">
        <f>IF(G16="","",G16-E16)</f>
        <v>229.38999999999987</v>
      </c>
      <c r="K16" s="179">
        <f>IF(I16="","",G16/E16-1)</f>
        <v>7.2304613008463248E-2</v>
      </c>
      <c r="M16" s="267">
        <f t="shared" si="6"/>
        <v>2727.62</v>
      </c>
      <c r="N16" s="267"/>
      <c r="O16" s="267">
        <f t="shared" si="7"/>
        <v>2924.41</v>
      </c>
      <c r="P16" s="267"/>
      <c r="Q16" s="267">
        <f t="shared" si="0"/>
        <v>196.78999999999996</v>
      </c>
      <c r="S16" s="179">
        <f t="shared" si="1"/>
        <v>7.2147146596666767E-2</v>
      </c>
      <c r="U16" s="249" t="s">
        <v>406</v>
      </c>
      <c r="V16" s="148"/>
      <c r="W16" s="185"/>
    </row>
    <row r="17" spans="1:24">
      <c r="A17" s="268">
        <f>A16</f>
        <v>100</v>
      </c>
      <c r="C17" s="159">
        <v>60000</v>
      </c>
      <c r="E17" s="267">
        <f t="shared" si="2"/>
        <v>3884.09</v>
      </c>
      <c r="F17" s="267"/>
      <c r="G17" s="267">
        <f t="shared" si="3"/>
        <v>4164.9399999999996</v>
      </c>
      <c r="H17" s="267"/>
      <c r="I17" s="267">
        <f>IF(G17="","",G17-E17)</f>
        <v>280.84999999999945</v>
      </c>
      <c r="K17" s="179">
        <f>IF(I17="","",G17/E17-1)</f>
        <v>7.2307799252849358E-2</v>
      </c>
      <c r="M17" s="267">
        <f t="shared" si="6"/>
        <v>3383.34</v>
      </c>
      <c r="N17" s="267"/>
      <c r="O17" s="267">
        <f t="shared" si="7"/>
        <v>3627.34</v>
      </c>
      <c r="P17" s="267"/>
      <c r="Q17" s="267">
        <f t="shared" si="0"/>
        <v>244</v>
      </c>
      <c r="S17" s="179">
        <f t="shared" si="1"/>
        <v>7.2118084496385126E-2</v>
      </c>
      <c r="U17" s="186" t="s">
        <v>100</v>
      </c>
      <c r="V17" s="194">
        <f>V10</f>
        <v>50</v>
      </c>
      <c r="W17" s="195">
        <f>W10</f>
        <v>54</v>
      </c>
      <c r="X17" s="187"/>
    </row>
    <row r="18" spans="1:24">
      <c r="E18" s="267"/>
      <c r="F18" s="267"/>
      <c r="G18" s="267"/>
      <c r="H18" s="267"/>
      <c r="I18" s="267"/>
      <c r="K18" s="179"/>
      <c r="M18" s="267"/>
      <c r="N18" s="267"/>
      <c r="O18" s="267"/>
      <c r="P18" s="267"/>
      <c r="Q18" s="267" t="str">
        <f t="shared" si="0"/>
        <v/>
      </c>
      <c r="S18" s="179" t="str">
        <f t="shared" si="1"/>
        <v/>
      </c>
      <c r="U18" s="186" t="s">
        <v>443</v>
      </c>
      <c r="V18" s="187">
        <f>'Exhibit RMP(WRG-3)'!G66</f>
        <v>13.52</v>
      </c>
      <c r="W18" s="188">
        <f>'Exhibit RMP(WRG-3)'!M66</f>
        <v>14.5</v>
      </c>
      <c r="X18" s="187"/>
    </row>
    <row r="19" spans="1:24">
      <c r="A19" s="159">
        <v>200</v>
      </c>
      <c r="C19" s="159">
        <v>40000</v>
      </c>
      <c r="E19" s="267">
        <f t="shared" si="2"/>
        <v>4863.1000000000004</v>
      </c>
      <c r="F19" s="267"/>
      <c r="G19" s="267">
        <f t="shared" si="3"/>
        <v>5214.97</v>
      </c>
      <c r="H19" s="267"/>
      <c r="I19" s="267">
        <f>IF(G19="","",G19-E19)</f>
        <v>351.86999999999989</v>
      </c>
      <c r="K19" s="179">
        <f>IF(I19="","",G19/E19-1)</f>
        <v>7.2355082149246241E-2</v>
      </c>
      <c r="M19" s="267">
        <f t="shared" ref="M19:M21" si="8">ROUND(($V$17+($V$18*$A19+$V$20/100*$C19)*(1+$V$28)*(1+$V$22))+$V$21,2)</f>
        <v>4084.89</v>
      </c>
      <c r="N19" s="267"/>
      <c r="O19" s="267">
        <f t="shared" ref="O19:O21" si="9">ROUND(($W$17+($W$18*$A19+$W$20/100*$C19)*(1+$W$28)*(1+$W$22))+$W$21,2)</f>
        <v>4380.05</v>
      </c>
      <c r="P19" s="267"/>
      <c r="Q19" s="267">
        <f t="shared" si="0"/>
        <v>295.16000000000031</v>
      </c>
      <c r="S19" s="179">
        <f t="shared" si="1"/>
        <v>7.2256535671707312E-2</v>
      </c>
      <c r="U19" s="186" t="s">
        <v>444</v>
      </c>
      <c r="V19" s="194">
        <f>V12</f>
        <v>-0.87</v>
      </c>
      <c r="W19" s="195">
        <f>W12</f>
        <v>-0.93</v>
      </c>
      <c r="X19" s="187"/>
    </row>
    <row r="20" spans="1:24">
      <c r="A20" s="268">
        <f>A19</f>
        <v>200</v>
      </c>
      <c r="C20" s="159">
        <v>80000</v>
      </c>
      <c r="E20" s="267">
        <f t="shared" si="2"/>
        <v>6286.18</v>
      </c>
      <c r="F20" s="267"/>
      <c r="G20" s="267">
        <f t="shared" si="3"/>
        <v>6740.97</v>
      </c>
      <c r="H20" s="267"/>
      <c r="I20" s="267">
        <f>IF(G20="","",G20-E20)</f>
        <v>454.78999999999996</v>
      </c>
      <c r="K20" s="179">
        <f>IF(I20="","",G20/E20-1)</f>
        <v>7.2347594246426228E-2</v>
      </c>
      <c r="M20" s="267">
        <f t="shared" si="8"/>
        <v>5396.33</v>
      </c>
      <c r="N20" s="267"/>
      <c r="O20" s="267">
        <f t="shared" si="9"/>
        <v>5785.91</v>
      </c>
      <c r="P20" s="267"/>
      <c r="Q20" s="267">
        <f t="shared" si="0"/>
        <v>389.57999999999993</v>
      </c>
      <c r="S20" s="179">
        <f t="shared" si="1"/>
        <v>7.2193509292426405E-2</v>
      </c>
      <c r="U20" s="186" t="s">
        <v>451</v>
      </c>
      <c r="V20" s="196">
        <f>'Exhibit RMP(WRG-3)'!G70</f>
        <v>3.2658999999999998</v>
      </c>
      <c r="W20" s="185">
        <f>'Exhibit RMP(WRG-3)'!M70</f>
        <v>3.5009999999999999</v>
      </c>
      <c r="X20" s="254"/>
    </row>
    <row r="21" spans="1:24">
      <c r="A21" s="268">
        <f>A20</f>
        <v>200</v>
      </c>
      <c r="C21" s="159">
        <v>120000</v>
      </c>
      <c r="E21" s="267">
        <f t="shared" si="2"/>
        <v>7709.26</v>
      </c>
      <c r="F21" s="267"/>
      <c r="G21" s="267">
        <f t="shared" si="3"/>
        <v>8266.9699999999993</v>
      </c>
      <c r="H21" s="267"/>
      <c r="I21" s="267">
        <f>IF(G21="","",G21-E21)</f>
        <v>557.70999999999913</v>
      </c>
      <c r="K21" s="179">
        <f>IF(I21="","",G21/E21-1)</f>
        <v>7.2342870781371804E-2</v>
      </c>
      <c r="M21" s="267">
        <f t="shared" si="8"/>
        <v>6707.78</v>
      </c>
      <c r="N21" s="267"/>
      <c r="O21" s="267">
        <f t="shared" si="9"/>
        <v>7191.76</v>
      </c>
      <c r="P21" s="267"/>
      <c r="Q21" s="267">
        <f t="shared" si="0"/>
        <v>483.98000000000047</v>
      </c>
      <c r="S21" s="179">
        <f t="shared" si="1"/>
        <v>7.2152038379314831E-2</v>
      </c>
      <c r="U21" s="186" t="s">
        <v>415</v>
      </c>
      <c r="V21" s="194">
        <f>V14</f>
        <v>8.91</v>
      </c>
      <c r="W21" s="195">
        <f>W14</f>
        <v>8.91</v>
      </c>
      <c r="X21" s="187"/>
    </row>
    <row r="22" spans="1:24">
      <c r="E22" s="267"/>
      <c r="F22" s="267"/>
      <c r="G22" s="267"/>
      <c r="H22" s="267"/>
      <c r="I22" s="267"/>
      <c r="K22" s="179"/>
      <c r="M22" s="267"/>
      <c r="N22" s="267"/>
      <c r="O22" s="267"/>
      <c r="P22" s="267"/>
      <c r="Q22" s="267" t="str">
        <f t="shared" si="0"/>
        <v/>
      </c>
      <c r="S22" s="179" t="str">
        <f t="shared" si="1"/>
        <v/>
      </c>
      <c r="U22" s="198" t="s">
        <v>417</v>
      </c>
      <c r="V22" s="260">
        <f>V15</f>
        <v>3.2599999999999997E-2</v>
      </c>
      <c r="W22" s="261">
        <f>W15</f>
        <v>3.2599999999999997E-2</v>
      </c>
      <c r="X22" s="257"/>
    </row>
    <row r="23" spans="1:24">
      <c r="A23" s="159">
        <v>500</v>
      </c>
      <c r="C23" s="159">
        <v>100000</v>
      </c>
      <c r="E23" s="267">
        <f t="shared" si="2"/>
        <v>12069.39</v>
      </c>
      <c r="F23" s="267"/>
      <c r="G23" s="267">
        <f t="shared" si="3"/>
        <v>12943.07</v>
      </c>
      <c r="H23" s="267"/>
      <c r="I23" s="267">
        <f>IF(G23="","",G23-E23)</f>
        <v>873.68000000000029</v>
      </c>
      <c r="K23" s="179">
        <f>IF(I23="","",G23/E23-1)</f>
        <v>7.2388082579152746E-2</v>
      </c>
      <c r="M23" s="267">
        <f t="shared" ref="M23:M25" si="10">ROUND(($V$17+($V$18*$A23+$V$20/100*$C23)*(1+$V$28)*(1+$V$22))+$V$21,2)</f>
        <v>10123.85</v>
      </c>
      <c r="N23" s="267"/>
      <c r="O23" s="267">
        <f t="shared" ref="O23:O25" si="11">ROUND(($W$17+($W$18*$A23+$W$20/100*$C23)*(1+$W$28)*(1+$W$22))+$W$21,2)</f>
        <v>10855.77</v>
      </c>
      <c r="P23" s="267"/>
      <c r="Q23" s="267">
        <f t="shared" si="0"/>
        <v>731.92000000000007</v>
      </c>
      <c r="S23" s="179">
        <f t="shared" si="1"/>
        <v>7.2296606528148954E-2</v>
      </c>
    </row>
    <row r="24" spans="1:24">
      <c r="A24" s="268">
        <f>A23</f>
        <v>500</v>
      </c>
      <c r="C24" s="159">
        <v>200000</v>
      </c>
      <c r="E24" s="267">
        <f t="shared" si="2"/>
        <v>15627.09</v>
      </c>
      <c r="F24" s="267"/>
      <c r="G24" s="267">
        <f t="shared" si="3"/>
        <v>16758.060000000001</v>
      </c>
      <c r="H24" s="267"/>
      <c r="I24" s="267">
        <f>IF(G24="","",G24-E24)</f>
        <v>1130.9700000000012</v>
      </c>
      <c r="K24" s="179">
        <f>IF(I24="","",G24/E24-1)</f>
        <v>7.2372399467847348E-2</v>
      </c>
      <c r="M24" s="267">
        <f t="shared" si="10"/>
        <v>13402.46</v>
      </c>
      <c r="N24" s="267"/>
      <c r="O24" s="267">
        <f t="shared" si="11"/>
        <v>14370.4</v>
      </c>
      <c r="P24" s="267"/>
      <c r="Q24" s="267">
        <f t="shared" si="0"/>
        <v>967.94000000000051</v>
      </c>
      <c r="S24" s="179">
        <f t="shared" si="1"/>
        <v>7.2221069863293685E-2</v>
      </c>
      <c r="U24" s="150" t="s">
        <v>419</v>
      </c>
      <c r="W24" s="202">
        <f>'SJB-2'!Q20</f>
        <v>7.2465874461960247E-2</v>
      </c>
    </row>
    <row r="25" spans="1:24">
      <c r="A25" s="268">
        <f>A24</f>
        <v>500</v>
      </c>
      <c r="C25" s="159">
        <v>300000</v>
      </c>
      <c r="E25" s="267">
        <f t="shared" si="2"/>
        <v>19184.79</v>
      </c>
      <c r="F25" s="267"/>
      <c r="G25" s="267">
        <f t="shared" si="3"/>
        <v>20573.060000000001</v>
      </c>
      <c r="H25" s="267"/>
      <c r="I25" s="267">
        <f>IF(G25="","",G25-E25)</f>
        <v>1388.2700000000004</v>
      </c>
      <c r="K25" s="179">
        <f>IF(I25="","",G25/E25-1)</f>
        <v>7.2363054273724137E-2</v>
      </c>
      <c r="M25" s="267">
        <f t="shared" si="10"/>
        <v>16681.080000000002</v>
      </c>
      <c r="N25" s="267"/>
      <c r="O25" s="267">
        <f t="shared" si="11"/>
        <v>17885.04</v>
      </c>
      <c r="P25" s="267"/>
      <c r="Q25" s="267">
        <f t="shared" si="0"/>
        <v>1203.9599999999991</v>
      </c>
      <c r="S25" s="179">
        <f t="shared" si="1"/>
        <v>7.2175182901826451E-2</v>
      </c>
      <c r="U25" s="150" t="s">
        <v>420</v>
      </c>
      <c r="V25" s="201"/>
      <c r="X25" s="202"/>
    </row>
    <row r="26" spans="1:24">
      <c r="E26" s="267"/>
      <c r="F26" s="267"/>
      <c r="G26" s="267"/>
      <c r="H26" s="267"/>
      <c r="I26" s="267"/>
      <c r="K26" s="179"/>
      <c r="M26" s="267"/>
      <c r="N26" s="267"/>
      <c r="O26" s="267"/>
      <c r="P26" s="267"/>
      <c r="Q26" s="267" t="str">
        <f t="shared" si="0"/>
        <v/>
      </c>
      <c r="S26" s="179" t="str">
        <f t="shared" si="1"/>
        <v/>
      </c>
      <c r="U26" s="150" t="s">
        <v>421</v>
      </c>
      <c r="V26" s="201"/>
      <c r="W26" s="202"/>
    </row>
    <row r="27" spans="1:24">
      <c r="A27" s="159">
        <v>1000</v>
      </c>
      <c r="C27" s="159">
        <v>200000</v>
      </c>
      <c r="E27" s="267">
        <f t="shared" si="2"/>
        <v>24079.88</v>
      </c>
      <c r="F27" s="267"/>
      <c r="G27" s="267">
        <f t="shared" si="3"/>
        <v>25823.22</v>
      </c>
      <c r="H27" s="267"/>
      <c r="I27" s="267">
        <f>IF(G27="","",G27-E27)</f>
        <v>1743.3400000000001</v>
      </c>
      <c r="K27" s="179">
        <f>IF(I27="","",G27/E27-1)</f>
        <v>7.2398201319940236E-2</v>
      </c>
      <c r="M27" s="267">
        <f t="shared" ref="M27:M29" si="12">ROUND(($V$17+($V$18*$A27+$V$20/100*$C27)*(1+$V$28)*(1+$V$22))+$V$21,2)</f>
        <v>20188.79</v>
      </c>
      <c r="N27" s="267"/>
      <c r="O27" s="267">
        <f t="shared" ref="O27:O29" si="13">ROUND(($W$17+($W$18*$A27+$W$20/100*$C27)*(1+$W$28)*(1+$W$22))+$W$21,2)</f>
        <v>21648.63</v>
      </c>
      <c r="P27" s="267"/>
      <c r="Q27" s="267">
        <f t="shared" si="0"/>
        <v>1459.8400000000001</v>
      </c>
      <c r="S27" s="179">
        <f t="shared" si="1"/>
        <v>7.2309435087491547E-2</v>
      </c>
      <c r="U27" s="150" t="s">
        <v>422</v>
      </c>
      <c r="V27" s="201">
        <v>-2.7799999999999998E-2</v>
      </c>
      <c r="W27" s="202">
        <f>V27</f>
        <v>-2.7799999999999998E-2</v>
      </c>
    </row>
    <row r="28" spans="1:24">
      <c r="A28" s="268">
        <f>A27</f>
        <v>1000</v>
      </c>
      <c r="C28" s="159">
        <v>400000</v>
      </c>
      <c r="E28" s="267">
        <f t="shared" si="2"/>
        <v>31195.279999999999</v>
      </c>
      <c r="F28" s="267"/>
      <c r="G28" s="267">
        <f t="shared" si="3"/>
        <v>33453.22</v>
      </c>
      <c r="H28" s="267"/>
      <c r="I28" s="267">
        <f>IF(G28="","",G28-E28)</f>
        <v>2257.9400000000023</v>
      </c>
      <c r="K28" s="179">
        <f>IF(I28="","",G28/E28-1)</f>
        <v>7.2380821714054244E-2</v>
      </c>
      <c r="M28" s="267">
        <f t="shared" si="12"/>
        <v>26746.02</v>
      </c>
      <c r="N28" s="267"/>
      <c r="O28" s="267">
        <f t="shared" si="13"/>
        <v>28677.9</v>
      </c>
      <c r="P28" s="267"/>
      <c r="Q28" s="267">
        <f t="shared" si="0"/>
        <v>1931.880000000001</v>
      </c>
      <c r="S28" s="179">
        <f t="shared" si="1"/>
        <v>7.223055991134375E-2</v>
      </c>
      <c r="U28" s="148" t="s">
        <v>423</v>
      </c>
      <c r="V28" s="201">
        <f>SUM(V25:V27)</f>
        <v>-2.7799999999999998E-2</v>
      </c>
      <c r="W28" s="202">
        <f>SUM(W25:W27)</f>
        <v>-2.7799999999999998E-2</v>
      </c>
    </row>
    <row r="29" spans="1:24">
      <c r="A29" s="268">
        <f>A28</f>
        <v>1000</v>
      </c>
      <c r="C29" s="159">
        <v>600000</v>
      </c>
      <c r="E29" s="267">
        <f t="shared" si="2"/>
        <v>38310.67</v>
      </c>
      <c r="F29" s="267"/>
      <c r="G29" s="267">
        <f t="shared" si="3"/>
        <v>41083.21</v>
      </c>
      <c r="H29" s="267"/>
      <c r="I29" s="267">
        <f>IF(G29="","",G29-E29)</f>
        <v>2772.5400000000009</v>
      </c>
      <c r="K29" s="179">
        <f>IF(I29="","",G29/E29-1)</f>
        <v>7.2369916788195043E-2</v>
      </c>
      <c r="M29" s="267">
        <f t="shared" si="12"/>
        <v>33303.25</v>
      </c>
      <c r="N29" s="267"/>
      <c r="O29" s="267">
        <f t="shared" si="13"/>
        <v>35707.160000000003</v>
      </c>
      <c r="P29" s="267"/>
      <c r="Q29" s="267">
        <f t="shared" si="0"/>
        <v>2403.9100000000035</v>
      </c>
      <c r="S29" s="179">
        <f t="shared" si="1"/>
        <v>7.2182444656302414E-2</v>
      </c>
    </row>
    <row r="31" spans="1:24" ht="15.75">
      <c r="A31" s="205" t="s">
        <v>448</v>
      </c>
    </row>
    <row r="32" spans="1:24" ht="15.75">
      <c r="A32" s="205"/>
    </row>
  </sheetData>
  <printOptions horizontalCentered="1"/>
  <pageMargins left="0.75" right="0.75" top="1" bottom="1" header="0.5" footer="0.5"/>
  <pageSetup scale="9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workbookViewId="0">
      <selection activeCell="W63" sqref="W63"/>
    </sheetView>
  </sheetViews>
  <sheetFormatPr defaultColWidth="8" defaultRowHeight="12.75"/>
  <cols>
    <col min="1" max="1" width="8.375" style="159" bestFit="1" customWidth="1"/>
    <col min="2" max="2" width="0.875" style="159" customWidth="1"/>
    <col min="3" max="3" width="9.625" style="159" bestFit="1" customWidth="1"/>
    <col min="4" max="4" width="1" style="150" customWidth="1"/>
    <col min="5" max="5" width="6.75" style="159" bestFit="1" customWidth="1"/>
    <col min="6" max="6" width="1.25" style="150" customWidth="1"/>
    <col min="7" max="7" width="9.625" style="177" bestFit="1" customWidth="1"/>
    <col min="8" max="8" width="0.875" style="150" customWidth="1"/>
    <col min="9" max="9" width="9.625" style="177" bestFit="1" customWidth="1"/>
    <col min="10" max="10" width="1" style="150" customWidth="1"/>
    <col min="11" max="11" width="8.625" style="150" bestFit="1" customWidth="1"/>
    <col min="12" max="12" width="0.875" style="150" customWidth="1"/>
    <col min="13" max="13" width="5.5" style="150" bestFit="1" customWidth="1"/>
    <col min="14" max="14" width="1.25" style="150" customWidth="1"/>
    <col min="15" max="15" width="9.625" style="177" bestFit="1" customWidth="1"/>
    <col min="16" max="16" width="1" style="150" customWidth="1"/>
    <col min="17" max="17" width="9.625" style="177" bestFit="1" customWidth="1"/>
    <col min="18" max="18" width="0.875" style="150" customWidth="1"/>
    <col min="19" max="19" width="8.5" style="150" bestFit="1" customWidth="1"/>
    <col min="20" max="20" width="0.75" style="150" customWidth="1"/>
    <col min="21" max="21" width="5.5" style="150" bestFit="1" customWidth="1"/>
    <col min="22" max="22" width="2.875" style="150" customWidth="1"/>
    <col min="23" max="23" width="10.625" style="150" customWidth="1"/>
    <col min="24" max="24" width="8.25" style="150" bestFit="1" customWidth="1"/>
    <col min="25" max="25" width="9.875" style="150" bestFit="1" customWidth="1"/>
    <col min="26" max="26" width="9.625" style="150" customWidth="1"/>
    <col min="27" max="16384" width="8" style="150"/>
  </cols>
  <sheetData>
    <row r="1" spans="1:27" ht="16.5">
      <c r="A1" s="143" t="s">
        <v>1</v>
      </c>
      <c r="B1" s="143"/>
      <c r="C1" s="143"/>
      <c r="D1" s="144"/>
      <c r="E1" s="143"/>
      <c r="F1" s="144"/>
      <c r="G1" s="145"/>
      <c r="H1" s="144"/>
      <c r="I1" s="145"/>
      <c r="J1" s="144"/>
      <c r="K1" s="144"/>
      <c r="L1" s="144"/>
      <c r="M1" s="144"/>
      <c r="N1" s="144"/>
      <c r="O1" s="145"/>
      <c r="P1" s="144"/>
      <c r="Q1" s="145"/>
      <c r="R1" s="144"/>
      <c r="S1" s="144"/>
      <c r="T1" s="144"/>
      <c r="U1" s="144"/>
    </row>
    <row r="2" spans="1:27" ht="16.5">
      <c r="A2" s="143" t="s">
        <v>399</v>
      </c>
      <c r="B2" s="143"/>
      <c r="C2" s="143"/>
      <c r="D2" s="144"/>
      <c r="E2" s="143"/>
      <c r="F2" s="144"/>
      <c r="G2" s="145"/>
      <c r="H2" s="144"/>
      <c r="I2" s="145"/>
      <c r="J2" s="144"/>
      <c r="K2" s="144"/>
      <c r="L2" s="144"/>
      <c r="M2" s="144"/>
      <c r="N2" s="144"/>
      <c r="O2" s="145"/>
      <c r="P2" s="144"/>
      <c r="Q2" s="145"/>
      <c r="R2" s="144"/>
      <c r="S2" s="144"/>
      <c r="T2" s="144"/>
      <c r="U2" s="144"/>
    </row>
    <row r="3" spans="1:27" ht="16.5">
      <c r="A3" s="143" t="s">
        <v>452</v>
      </c>
      <c r="B3" s="143"/>
      <c r="C3" s="143"/>
      <c r="D3" s="144"/>
      <c r="E3" s="143"/>
      <c r="F3" s="144"/>
      <c r="G3" s="145"/>
      <c r="H3" s="144"/>
      <c r="I3" s="145"/>
      <c r="J3" s="144"/>
      <c r="K3" s="144"/>
      <c r="L3" s="144"/>
      <c r="M3" s="144"/>
      <c r="N3" s="144"/>
      <c r="O3" s="145"/>
      <c r="P3" s="144"/>
      <c r="Q3" s="145"/>
      <c r="R3" s="144"/>
      <c r="S3" s="144"/>
      <c r="T3" s="144"/>
      <c r="U3" s="144"/>
    </row>
    <row r="4" spans="1:27" ht="16.5">
      <c r="A4" s="143" t="s">
        <v>453</v>
      </c>
      <c r="B4" s="143"/>
      <c r="C4" s="143"/>
      <c r="D4" s="144"/>
      <c r="E4" s="143"/>
      <c r="F4" s="144"/>
      <c r="G4" s="145"/>
      <c r="H4" s="144"/>
      <c r="I4" s="145"/>
      <c r="J4" s="144"/>
      <c r="K4" s="144"/>
      <c r="L4" s="144"/>
      <c r="M4" s="144"/>
      <c r="N4" s="144"/>
      <c r="O4" s="145"/>
      <c r="P4" s="144"/>
      <c r="Q4" s="145"/>
      <c r="R4" s="144"/>
      <c r="S4" s="144"/>
      <c r="T4" s="144"/>
      <c r="U4" s="144"/>
    </row>
    <row r="5" spans="1:27">
      <c r="A5" s="240"/>
      <c r="B5" s="240"/>
      <c r="C5" s="240"/>
      <c r="D5" s="144"/>
      <c r="E5" s="240"/>
      <c r="F5" s="144"/>
      <c r="G5" s="145"/>
      <c r="H5" s="144"/>
      <c r="I5" s="145"/>
      <c r="J5" s="144"/>
      <c r="L5" s="144"/>
      <c r="N5" s="144"/>
      <c r="O5" s="145"/>
      <c r="P5" s="144"/>
      <c r="Q5" s="145"/>
      <c r="R5" s="144"/>
      <c r="T5" s="144"/>
    </row>
    <row r="6" spans="1:27" ht="17.25">
      <c r="A6" s="153"/>
      <c r="B6" s="147"/>
      <c r="C6" s="147"/>
      <c r="D6" s="147"/>
      <c r="E6" s="156"/>
      <c r="F6" s="155"/>
      <c r="G6" s="156"/>
      <c r="H6" s="147"/>
      <c r="I6" s="241"/>
      <c r="J6" s="147"/>
      <c r="K6" s="147"/>
      <c r="L6" s="147"/>
      <c r="M6" s="147"/>
      <c r="N6" s="147"/>
      <c r="O6" s="156"/>
      <c r="P6" s="147"/>
      <c r="Q6" s="241"/>
      <c r="R6" s="147"/>
      <c r="S6" s="147"/>
      <c r="T6" s="147"/>
      <c r="U6" s="147"/>
    </row>
    <row r="7" spans="1:27">
      <c r="G7" s="241"/>
      <c r="H7" s="148"/>
      <c r="I7" s="241"/>
      <c r="J7" s="148"/>
      <c r="K7" s="266"/>
      <c r="L7" s="148"/>
      <c r="M7" s="266"/>
      <c r="N7" s="148"/>
      <c r="O7" s="241"/>
      <c r="P7" s="148"/>
      <c r="Q7" s="241"/>
      <c r="R7" s="148"/>
      <c r="S7" s="266"/>
      <c r="T7" s="148"/>
      <c r="U7" s="266"/>
      <c r="X7" s="171"/>
      <c r="Y7" s="171"/>
      <c r="Z7" s="171"/>
    </row>
    <row r="8" spans="1:27">
      <c r="G8" s="160" t="s">
        <v>405</v>
      </c>
      <c r="H8" s="169"/>
      <c r="I8" s="162"/>
      <c r="J8" s="161"/>
      <c r="K8" s="170"/>
      <c r="L8" s="161"/>
      <c r="M8" s="161"/>
      <c r="O8" s="160" t="s">
        <v>406</v>
      </c>
      <c r="P8" s="169"/>
      <c r="Q8" s="162"/>
      <c r="R8" s="161"/>
      <c r="S8" s="170"/>
      <c r="T8" s="161"/>
      <c r="U8" s="161"/>
      <c r="W8" s="245" t="s">
        <v>454</v>
      </c>
      <c r="X8" s="246" t="s">
        <v>395</v>
      </c>
      <c r="Y8" s="247" t="s">
        <v>6</v>
      </c>
      <c r="Z8" s="171"/>
    </row>
    <row r="9" spans="1:27" ht="16.5">
      <c r="A9" s="239" t="s">
        <v>438</v>
      </c>
      <c r="E9" s="239" t="s">
        <v>455</v>
      </c>
      <c r="G9" s="162" t="s">
        <v>439</v>
      </c>
      <c r="H9" s="161"/>
      <c r="I9" s="162"/>
      <c r="K9" s="162" t="s">
        <v>17</v>
      </c>
      <c r="L9" s="161"/>
      <c r="M9" s="162"/>
      <c r="O9" s="162" t="s">
        <v>439</v>
      </c>
      <c r="P9" s="161"/>
      <c r="Q9" s="162"/>
      <c r="S9" s="162" t="s">
        <v>17</v>
      </c>
      <c r="T9" s="161"/>
      <c r="U9" s="162"/>
      <c r="W9" s="270" t="s">
        <v>405</v>
      </c>
      <c r="X9" s="271"/>
      <c r="Y9" s="272"/>
      <c r="Z9" s="241"/>
    </row>
    <row r="10" spans="1:27" ht="15.75">
      <c r="A10" s="174" t="s">
        <v>456</v>
      </c>
      <c r="B10" s="242"/>
      <c r="C10" s="243" t="s">
        <v>397</v>
      </c>
      <c r="E10" s="243" t="s">
        <v>457</v>
      </c>
      <c r="G10" s="166" t="s">
        <v>395</v>
      </c>
      <c r="I10" s="238" t="s">
        <v>6</v>
      </c>
      <c r="K10" s="175" t="s">
        <v>398</v>
      </c>
      <c r="M10" s="174" t="s">
        <v>46</v>
      </c>
      <c r="O10" s="166" t="s">
        <v>395</v>
      </c>
      <c r="Q10" s="238" t="s">
        <v>6</v>
      </c>
      <c r="S10" s="175" t="s">
        <v>398</v>
      </c>
      <c r="U10" s="174" t="s">
        <v>46</v>
      </c>
      <c r="W10" s="186" t="s">
        <v>100</v>
      </c>
      <c r="X10" s="187">
        <f>'Exhibit RMP(WRG-3)'!G224</f>
        <v>62</v>
      </c>
      <c r="Y10" s="188">
        <f>'Exhibit RMP(WRG-3)'!M224</f>
        <v>68</v>
      </c>
      <c r="Z10" s="187"/>
    </row>
    <row r="11" spans="1:27" ht="16.5" customHeight="1">
      <c r="A11" s="159">
        <v>1000</v>
      </c>
      <c r="C11" s="159">
        <f>A11*0.5*730</f>
        <v>365000</v>
      </c>
      <c r="E11" s="203">
        <v>0.6</v>
      </c>
      <c r="G11" s="267">
        <f>ROUND(($X$10+(($X$12*(1+$X$32)+$X$11+$X$13)*$A11+($X$14*$E11+$X$15*(1-$E11))/100*$C11*(1+$X$32))*(1+$X$17))+$X$16,2)</f>
        <v>31398.26</v>
      </c>
      <c r="H11" s="267"/>
      <c r="I11" s="267">
        <f>ROUND(($Y$10+(($Y$12*(1+$Y$32)+$Y$11+$Y$13)*$A11+($Y$14*$E11+$Y$15*(1-$E11))/100*$C11*(1+$Y$32))*(1+$Y$17))+$Y$16,2)</f>
        <v>34615.24</v>
      </c>
      <c r="J11" s="267"/>
      <c r="K11" s="267">
        <f t="shared" ref="K11:K59" si="0">IF(I11="","",I11-G11)</f>
        <v>3216.9799999999996</v>
      </c>
      <c r="M11" s="273">
        <f t="shared" ref="M11:M59" si="1">IF(K11="","",I11/G11-1)</f>
        <v>0.1024572699251487</v>
      </c>
      <c r="O11" s="267">
        <f>ROUND(($X$19+(($X$21*(1+$X$32)+$X$20+$X$22)*$A11+($X$23*$E11+$X$24*(1-$E11))/100*$C11*(1+$X$32))*(1+$X$26))+$X$25,2)</f>
        <v>25410.09</v>
      </c>
      <c r="P11" s="267"/>
      <c r="Q11" s="267">
        <f>ROUND(($Y$19+(($Y$21*(1+$Y$32)+$Y$20+$Y$22)*$A11+($Y$23*$E11+$Y$24*(1-$E11))/100*$C11*(1+$Y$32))*(1+$Y$26))+$Y$25,2)</f>
        <v>28009.91</v>
      </c>
      <c r="R11" s="267"/>
      <c r="S11" s="267">
        <f t="shared" ref="S11:S59" si="2">IF(Q11="","",Q11-O11)</f>
        <v>2599.8199999999997</v>
      </c>
      <c r="U11" s="273">
        <f t="shared" ref="U11:U59" si="3">IF(S11="","",Q11/O11-1)</f>
        <v>0.1023144742895441</v>
      </c>
      <c r="W11" s="186" t="s">
        <v>458</v>
      </c>
      <c r="X11" s="187">
        <f>'Exhibit RMP(WRG-3)'!G225</f>
        <v>4.22</v>
      </c>
      <c r="Y11" s="188">
        <f>'Exhibit RMP(WRG-3)'!M225</f>
        <v>4.6500000000000004</v>
      </c>
      <c r="Z11" s="187"/>
      <c r="AA11" s="171"/>
    </row>
    <row r="12" spans="1:27">
      <c r="A12" s="274">
        <f>A11</f>
        <v>1000</v>
      </c>
      <c r="C12" s="274">
        <f>C11</f>
        <v>365000</v>
      </c>
      <c r="E12" s="203">
        <v>0.5</v>
      </c>
      <c r="G12" s="267">
        <f t="shared" ref="G12:G19" si="4">ROUND(($X$10+(($X$12*(1+$X$32)+$X$11+$X$13)*$A12+($X$14*$E12+$X$15*(1-$E12))/100*$C12*(1+$X$32))*(1+$X$17))+$X$16,2)</f>
        <v>30867.11</v>
      </c>
      <c r="H12" s="267"/>
      <c r="I12" s="267">
        <f t="shared" ref="I12:I19" si="5">ROUND(($Y$10+(($Y$12*(1+$Y$32)+$Y$11+$Y$13)*$A12+($Y$14*$E12+$Y$15*(1-$E12))/100*$C12*(1+$Y$32))*(1+$Y$17))+$Y$16,2)</f>
        <v>34029.43</v>
      </c>
      <c r="J12" s="267"/>
      <c r="K12" s="267">
        <f t="shared" si="0"/>
        <v>3162.3199999999997</v>
      </c>
      <c r="M12" s="273">
        <f t="shared" si="1"/>
        <v>0.10244950045533896</v>
      </c>
      <c r="O12" s="267">
        <f t="shared" ref="O12:O19" si="6">ROUND(($X$19+(($X$21*(1+$X$32)+$X$20+$X$22)*$A12+($X$23*$E12+$X$24*(1-$E12))/100*$C12*(1+$X$32))*(1+$X$26))+$X$25,2)</f>
        <v>25233.43</v>
      </c>
      <c r="P12" s="267"/>
      <c r="Q12" s="267">
        <f t="shared" ref="Q12:Q19" si="7">ROUND(($Y$19+(($Y$21*(1+$Y$32)+$Y$20+$Y$22)*$A12+($Y$23*$E12+$Y$24*(1-$E12))/100*$C12*(1+$Y$32))*(1+$Y$26))+$Y$25,2)</f>
        <v>27814.94</v>
      </c>
      <c r="R12" s="267"/>
      <c r="S12" s="267">
        <f t="shared" si="2"/>
        <v>2581.5099999999984</v>
      </c>
      <c r="U12" s="273">
        <f t="shared" si="3"/>
        <v>0.10230515629464554</v>
      </c>
      <c r="W12" s="186" t="s">
        <v>459</v>
      </c>
      <c r="X12" s="187">
        <f>'Exhibit RMP(WRG-3)'!G226</f>
        <v>13.81</v>
      </c>
      <c r="Y12" s="188">
        <f>'Exhibit RMP(WRG-3)'!M226</f>
        <v>15.23</v>
      </c>
      <c r="Z12" s="187"/>
      <c r="AA12" s="171"/>
    </row>
    <row r="13" spans="1:27">
      <c r="A13" s="274">
        <f>A12</f>
        <v>1000</v>
      </c>
      <c r="C13" s="274">
        <f>C12</f>
        <v>365000</v>
      </c>
      <c r="E13" s="203">
        <v>0.4</v>
      </c>
      <c r="G13" s="267">
        <f t="shared" si="4"/>
        <v>30335.96</v>
      </c>
      <c r="H13" s="267"/>
      <c r="I13" s="267">
        <f t="shared" si="5"/>
        <v>33443.620000000003</v>
      </c>
      <c r="J13" s="267"/>
      <c r="K13" s="267">
        <f t="shared" si="0"/>
        <v>3107.6600000000035</v>
      </c>
      <c r="M13" s="273">
        <f t="shared" si="1"/>
        <v>0.10244145891542589</v>
      </c>
      <c r="O13" s="267">
        <f t="shared" si="6"/>
        <v>25056.77</v>
      </c>
      <c r="P13" s="267"/>
      <c r="Q13" s="267">
        <f t="shared" si="7"/>
        <v>27619.96</v>
      </c>
      <c r="R13" s="267"/>
      <c r="S13" s="267">
        <f t="shared" si="2"/>
        <v>2563.1899999999987</v>
      </c>
      <c r="U13" s="273">
        <f t="shared" si="3"/>
        <v>0.1022953078150135</v>
      </c>
      <c r="W13" s="186" t="s">
        <v>444</v>
      </c>
      <c r="X13" s="187">
        <f>'Exhibit RMP(WRG-3)'!G228</f>
        <v>-1.01</v>
      </c>
      <c r="Y13" s="188">
        <f>'Exhibit RMP(WRG-3)'!M228</f>
        <v>-1.1100000000000001</v>
      </c>
      <c r="Z13" s="187"/>
      <c r="AA13" s="171"/>
    </row>
    <row r="14" spans="1:27">
      <c r="A14" s="274">
        <f>A13</f>
        <v>1000</v>
      </c>
      <c r="C14" s="159">
        <f>A11*0.7*730</f>
        <v>511000</v>
      </c>
      <c r="E14" s="203">
        <f t="shared" ref="E14:E19" si="8">E11</f>
        <v>0.6</v>
      </c>
      <c r="G14" s="267">
        <f t="shared" si="4"/>
        <v>37076.17</v>
      </c>
      <c r="H14" s="267"/>
      <c r="I14" s="267">
        <f t="shared" si="5"/>
        <v>40874.61</v>
      </c>
      <c r="J14" s="267"/>
      <c r="K14" s="267">
        <f t="shared" si="0"/>
        <v>3798.4400000000023</v>
      </c>
      <c r="M14" s="273">
        <f t="shared" si="1"/>
        <v>0.1024496327425406</v>
      </c>
      <c r="O14" s="267">
        <f t="shared" si="6"/>
        <v>30237.24</v>
      </c>
      <c r="P14" s="267"/>
      <c r="Q14" s="267">
        <f t="shared" si="7"/>
        <v>33331.29</v>
      </c>
      <c r="R14" s="267"/>
      <c r="S14" s="267">
        <f t="shared" si="2"/>
        <v>3094.0499999999993</v>
      </c>
      <c r="U14" s="273">
        <f t="shared" si="3"/>
        <v>0.10232580751417775</v>
      </c>
      <c r="W14" s="186" t="s">
        <v>460</v>
      </c>
      <c r="X14" s="252">
        <f>'Exhibit RMP(WRG-3)'!G229</f>
        <v>4.4812000000000003</v>
      </c>
      <c r="Y14" s="253">
        <f>'Exhibit RMP(WRG-3)'!M229</f>
        <v>4.9404000000000003</v>
      </c>
      <c r="Z14" s="254"/>
      <c r="AA14" s="275"/>
    </row>
    <row r="15" spans="1:27">
      <c r="A15" s="274">
        <f>A14</f>
        <v>1000</v>
      </c>
      <c r="C15" s="274">
        <f>C14</f>
        <v>511000</v>
      </c>
      <c r="E15" s="203">
        <f t="shared" si="8"/>
        <v>0.5</v>
      </c>
      <c r="G15" s="267">
        <f t="shared" si="4"/>
        <v>36332.559999999998</v>
      </c>
      <c r="H15" s="267"/>
      <c r="I15" s="267">
        <f t="shared" si="5"/>
        <v>40054.480000000003</v>
      </c>
      <c r="J15" s="267"/>
      <c r="K15" s="267">
        <f t="shared" si="0"/>
        <v>3721.9200000000055</v>
      </c>
      <c r="M15" s="273">
        <f t="shared" si="1"/>
        <v>0.10244034551928083</v>
      </c>
      <c r="O15" s="267">
        <f t="shared" si="6"/>
        <v>29989.91</v>
      </c>
      <c r="P15" s="267"/>
      <c r="Q15" s="267">
        <f t="shared" si="7"/>
        <v>33058.32</v>
      </c>
      <c r="R15" s="267"/>
      <c r="S15" s="267">
        <f t="shared" si="2"/>
        <v>3068.41</v>
      </c>
      <c r="U15" s="273">
        <f t="shared" si="3"/>
        <v>0.10231474519263317</v>
      </c>
      <c r="W15" s="186" t="s">
        <v>461</v>
      </c>
      <c r="X15" s="252">
        <f>'Exhibit RMP(WRG-3)'!G231</f>
        <v>3.0226999999999999</v>
      </c>
      <c r="Y15" s="253">
        <f>'Exhibit RMP(WRG-3)'!M231</f>
        <v>3.3317999999999999</v>
      </c>
      <c r="Z15" s="254"/>
      <c r="AA15" s="275"/>
    </row>
    <row r="16" spans="1:27">
      <c r="A16" s="274">
        <f>A15</f>
        <v>1000</v>
      </c>
      <c r="C16" s="274">
        <f>C15</f>
        <v>511000</v>
      </c>
      <c r="E16" s="203">
        <f t="shared" si="8"/>
        <v>0.4</v>
      </c>
      <c r="G16" s="267">
        <f t="shared" si="4"/>
        <v>35588.959999999999</v>
      </c>
      <c r="H16" s="267"/>
      <c r="I16" s="267">
        <f t="shared" si="5"/>
        <v>39234.339999999997</v>
      </c>
      <c r="J16" s="267"/>
      <c r="K16" s="267">
        <f t="shared" si="0"/>
        <v>3645.3799999999974</v>
      </c>
      <c r="M16" s="273">
        <f t="shared" si="1"/>
        <v>0.10243007944036564</v>
      </c>
      <c r="O16" s="267">
        <f t="shared" si="6"/>
        <v>29742.58</v>
      </c>
      <c r="P16" s="267"/>
      <c r="Q16" s="267">
        <f t="shared" si="7"/>
        <v>32785.35</v>
      </c>
      <c r="R16" s="267"/>
      <c r="S16" s="267">
        <f t="shared" si="2"/>
        <v>3042.7699999999968</v>
      </c>
      <c r="U16" s="273">
        <f t="shared" si="3"/>
        <v>0.10230349888947088</v>
      </c>
      <c r="W16" s="186" t="s">
        <v>415</v>
      </c>
      <c r="X16" s="187">
        <v>50</v>
      </c>
      <c r="Y16" s="256">
        <f>X16</f>
        <v>50</v>
      </c>
      <c r="Z16" s="187"/>
      <c r="AA16" s="171"/>
    </row>
    <row r="17" spans="1:27">
      <c r="A17" s="274">
        <f>A14</f>
        <v>1000</v>
      </c>
      <c r="C17" s="159">
        <f>A11*0.9*730</f>
        <v>657000</v>
      </c>
      <c r="E17" s="203">
        <f t="shared" si="8"/>
        <v>0.6</v>
      </c>
      <c r="G17" s="267">
        <f t="shared" si="4"/>
        <v>42754.09</v>
      </c>
      <c r="H17" s="267"/>
      <c r="I17" s="267">
        <f t="shared" si="5"/>
        <v>47133.98</v>
      </c>
      <c r="J17" s="267"/>
      <c r="K17" s="267">
        <f t="shared" si="0"/>
        <v>4379.8900000000067</v>
      </c>
      <c r="M17" s="273">
        <f t="shared" si="1"/>
        <v>0.10244376619874274</v>
      </c>
      <c r="O17" s="267">
        <f t="shared" si="6"/>
        <v>35064.379999999997</v>
      </c>
      <c r="P17" s="267"/>
      <c r="Q17" s="267">
        <f t="shared" si="7"/>
        <v>38652.660000000003</v>
      </c>
      <c r="R17" s="267"/>
      <c r="S17" s="267">
        <f t="shared" si="2"/>
        <v>3588.2800000000061</v>
      </c>
      <c r="U17" s="273">
        <f t="shared" si="3"/>
        <v>0.10233404953973246</v>
      </c>
      <c r="W17" s="186" t="s">
        <v>417</v>
      </c>
      <c r="X17" s="257">
        <v>3.2000000000000001E-2</v>
      </c>
      <c r="Y17" s="269">
        <f>X17</f>
        <v>3.2000000000000001E-2</v>
      </c>
      <c r="Z17" s="257"/>
      <c r="AA17" s="171"/>
    </row>
    <row r="18" spans="1:27" ht="13.5">
      <c r="A18" s="274">
        <f>A15</f>
        <v>1000</v>
      </c>
      <c r="C18" s="274">
        <f>C17</f>
        <v>657000</v>
      </c>
      <c r="E18" s="203">
        <f t="shared" si="8"/>
        <v>0.5</v>
      </c>
      <c r="G18" s="267">
        <f t="shared" si="4"/>
        <v>41798.019999999997</v>
      </c>
      <c r="H18" s="267"/>
      <c r="I18" s="267">
        <f t="shared" si="5"/>
        <v>46079.519999999997</v>
      </c>
      <c r="J18" s="267"/>
      <c r="K18" s="267">
        <f t="shared" si="0"/>
        <v>4281.5</v>
      </c>
      <c r="M18" s="273">
        <f t="shared" si="1"/>
        <v>0.10243308175841825</v>
      </c>
      <c r="O18" s="267">
        <f t="shared" si="6"/>
        <v>34746.39</v>
      </c>
      <c r="P18" s="267"/>
      <c r="Q18" s="267">
        <f t="shared" si="7"/>
        <v>38301.699999999997</v>
      </c>
      <c r="R18" s="267"/>
      <c r="S18" s="267">
        <f t="shared" si="2"/>
        <v>3555.3099999999977</v>
      </c>
      <c r="U18" s="273">
        <f t="shared" si="3"/>
        <v>0.10232170881636904</v>
      </c>
      <c r="W18" s="249" t="s">
        <v>406</v>
      </c>
      <c r="X18" s="148"/>
      <c r="Y18" s="185"/>
      <c r="Z18" s="187"/>
      <c r="AA18" s="171"/>
    </row>
    <row r="19" spans="1:27">
      <c r="A19" s="274">
        <f>A16</f>
        <v>1000</v>
      </c>
      <c r="C19" s="274">
        <f>C18</f>
        <v>657000</v>
      </c>
      <c r="E19" s="203">
        <f t="shared" si="8"/>
        <v>0.4</v>
      </c>
      <c r="G19" s="267">
        <f t="shared" si="4"/>
        <v>40841.949999999997</v>
      </c>
      <c r="H19" s="267"/>
      <c r="I19" s="267">
        <f t="shared" si="5"/>
        <v>45025.06</v>
      </c>
      <c r="J19" s="267"/>
      <c r="K19" s="267">
        <f t="shared" si="0"/>
        <v>4183.1100000000006</v>
      </c>
      <c r="M19" s="273">
        <f t="shared" si="1"/>
        <v>0.10242189709355221</v>
      </c>
      <c r="O19" s="267">
        <f t="shared" si="6"/>
        <v>34428.400000000001</v>
      </c>
      <c r="P19" s="267"/>
      <c r="Q19" s="267">
        <f t="shared" si="7"/>
        <v>37950.730000000003</v>
      </c>
      <c r="R19" s="267"/>
      <c r="S19" s="267">
        <f t="shared" si="2"/>
        <v>3522.3300000000017</v>
      </c>
      <c r="U19" s="273">
        <f t="shared" si="3"/>
        <v>0.10230884967062082</v>
      </c>
      <c r="W19" s="186" t="s">
        <v>100</v>
      </c>
      <c r="X19" s="194">
        <f>X10</f>
        <v>62</v>
      </c>
      <c r="Y19" s="195">
        <f>Y10</f>
        <v>68</v>
      </c>
      <c r="Z19" s="194"/>
      <c r="AA19" s="171"/>
    </row>
    <row r="20" spans="1:27">
      <c r="G20" s="267"/>
      <c r="H20" s="267"/>
      <c r="I20" s="267"/>
      <c r="J20" s="267"/>
      <c r="K20" s="267" t="str">
        <f t="shared" si="0"/>
        <v/>
      </c>
      <c r="M20" s="273" t="str">
        <f t="shared" si="1"/>
        <v/>
      </c>
      <c r="O20" s="267"/>
      <c r="P20" s="267"/>
      <c r="Q20" s="267"/>
      <c r="R20" s="267"/>
      <c r="S20" s="267" t="str">
        <f t="shared" si="2"/>
        <v/>
      </c>
      <c r="U20" s="273" t="str">
        <f t="shared" si="3"/>
        <v/>
      </c>
      <c r="W20" s="186" t="s">
        <v>458</v>
      </c>
      <c r="X20" s="194">
        <f>X11</f>
        <v>4.22</v>
      </c>
      <c r="Y20" s="195">
        <f>Y11</f>
        <v>4.6500000000000004</v>
      </c>
      <c r="Z20" s="194"/>
      <c r="AA20" s="171"/>
    </row>
    <row r="21" spans="1:27">
      <c r="A21" s="159">
        <v>2000</v>
      </c>
      <c r="C21" s="159">
        <f>A21*0.5*730</f>
        <v>730000</v>
      </c>
      <c r="E21" s="203">
        <v>0.6</v>
      </c>
      <c r="G21" s="267">
        <f t="shared" ref="G21:G29" si="9">ROUND(($X$10+(($X$12*(1+$X$32)+$X$11+$X$13)*$A21+($X$14*$E21+$X$15*(1-$E21))/100*$C21*(1+$X$32))*(1+$X$17))+$X$16,2)</f>
        <v>62684.52</v>
      </c>
      <c r="H21" s="267"/>
      <c r="I21" s="267">
        <f t="shared" ref="I21:I29" si="10">ROUND(($Y$10+(($Y$12*(1+$Y$32)+$Y$11+$Y$13)*$A21+($Y$14*$E21+$Y$15*(1-$E21))/100*$C21*(1+$Y$32))*(1+$Y$17))+$Y$16,2)</f>
        <v>69112.490000000005</v>
      </c>
      <c r="J21" s="267"/>
      <c r="K21" s="267">
        <f t="shared" si="0"/>
        <v>6427.9700000000084</v>
      </c>
      <c r="M21" s="273">
        <f t="shared" si="1"/>
        <v>0.10254477500984316</v>
      </c>
      <c r="O21" s="267">
        <f>ROUND(($X$19+(($X$21*(1+$X$32)+$X$20+$X$22)*$A21+($X$23*$E21+$X$24*(1-$E21))/100*$C21*(1+$X$32))*(1+$X$26))+$X$25,2)</f>
        <v>50708.18</v>
      </c>
      <c r="P21" s="267"/>
      <c r="Q21" s="267">
        <f t="shared" ref="Q21:Q29" si="11">ROUND(($Y$19+(($Y$21*(1+$Y$32)+$Y$20+$Y$22)*$A21+($Y$23*$E21+$Y$24*(1-$E21))/100*$C21*(1+$Y$32))*(1+$Y$26))+$Y$25,2)</f>
        <v>55901.83</v>
      </c>
      <c r="R21" s="267"/>
      <c r="S21" s="267">
        <f t="shared" si="2"/>
        <v>5193.6500000000015</v>
      </c>
      <c r="U21" s="273">
        <f t="shared" si="3"/>
        <v>0.1024223310716339</v>
      </c>
      <c r="W21" s="186" t="s">
        <v>459</v>
      </c>
      <c r="X21" s="187">
        <f>'Exhibit RMP(WRG-3)'!G227</f>
        <v>9.94</v>
      </c>
      <c r="Y21" s="188">
        <f>'Exhibit RMP(WRG-3)'!M227</f>
        <v>10.96</v>
      </c>
      <c r="Z21" s="187"/>
      <c r="AA21" s="171"/>
    </row>
    <row r="22" spans="1:27">
      <c r="A22" s="274">
        <f>A21</f>
        <v>2000</v>
      </c>
      <c r="C22" s="274">
        <f>C21</f>
        <v>730000</v>
      </c>
      <c r="E22" s="203">
        <v>0.5</v>
      </c>
      <c r="G22" s="267">
        <f t="shared" si="9"/>
        <v>61622.22</v>
      </c>
      <c r="H22" s="267"/>
      <c r="I22" s="267">
        <f t="shared" si="10"/>
        <v>67940.87</v>
      </c>
      <c r="J22" s="267"/>
      <c r="K22" s="267">
        <f t="shared" si="0"/>
        <v>6318.6499999999942</v>
      </c>
      <c r="M22" s="273">
        <f t="shared" si="1"/>
        <v>0.10253849991123332</v>
      </c>
      <c r="O22" s="267">
        <f t="shared" ref="O22:O29" si="12">ROUND(($X$19+(($X$21*(1+$X$32)+$X$20+$X$22)*$A22+($X$23*$E22+$X$24*(1-$E22))/100*$C22*(1+$X$32))*(1+$X$26))+$X$25,2)</f>
        <v>50354.86</v>
      </c>
      <c r="P22" s="267"/>
      <c r="Q22" s="267">
        <f t="shared" si="11"/>
        <v>55511.87</v>
      </c>
      <c r="R22" s="267"/>
      <c r="S22" s="267">
        <f t="shared" si="2"/>
        <v>5157.010000000002</v>
      </c>
      <c r="U22" s="273">
        <f t="shared" si="3"/>
        <v>0.10241335195848023</v>
      </c>
      <c r="W22" s="186" t="s">
        <v>444</v>
      </c>
      <c r="X22" s="194">
        <f>X13</f>
        <v>-1.01</v>
      </c>
      <c r="Y22" s="195">
        <f>Y13</f>
        <v>-1.1100000000000001</v>
      </c>
      <c r="Z22" s="194"/>
      <c r="AA22" s="171"/>
    </row>
    <row r="23" spans="1:27">
      <c r="A23" s="274">
        <f>A22</f>
        <v>2000</v>
      </c>
      <c r="C23" s="274">
        <f>C22</f>
        <v>730000</v>
      </c>
      <c r="E23" s="203">
        <v>0.4</v>
      </c>
      <c r="G23" s="267">
        <f t="shared" si="9"/>
        <v>60559.93</v>
      </c>
      <c r="H23" s="267"/>
      <c r="I23" s="267">
        <f t="shared" si="10"/>
        <v>66769.25</v>
      </c>
      <c r="J23" s="267"/>
      <c r="K23" s="267">
        <f t="shared" si="0"/>
        <v>6209.32</v>
      </c>
      <c r="M23" s="273">
        <f t="shared" si="1"/>
        <v>0.10253182260943827</v>
      </c>
      <c r="O23" s="267">
        <f t="shared" si="12"/>
        <v>50001.54</v>
      </c>
      <c r="P23" s="267"/>
      <c r="Q23" s="267">
        <f t="shared" si="11"/>
        <v>55121.91</v>
      </c>
      <c r="R23" s="267"/>
      <c r="S23" s="267">
        <f t="shared" si="2"/>
        <v>5120.3700000000026</v>
      </c>
      <c r="U23" s="273">
        <f t="shared" si="3"/>
        <v>0.1024042459492247</v>
      </c>
      <c r="W23" s="186" t="s">
        <v>460</v>
      </c>
      <c r="X23" s="252">
        <f>'Exhibit RMP(WRG-3)'!G230</f>
        <v>3.5078</v>
      </c>
      <c r="Y23" s="253">
        <f>'Exhibit RMP(WRG-3)'!M230</f>
        <v>3.8672</v>
      </c>
      <c r="Z23" s="254"/>
      <c r="AA23" s="276"/>
    </row>
    <row r="24" spans="1:27">
      <c r="A24" s="274">
        <f>A23</f>
        <v>2000</v>
      </c>
      <c r="C24" s="159">
        <f>A21*0.7*730</f>
        <v>1022000</v>
      </c>
      <c r="E24" s="203">
        <f t="shared" ref="E24:E29" si="13">E21</f>
        <v>0.6</v>
      </c>
      <c r="G24" s="267">
        <f t="shared" si="9"/>
        <v>74040.34</v>
      </c>
      <c r="H24" s="267"/>
      <c r="I24" s="267">
        <f t="shared" si="10"/>
        <v>81631.23</v>
      </c>
      <c r="J24" s="267"/>
      <c r="K24" s="267">
        <f t="shared" si="0"/>
        <v>7590.8899999999994</v>
      </c>
      <c r="M24" s="273">
        <f t="shared" si="1"/>
        <v>0.10252370532064004</v>
      </c>
      <c r="O24" s="267">
        <f>ROUND(($X$19+(($X$21*(1+$X$32)+$X$20+$X$22)*$A24+($X$23*$E24+$X$24*(1-$E24))/100*$C24*(1+$X$32))*(1+$X$26))+$X$25,2)</f>
        <v>60362.47</v>
      </c>
      <c r="P24" s="267"/>
      <c r="Q24" s="267">
        <f t="shared" si="11"/>
        <v>66544.570000000007</v>
      </c>
      <c r="R24" s="267"/>
      <c r="S24" s="267">
        <f t="shared" si="2"/>
        <v>6182.1000000000058</v>
      </c>
      <c r="U24" s="273">
        <f t="shared" si="3"/>
        <v>0.10241628614601095</v>
      </c>
      <c r="W24" s="186" t="s">
        <v>461</v>
      </c>
      <c r="X24" s="252">
        <f>'Exhibit RMP(WRG-3)'!G231</f>
        <v>3.0226999999999999</v>
      </c>
      <c r="Y24" s="277">
        <f>Y15</f>
        <v>3.3317999999999999</v>
      </c>
      <c r="Z24" s="254"/>
      <c r="AA24" s="276"/>
    </row>
    <row r="25" spans="1:27">
      <c r="A25" s="274">
        <f>A24</f>
        <v>2000</v>
      </c>
      <c r="C25" s="274">
        <f>C24</f>
        <v>1022000</v>
      </c>
      <c r="E25" s="203">
        <f t="shared" si="13"/>
        <v>0.5</v>
      </c>
      <c r="G25" s="267">
        <f t="shared" si="9"/>
        <v>72553.13</v>
      </c>
      <c r="H25" s="267"/>
      <c r="I25" s="267">
        <f t="shared" si="10"/>
        <v>79990.960000000006</v>
      </c>
      <c r="J25" s="267"/>
      <c r="K25" s="267">
        <f t="shared" si="0"/>
        <v>7437.8300000000017</v>
      </c>
      <c r="M25" s="273">
        <f t="shared" si="1"/>
        <v>0.10251563233729555</v>
      </c>
      <c r="O25" s="267">
        <f t="shared" si="12"/>
        <v>59867.82</v>
      </c>
      <c r="P25" s="267"/>
      <c r="Q25" s="267">
        <f t="shared" si="11"/>
        <v>65998.63</v>
      </c>
      <c r="R25" s="267"/>
      <c r="S25" s="267">
        <f t="shared" si="2"/>
        <v>6130.8100000000049</v>
      </c>
      <c r="U25" s="273">
        <f t="shared" si="3"/>
        <v>0.10240576657042144</v>
      </c>
      <c r="W25" s="186" t="s">
        <v>415</v>
      </c>
      <c r="X25" s="194">
        <f>X16</f>
        <v>50</v>
      </c>
      <c r="Y25" s="195">
        <f>Y16</f>
        <v>50</v>
      </c>
      <c r="Z25" s="194"/>
      <c r="AA25" s="171"/>
    </row>
    <row r="26" spans="1:27">
      <c r="A26" s="274">
        <f>A25</f>
        <v>2000</v>
      </c>
      <c r="C26" s="274">
        <f>C25</f>
        <v>1022000</v>
      </c>
      <c r="E26" s="203">
        <f t="shared" si="13"/>
        <v>0.4</v>
      </c>
      <c r="G26" s="267">
        <f t="shared" si="9"/>
        <v>71065.919999999998</v>
      </c>
      <c r="H26" s="267"/>
      <c r="I26" s="267">
        <f t="shared" si="10"/>
        <v>78350.69</v>
      </c>
      <c r="J26" s="267"/>
      <c r="K26" s="267">
        <f t="shared" si="0"/>
        <v>7284.7700000000041</v>
      </c>
      <c r="M26" s="273">
        <f t="shared" si="1"/>
        <v>0.10250722146424063</v>
      </c>
      <c r="O26" s="267">
        <f t="shared" si="12"/>
        <v>59373.17</v>
      </c>
      <c r="P26" s="267"/>
      <c r="Q26" s="267">
        <f t="shared" si="11"/>
        <v>65452.69</v>
      </c>
      <c r="R26" s="267"/>
      <c r="S26" s="267">
        <f t="shared" si="2"/>
        <v>6079.5200000000041</v>
      </c>
      <c r="U26" s="273">
        <f t="shared" si="3"/>
        <v>0.10239507171336815</v>
      </c>
      <c r="W26" s="198" t="s">
        <v>417</v>
      </c>
      <c r="X26" s="260">
        <f>X17</f>
        <v>3.2000000000000001E-2</v>
      </c>
      <c r="Y26" s="261">
        <f>Y17</f>
        <v>3.2000000000000001E-2</v>
      </c>
      <c r="Z26" s="201"/>
      <c r="AA26" s="171"/>
    </row>
    <row r="27" spans="1:27">
      <c r="A27" s="274">
        <f>A24</f>
        <v>2000</v>
      </c>
      <c r="C27" s="159">
        <f>A21*0.9*730</f>
        <v>1314000</v>
      </c>
      <c r="E27" s="203">
        <f t="shared" si="13"/>
        <v>0.6</v>
      </c>
      <c r="G27" s="267">
        <f t="shared" si="9"/>
        <v>85396.17</v>
      </c>
      <c r="H27" s="267"/>
      <c r="I27" s="267">
        <f t="shared" si="10"/>
        <v>94149.96</v>
      </c>
      <c r="J27" s="267"/>
      <c r="K27" s="267">
        <f t="shared" si="0"/>
        <v>8753.7900000000081</v>
      </c>
      <c r="M27" s="273">
        <f t="shared" si="1"/>
        <v>0.10250799303996905</v>
      </c>
      <c r="O27" s="267">
        <f t="shared" si="12"/>
        <v>70016.759999999995</v>
      </c>
      <c r="P27" s="267"/>
      <c r="Q27" s="267">
        <f t="shared" si="11"/>
        <v>77187.320000000007</v>
      </c>
      <c r="R27" s="267"/>
      <c r="S27" s="267">
        <f t="shared" si="2"/>
        <v>7170.5600000000122</v>
      </c>
      <c r="U27" s="273">
        <f t="shared" si="3"/>
        <v>0.10241205105748974</v>
      </c>
    </row>
    <row r="28" spans="1:27">
      <c r="A28" s="274">
        <f>A25</f>
        <v>2000</v>
      </c>
      <c r="C28" s="274">
        <f>C27</f>
        <v>1314000</v>
      </c>
      <c r="E28" s="203">
        <f t="shared" si="13"/>
        <v>0.5</v>
      </c>
      <c r="G28" s="267">
        <f t="shared" si="9"/>
        <v>83484.039999999994</v>
      </c>
      <c r="H28" s="267"/>
      <c r="I28" s="267">
        <f t="shared" si="10"/>
        <v>92041.04</v>
      </c>
      <c r="J28" s="267"/>
      <c r="K28" s="267">
        <f t="shared" si="0"/>
        <v>8557</v>
      </c>
      <c r="M28" s="273">
        <f t="shared" si="1"/>
        <v>0.10249863327170083</v>
      </c>
      <c r="O28" s="267">
        <f t="shared" si="12"/>
        <v>69380.78</v>
      </c>
      <c r="P28" s="267"/>
      <c r="Q28" s="267">
        <f t="shared" si="11"/>
        <v>76485.39</v>
      </c>
      <c r="R28" s="267"/>
      <c r="S28" s="267">
        <f t="shared" si="2"/>
        <v>7104.6100000000006</v>
      </c>
      <c r="U28" s="273">
        <f t="shared" si="3"/>
        <v>0.10240026128273572</v>
      </c>
      <c r="W28" s="150" t="s">
        <v>419</v>
      </c>
      <c r="Y28" s="202">
        <f>'SJB-2'!Q24</f>
        <v>0.10246492664868848</v>
      </c>
    </row>
    <row r="29" spans="1:27">
      <c r="A29" s="274">
        <f>A26</f>
        <v>2000</v>
      </c>
      <c r="C29" s="274">
        <f>C28</f>
        <v>1314000</v>
      </c>
      <c r="E29" s="203">
        <f t="shared" si="13"/>
        <v>0.4</v>
      </c>
      <c r="G29" s="267">
        <f t="shared" si="9"/>
        <v>81571.899999999994</v>
      </c>
      <c r="H29" s="267"/>
      <c r="I29" s="267">
        <f t="shared" si="10"/>
        <v>89932.13</v>
      </c>
      <c r="J29" s="267"/>
      <c r="K29" s="267">
        <f t="shared" si="0"/>
        <v>8360.2300000000105</v>
      </c>
      <c r="M29" s="273">
        <f t="shared" si="1"/>
        <v>0.10248909244482496</v>
      </c>
      <c r="O29" s="267">
        <f t="shared" si="12"/>
        <v>68744.800000000003</v>
      </c>
      <c r="P29" s="267"/>
      <c r="Q29" s="267">
        <f t="shared" si="11"/>
        <v>75783.47</v>
      </c>
      <c r="R29" s="267"/>
      <c r="S29" s="267">
        <f t="shared" si="2"/>
        <v>7038.6699999999983</v>
      </c>
      <c r="U29" s="273">
        <f t="shared" si="3"/>
        <v>0.10238839883162076</v>
      </c>
      <c r="W29" s="150" t="s">
        <v>420</v>
      </c>
      <c r="X29" s="201"/>
    </row>
    <row r="30" spans="1:27">
      <c r="G30" s="267"/>
      <c r="H30" s="267"/>
      <c r="I30" s="267"/>
      <c r="J30" s="267"/>
      <c r="K30" s="267" t="str">
        <f t="shared" si="0"/>
        <v/>
      </c>
      <c r="M30" s="273" t="str">
        <f t="shared" si="1"/>
        <v/>
      </c>
      <c r="O30" s="267"/>
      <c r="P30" s="267"/>
      <c r="Q30" s="267"/>
      <c r="R30" s="267"/>
      <c r="S30" s="267" t="str">
        <f t="shared" si="2"/>
        <v/>
      </c>
      <c r="U30" s="273" t="str">
        <f t="shared" si="3"/>
        <v/>
      </c>
      <c r="W30" s="150" t="s">
        <v>421</v>
      </c>
      <c r="X30" s="201"/>
      <c r="Y30" s="202"/>
      <c r="Z30" s="202"/>
    </row>
    <row r="31" spans="1:27">
      <c r="A31" s="159">
        <v>4000</v>
      </c>
      <c r="C31" s="159">
        <f>A31*0.5*730</f>
        <v>1460000</v>
      </c>
      <c r="E31" s="203">
        <v>0.6</v>
      </c>
      <c r="G31" s="267">
        <f>ROUND(($X$10+(($X$12*(1+$X$32)+$X$11+$X$13)*$A31+($X$14*$E31+$X$15*(1-$E31))/100*$C31*(1+$X$32))*(1+$X$17))+$X$16,2)</f>
        <v>125257.04</v>
      </c>
      <c r="H31" s="267"/>
      <c r="I31" s="267">
        <f t="shared" ref="I31:I59" si="14">ROUND(($Y$10+(($Y$12*(1+$Y$32)+$Y$11+$Y$13)*$A31+($Y$14*$E31+$Y$15*(1-$E31))/100*$C31*(1+$Y$32))*(1+$Y$17))+$Y$16,2)</f>
        <v>138106.98000000001</v>
      </c>
      <c r="J31" s="267"/>
      <c r="K31" s="267">
        <f t="shared" si="0"/>
        <v>12849.940000000017</v>
      </c>
      <c r="M31" s="273">
        <f t="shared" si="1"/>
        <v>0.10258856508185099</v>
      </c>
      <c r="O31" s="267">
        <f t="shared" ref="O31:O39" si="15">ROUND(($X$19+(($X$21*(1+$X$32)+$X$20+$X$22)*$A31+($X$23*$E31+$X$24*(1-$E31))/100*$C31*(1+$X$32))*(1+$X$26))+$X$25,2)</f>
        <v>101304.37</v>
      </c>
      <c r="P31" s="267"/>
      <c r="Q31" s="267">
        <f t="shared" ref="Q31:Q39" si="16">ROUND(($Y$19+(($Y$21*(1+$Y$32)+$Y$20+$Y$22)*$A31+($Y$23*$E31+$Y$24*(1-$E31))/100*$C31*(1+$Y$32))*(1+$Y$26))+$Y$25,2)</f>
        <v>111685.66</v>
      </c>
      <c r="R31" s="267"/>
      <c r="S31" s="267">
        <f t="shared" si="2"/>
        <v>10381.290000000008</v>
      </c>
      <c r="U31" s="273">
        <f t="shared" si="3"/>
        <v>0.10247623078846457</v>
      </c>
      <c r="W31" s="150" t="s">
        <v>422</v>
      </c>
      <c r="X31" s="201">
        <v>-3.32E-2</v>
      </c>
      <c r="Y31" s="202">
        <f>X31</f>
        <v>-3.32E-2</v>
      </c>
    </row>
    <row r="32" spans="1:27">
      <c r="A32" s="274">
        <f>A31</f>
        <v>4000</v>
      </c>
      <c r="C32" s="274">
        <f>C31</f>
        <v>1460000</v>
      </c>
      <c r="E32" s="203">
        <v>0.5</v>
      </c>
      <c r="G32" s="267">
        <f t="shared" ref="G32:G59" si="17">ROUND(($X$10+(($X$12*(1+$X$32)+$X$11+$X$13)*$A32+($X$14*$E32+$X$15*(1-$E32))/100*$C32*(1+$X$32))*(1+$X$17))+$X$16,2)</f>
        <v>123132.44</v>
      </c>
      <c r="H32" s="267"/>
      <c r="I32" s="267">
        <f t="shared" si="14"/>
        <v>135763.73000000001</v>
      </c>
      <c r="J32" s="267"/>
      <c r="K32" s="267">
        <f t="shared" si="0"/>
        <v>12631.290000000008</v>
      </c>
      <c r="M32" s="273">
        <f t="shared" si="1"/>
        <v>0.10258295864193068</v>
      </c>
      <c r="O32" s="267">
        <f t="shared" si="15"/>
        <v>100597.72</v>
      </c>
      <c r="P32" s="267"/>
      <c r="Q32" s="267">
        <f t="shared" si="16"/>
        <v>110905.74</v>
      </c>
      <c r="R32" s="267"/>
      <c r="S32" s="267">
        <f t="shared" si="2"/>
        <v>10308.020000000004</v>
      </c>
      <c r="U32" s="273">
        <f t="shared" si="3"/>
        <v>0.10246772988493191</v>
      </c>
      <c r="W32" s="148" t="s">
        <v>423</v>
      </c>
      <c r="X32" s="201">
        <f>SUM(X29:X31)</f>
        <v>-3.32E-2</v>
      </c>
      <c r="Y32" s="202">
        <f>SUM(Y29:Y31)</f>
        <v>-3.32E-2</v>
      </c>
    </row>
    <row r="33" spans="1:21">
      <c r="A33" s="274">
        <f>A32</f>
        <v>4000</v>
      </c>
      <c r="C33" s="274">
        <f>C32</f>
        <v>1460000</v>
      </c>
      <c r="E33" s="203">
        <v>0.4</v>
      </c>
      <c r="G33" s="267">
        <f t="shared" si="17"/>
        <v>121007.85</v>
      </c>
      <c r="H33" s="267"/>
      <c r="I33" s="267">
        <f t="shared" si="14"/>
        <v>133420.49</v>
      </c>
      <c r="J33" s="267"/>
      <c r="K33" s="267">
        <f t="shared" si="0"/>
        <v>12412.639999999985</v>
      </c>
      <c r="M33" s="273">
        <f t="shared" si="1"/>
        <v>0.10257714685452202</v>
      </c>
      <c r="O33" s="267">
        <f t="shared" si="15"/>
        <v>99891.08</v>
      </c>
      <c r="P33" s="267"/>
      <c r="Q33" s="267">
        <f t="shared" si="16"/>
        <v>110125.83</v>
      </c>
      <c r="R33" s="267"/>
      <c r="S33" s="267">
        <f t="shared" si="2"/>
        <v>10234.75</v>
      </c>
      <c r="U33" s="273">
        <f t="shared" si="3"/>
        <v>0.10245909845003176</v>
      </c>
    </row>
    <row r="34" spans="1:21">
      <c r="A34" s="274">
        <f>A33</f>
        <v>4000</v>
      </c>
      <c r="C34" s="159">
        <f>A31*0.7*730</f>
        <v>2044000</v>
      </c>
      <c r="E34" s="203">
        <f t="shared" ref="E34:E39" si="18">E31</f>
        <v>0.6</v>
      </c>
      <c r="G34" s="267">
        <f t="shared" si="17"/>
        <v>147968.69</v>
      </c>
      <c r="H34" s="267"/>
      <c r="I34" s="267">
        <f t="shared" si="14"/>
        <v>163144.45000000001</v>
      </c>
      <c r="J34" s="267"/>
      <c r="K34" s="267">
        <f t="shared" si="0"/>
        <v>15175.760000000009</v>
      </c>
      <c r="M34" s="273">
        <f t="shared" si="1"/>
        <v>0.10256061603302702</v>
      </c>
      <c r="O34" s="267">
        <f t="shared" si="15"/>
        <v>120612.94</v>
      </c>
      <c r="P34" s="267"/>
      <c r="Q34" s="267">
        <f t="shared" si="16"/>
        <v>132971.14000000001</v>
      </c>
      <c r="R34" s="267"/>
      <c r="S34" s="267">
        <f t="shared" si="2"/>
        <v>12358.200000000012</v>
      </c>
      <c r="U34" s="273">
        <f t="shared" si="3"/>
        <v>0.1024616430044738</v>
      </c>
    </row>
    <row r="35" spans="1:21">
      <c r="A35" s="274">
        <f>A34</f>
        <v>4000</v>
      </c>
      <c r="C35" s="274">
        <f>C34</f>
        <v>2044000</v>
      </c>
      <c r="E35" s="203">
        <f t="shared" si="18"/>
        <v>0.5</v>
      </c>
      <c r="G35" s="267">
        <f t="shared" si="17"/>
        <v>144994.26</v>
      </c>
      <c r="H35" s="267"/>
      <c r="I35" s="267">
        <f t="shared" si="14"/>
        <v>159863.91</v>
      </c>
      <c r="J35" s="267"/>
      <c r="K35" s="267">
        <f t="shared" si="0"/>
        <v>14869.649999999994</v>
      </c>
      <c r="M35" s="273">
        <f t="shared" si="1"/>
        <v>0.10255337004375198</v>
      </c>
      <c r="O35" s="267">
        <f t="shared" si="15"/>
        <v>119623.64</v>
      </c>
      <c r="P35" s="267"/>
      <c r="Q35" s="267">
        <f t="shared" si="16"/>
        <v>131879.26</v>
      </c>
      <c r="R35" s="267"/>
      <c r="S35" s="267">
        <f t="shared" si="2"/>
        <v>12255.62000000001</v>
      </c>
      <c r="U35" s="273">
        <f t="shared" si="3"/>
        <v>0.10245148868568132</v>
      </c>
    </row>
    <row r="36" spans="1:21">
      <c r="A36" s="274">
        <f>A35</f>
        <v>4000</v>
      </c>
      <c r="C36" s="274">
        <f>C35</f>
        <v>2044000</v>
      </c>
      <c r="E36" s="203">
        <f t="shared" si="18"/>
        <v>0.4</v>
      </c>
      <c r="G36" s="267">
        <f t="shared" si="17"/>
        <v>142019.82999999999</v>
      </c>
      <c r="H36" s="267"/>
      <c r="I36" s="267">
        <f t="shared" si="14"/>
        <v>156583.37</v>
      </c>
      <c r="J36" s="267"/>
      <c r="K36" s="267">
        <f t="shared" si="0"/>
        <v>14563.540000000008</v>
      </c>
      <c r="M36" s="273">
        <f t="shared" si="1"/>
        <v>0.10254582053787842</v>
      </c>
      <c r="O36" s="267">
        <f t="shared" si="15"/>
        <v>118634.34</v>
      </c>
      <c r="P36" s="267"/>
      <c r="Q36" s="267">
        <f t="shared" si="16"/>
        <v>130787.38</v>
      </c>
      <c r="R36" s="267"/>
      <c r="S36" s="267">
        <f t="shared" si="2"/>
        <v>12153.040000000008</v>
      </c>
      <c r="U36" s="273">
        <f t="shared" si="3"/>
        <v>0.1024411650117496</v>
      </c>
    </row>
    <row r="37" spans="1:21">
      <c r="A37" s="274">
        <f>A34</f>
        <v>4000</v>
      </c>
      <c r="C37" s="159">
        <f>A31*0.9*730</f>
        <v>2628000</v>
      </c>
      <c r="E37" s="203">
        <f t="shared" si="18"/>
        <v>0.6</v>
      </c>
      <c r="G37" s="267">
        <f t="shared" si="17"/>
        <v>170680.34</v>
      </c>
      <c r="H37" s="267"/>
      <c r="I37" s="267">
        <f t="shared" si="14"/>
        <v>188181.92</v>
      </c>
      <c r="J37" s="267"/>
      <c r="K37" s="267">
        <f t="shared" si="0"/>
        <v>17501.580000000016</v>
      </c>
      <c r="M37" s="273">
        <f t="shared" si="1"/>
        <v>0.10254010508767442</v>
      </c>
      <c r="O37" s="267">
        <f t="shared" si="15"/>
        <v>139921.51999999999</v>
      </c>
      <c r="P37" s="267"/>
      <c r="Q37" s="267">
        <f t="shared" si="16"/>
        <v>154256.63</v>
      </c>
      <c r="R37" s="267"/>
      <c r="S37" s="267">
        <f t="shared" si="2"/>
        <v>14335.110000000015</v>
      </c>
      <c r="U37" s="273">
        <f t="shared" si="3"/>
        <v>0.102451074002055</v>
      </c>
    </row>
    <row r="38" spans="1:21">
      <c r="A38" s="274">
        <f>A35</f>
        <v>4000</v>
      </c>
      <c r="C38" s="274">
        <f>C37</f>
        <v>2628000</v>
      </c>
      <c r="E38" s="203">
        <f t="shared" si="18"/>
        <v>0.5</v>
      </c>
      <c r="G38" s="267">
        <f t="shared" si="17"/>
        <v>166856.07999999999</v>
      </c>
      <c r="H38" s="267"/>
      <c r="I38" s="267">
        <f t="shared" si="14"/>
        <v>183964.09</v>
      </c>
      <c r="J38" s="267"/>
      <c r="K38" s="267">
        <f t="shared" si="0"/>
        <v>17108.010000000009</v>
      </c>
      <c r="M38" s="273">
        <f t="shared" si="1"/>
        <v>0.10253153496114731</v>
      </c>
      <c r="O38" s="267">
        <f t="shared" si="15"/>
        <v>138649.56</v>
      </c>
      <c r="P38" s="267"/>
      <c r="Q38" s="267">
        <f t="shared" si="16"/>
        <v>152852.78</v>
      </c>
      <c r="R38" s="267"/>
      <c r="S38" s="267">
        <f t="shared" si="2"/>
        <v>14203.220000000001</v>
      </c>
      <c r="U38" s="273">
        <f t="shared" si="3"/>
        <v>0.10243970482127751</v>
      </c>
    </row>
    <row r="39" spans="1:21">
      <c r="A39" s="274">
        <f>A36</f>
        <v>4000</v>
      </c>
      <c r="C39" s="274">
        <f>C38</f>
        <v>2628000</v>
      </c>
      <c r="E39" s="203">
        <f t="shared" si="18"/>
        <v>0.4</v>
      </c>
      <c r="G39" s="267">
        <f t="shared" si="17"/>
        <v>163031.81</v>
      </c>
      <c r="H39" s="267"/>
      <c r="I39" s="267">
        <f t="shared" si="14"/>
        <v>179746.25</v>
      </c>
      <c r="J39" s="267"/>
      <c r="K39" s="267">
        <f t="shared" si="0"/>
        <v>16714.440000000002</v>
      </c>
      <c r="M39" s="273">
        <f t="shared" si="1"/>
        <v>0.10252256906182922</v>
      </c>
      <c r="O39" s="267">
        <f t="shared" si="15"/>
        <v>137377.60000000001</v>
      </c>
      <c r="P39" s="267"/>
      <c r="Q39" s="267">
        <f t="shared" si="16"/>
        <v>151448.94</v>
      </c>
      <c r="R39" s="267"/>
      <c r="S39" s="267">
        <f t="shared" si="2"/>
        <v>14071.339999999997</v>
      </c>
      <c r="U39" s="273">
        <f t="shared" si="3"/>
        <v>0.1024281979012589</v>
      </c>
    </row>
    <row r="40" spans="1:21">
      <c r="G40" s="267"/>
      <c r="H40" s="267"/>
      <c r="I40" s="267"/>
      <c r="J40" s="267"/>
      <c r="K40" s="267" t="str">
        <f t="shared" si="0"/>
        <v/>
      </c>
      <c r="M40" s="273" t="str">
        <f t="shared" si="1"/>
        <v/>
      </c>
      <c r="O40" s="267"/>
      <c r="P40" s="267"/>
      <c r="Q40" s="267"/>
      <c r="R40" s="267"/>
      <c r="S40" s="267" t="str">
        <f t="shared" si="2"/>
        <v/>
      </c>
      <c r="U40" s="273" t="str">
        <f t="shared" si="3"/>
        <v/>
      </c>
    </row>
    <row r="41" spans="1:21">
      <c r="A41" s="159">
        <v>6000</v>
      </c>
      <c r="C41" s="159">
        <f>A41*0.5*730</f>
        <v>2190000</v>
      </c>
      <c r="E41" s="203">
        <v>0.6</v>
      </c>
      <c r="G41" s="267">
        <f t="shared" si="17"/>
        <v>187829.55</v>
      </c>
      <c r="H41" s="267"/>
      <c r="I41" s="267">
        <f t="shared" si="14"/>
        <v>207101.47</v>
      </c>
      <c r="J41" s="267"/>
      <c r="K41" s="267">
        <f t="shared" si="0"/>
        <v>19271.920000000013</v>
      </c>
      <c r="M41" s="273">
        <f t="shared" si="1"/>
        <v>0.10260323788243131</v>
      </c>
      <c r="O41" s="267">
        <f>ROUND(($X$19+(($X$21*(1+$X$32)+$X$20+$X$22)*$A41+($X$23*$E41+$X$24*(1-$E41))/100*$C41*(1+$X$32))*(1+$X$26))+$X$25,2)</f>
        <v>151900.54999999999</v>
      </c>
      <c r="P41" s="267"/>
      <c r="Q41" s="267">
        <f t="shared" ref="Q41:Q48" si="19">ROUND(($Y$19+(($Y$21*(1+$Y$32)+$Y$20+$Y$22)*$A41+($Y$23*$E41+$Y$24*(1-$E41))/100*$C41*(1+$Y$32))*(1+$Y$26))+$Y$25,2)</f>
        <v>167469.49</v>
      </c>
      <c r="R41" s="267"/>
      <c r="S41" s="267">
        <f t="shared" si="2"/>
        <v>15568.940000000002</v>
      </c>
      <c r="U41" s="273">
        <f t="shared" si="3"/>
        <v>0.10249429643276464</v>
      </c>
    </row>
    <row r="42" spans="1:21">
      <c r="A42" s="274">
        <f>A41</f>
        <v>6000</v>
      </c>
      <c r="C42" s="274">
        <f>C41</f>
        <v>2190000</v>
      </c>
      <c r="E42" s="203">
        <v>0.5</v>
      </c>
      <c r="G42" s="267">
        <f t="shared" si="17"/>
        <v>184642.67</v>
      </c>
      <c r="H42" s="267"/>
      <c r="I42" s="267">
        <f t="shared" si="14"/>
        <v>203586.6</v>
      </c>
      <c r="J42" s="267"/>
      <c r="K42" s="267">
        <f t="shared" si="0"/>
        <v>18943.929999999993</v>
      </c>
      <c r="M42" s="273">
        <f t="shared" si="1"/>
        <v>0.10259779064070074</v>
      </c>
      <c r="O42" s="267">
        <f t="shared" ref="O42:O48" si="20">ROUND(($X$19+(($X$21*(1+$X$32)+$X$20+$X$22)*$A42+($X$23*$E42+$X$24*(1-$E42))/100*$C42*(1+$X$32))*(1+$X$26))+$X$25,2)</f>
        <v>150840.57999999999</v>
      </c>
      <c r="P42" s="267"/>
      <c r="Q42" s="267">
        <f t="shared" si="19"/>
        <v>166299.60999999999</v>
      </c>
      <c r="R42" s="267"/>
      <c r="S42" s="267">
        <f t="shared" si="2"/>
        <v>15459.029999999999</v>
      </c>
      <c r="U42" s="273">
        <f t="shared" si="3"/>
        <v>0.10248588277769821</v>
      </c>
    </row>
    <row r="43" spans="1:21">
      <c r="A43" s="274">
        <f>A42</f>
        <v>6000</v>
      </c>
      <c r="C43" s="274">
        <f>C42</f>
        <v>2190000</v>
      </c>
      <c r="E43" s="203">
        <v>0.4</v>
      </c>
      <c r="G43" s="267">
        <f t="shared" si="17"/>
        <v>181455.78</v>
      </c>
      <c r="H43" s="267"/>
      <c r="I43" s="267">
        <f t="shared" si="14"/>
        <v>200071.74</v>
      </c>
      <c r="J43" s="267"/>
      <c r="K43" s="267">
        <f t="shared" si="0"/>
        <v>18615.959999999992</v>
      </c>
      <c r="M43" s="273">
        <f t="shared" si="1"/>
        <v>0.10259226793436937</v>
      </c>
      <c r="O43" s="267">
        <f t="shared" si="20"/>
        <v>149780.62</v>
      </c>
      <c r="P43" s="267"/>
      <c r="Q43" s="267">
        <f t="shared" si="19"/>
        <v>165129.74</v>
      </c>
      <c r="R43" s="267"/>
      <c r="S43" s="267">
        <f t="shared" si="2"/>
        <v>15349.119999999995</v>
      </c>
      <c r="U43" s="273">
        <f t="shared" si="3"/>
        <v>0.10247734319700363</v>
      </c>
    </row>
    <row r="44" spans="1:21">
      <c r="A44" s="274">
        <f>A43</f>
        <v>6000</v>
      </c>
      <c r="C44" s="159">
        <f>A41*0.7*730</f>
        <v>3066000</v>
      </c>
      <c r="E44" s="203">
        <f t="shared" ref="E44:E49" si="21">E41</f>
        <v>0.6</v>
      </c>
      <c r="G44" s="267">
        <f t="shared" si="17"/>
        <v>221897.03</v>
      </c>
      <c r="H44" s="267"/>
      <c r="I44" s="267">
        <f t="shared" si="14"/>
        <v>244657.68</v>
      </c>
      <c r="J44" s="267"/>
      <c r="K44" s="267">
        <f t="shared" si="0"/>
        <v>22760.649999999994</v>
      </c>
      <c r="M44" s="273">
        <f t="shared" si="1"/>
        <v>0.10257302677732993</v>
      </c>
      <c r="O44" s="267">
        <f t="shared" si="20"/>
        <v>180863.41</v>
      </c>
      <c r="P44" s="267"/>
      <c r="Q44" s="267">
        <f t="shared" si="19"/>
        <v>199397.72</v>
      </c>
      <c r="R44" s="267"/>
      <c r="S44" s="267">
        <f t="shared" si="2"/>
        <v>18534.309999999998</v>
      </c>
      <c r="U44" s="273">
        <f t="shared" si="3"/>
        <v>0.10247683597251656</v>
      </c>
    </row>
    <row r="45" spans="1:21">
      <c r="A45" s="274">
        <f>A44</f>
        <v>6000</v>
      </c>
      <c r="C45" s="274">
        <f>C44</f>
        <v>3066000</v>
      </c>
      <c r="E45" s="203">
        <f t="shared" si="21"/>
        <v>0.5</v>
      </c>
      <c r="G45" s="267">
        <f t="shared" si="17"/>
        <v>217435.39</v>
      </c>
      <c r="H45" s="267"/>
      <c r="I45" s="267">
        <f t="shared" si="14"/>
        <v>239736.87</v>
      </c>
      <c r="J45" s="267"/>
      <c r="K45" s="267">
        <f t="shared" si="0"/>
        <v>22301.479999999981</v>
      </c>
      <c r="M45" s="273">
        <f t="shared" si="1"/>
        <v>0.10256600822892703</v>
      </c>
      <c r="O45" s="267">
        <f t="shared" si="20"/>
        <v>179379.46</v>
      </c>
      <c r="P45" s="267"/>
      <c r="Q45" s="267">
        <f t="shared" si="19"/>
        <v>197759.89</v>
      </c>
      <c r="R45" s="267"/>
      <c r="S45" s="267">
        <f t="shared" si="2"/>
        <v>18380.430000000022</v>
      </c>
      <c r="U45" s="273">
        <f t="shared" si="3"/>
        <v>0.10246674842258985</v>
      </c>
    </row>
    <row r="46" spans="1:21">
      <c r="A46" s="274">
        <f>A45</f>
        <v>6000</v>
      </c>
      <c r="C46" s="274">
        <f>C45</f>
        <v>3066000</v>
      </c>
      <c r="E46" s="203">
        <f t="shared" si="21"/>
        <v>0.4</v>
      </c>
      <c r="G46" s="267">
        <f t="shared" si="17"/>
        <v>212973.75</v>
      </c>
      <c r="H46" s="267"/>
      <c r="I46" s="267">
        <f t="shared" si="14"/>
        <v>234816.06</v>
      </c>
      <c r="J46" s="267"/>
      <c r="K46" s="267">
        <f t="shared" si="0"/>
        <v>21842.309999999998</v>
      </c>
      <c r="M46" s="273">
        <f t="shared" si="1"/>
        <v>0.10255869561389597</v>
      </c>
      <c r="O46" s="267">
        <f t="shared" si="20"/>
        <v>177895.51</v>
      </c>
      <c r="P46" s="267"/>
      <c r="Q46" s="267">
        <f t="shared" si="19"/>
        <v>196122.07</v>
      </c>
      <c r="R46" s="267"/>
      <c r="S46" s="267">
        <f t="shared" si="2"/>
        <v>18226.559999999998</v>
      </c>
      <c r="U46" s="273">
        <f t="shared" si="3"/>
        <v>0.10245654879091659</v>
      </c>
    </row>
    <row r="47" spans="1:21">
      <c r="A47" s="274">
        <f>A44</f>
        <v>6000</v>
      </c>
      <c r="C47" s="159">
        <f>A41*0.9*730</f>
        <v>3942000</v>
      </c>
      <c r="E47" s="203">
        <f t="shared" si="21"/>
        <v>0.6</v>
      </c>
      <c r="G47" s="267">
        <f t="shared" si="17"/>
        <v>255964.51</v>
      </c>
      <c r="H47" s="267"/>
      <c r="I47" s="267">
        <f t="shared" si="14"/>
        <v>282213.89</v>
      </c>
      <c r="J47" s="267"/>
      <c r="K47" s="267">
        <f t="shared" si="0"/>
        <v>26249.380000000005</v>
      </c>
      <c r="M47" s="273">
        <f t="shared" si="1"/>
        <v>0.102550857538805</v>
      </c>
      <c r="O47" s="267">
        <f t="shared" si="20"/>
        <v>209826.28</v>
      </c>
      <c r="P47" s="267"/>
      <c r="Q47" s="267">
        <f t="shared" si="19"/>
        <v>231325.95</v>
      </c>
      <c r="R47" s="267"/>
      <c r="S47" s="267">
        <f t="shared" si="2"/>
        <v>21499.670000000013</v>
      </c>
      <c r="U47" s="273">
        <f t="shared" si="3"/>
        <v>0.10246414319502795</v>
      </c>
    </row>
    <row r="48" spans="1:21">
      <c r="A48" s="274">
        <f>A45</f>
        <v>6000</v>
      </c>
      <c r="C48" s="274">
        <f>C47</f>
        <v>3942000</v>
      </c>
      <c r="E48" s="203">
        <f t="shared" si="21"/>
        <v>0.5</v>
      </c>
      <c r="G48" s="267">
        <f t="shared" si="17"/>
        <v>250228.11</v>
      </c>
      <c r="H48" s="267"/>
      <c r="I48" s="267">
        <f t="shared" si="14"/>
        <v>275887.13</v>
      </c>
      <c r="J48" s="267"/>
      <c r="K48" s="267">
        <f t="shared" si="0"/>
        <v>25659.020000000019</v>
      </c>
      <c r="M48" s="273">
        <f t="shared" si="1"/>
        <v>0.10254251610660381</v>
      </c>
      <c r="O48" s="267">
        <f t="shared" si="20"/>
        <v>207918.34</v>
      </c>
      <c r="P48" s="267"/>
      <c r="Q48" s="267">
        <f t="shared" si="19"/>
        <v>229220.18</v>
      </c>
      <c r="R48" s="267"/>
      <c r="S48" s="267">
        <f t="shared" si="2"/>
        <v>21301.839999999997</v>
      </c>
      <c r="U48" s="273">
        <f t="shared" si="3"/>
        <v>0.10245291492804331</v>
      </c>
    </row>
    <row r="49" spans="1:21">
      <c r="A49" s="274">
        <f>A46</f>
        <v>6000</v>
      </c>
      <c r="C49" s="274">
        <f>C48</f>
        <v>3942000</v>
      </c>
      <c r="E49" s="203">
        <f t="shared" si="21"/>
        <v>0.4</v>
      </c>
      <c r="G49" s="267">
        <f t="shared" si="17"/>
        <v>244491.71</v>
      </c>
      <c r="H49" s="267"/>
      <c r="I49" s="267">
        <f t="shared" si="14"/>
        <v>269560.38</v>
      </c>
      <c r="J49" s="267"/>
      <c r="K49" s="267">
        <f t="shared" si="0"/>
        <v>25068.670000000013</v>
      </c>
      <c r="M49" s="273">
        <f t="shared" si="1"/>
        <v>0.1025338241529743</v>
      </c>
      <c r="O49" s="267">
        <f>ROUND(($X$19+(($X$21*(1+$X$32)+$X$20+$X$22)*$A49+($X$23*$E49+$X$24*(1-$E49))/100*$C49*(1+$X$32))*(1+$X$26))+$X$25,2)</f>
        <v>206010.4</v>
      </c>
      <c r="P49" s="267"/>
      <c r="Q49" s="267">
        <f>ROUND(($Y$19+(($Y$21*(1+$Y$32)+$Y$20+$Y$22)*$A49+($Y$23*$E49+$Y$24*(1-$E49))/100*$C49*(1+$Y$32))*(1+$Y$26))+$Y$25,2)</f>
        <v>227114.41</v>
      </c>
      <c r="R49" s="267"/>
      <c r="S49" s="267">
        <f t="shared" si="2"/>
        <v>21104.010000000009</v>
      </c>
      <c r="U49" s="273">
        <f t="shared" si="3"/>
        <v>0.10244147868262976</v>
      </c>
    </row>
    <row r="50" spans="1:21">
      <c r="G50" s="267"/>
      <c r="H50" s="267"/>
      <c r="I50" s="267"/>
      <c r="J50" s="267"/>
      <c r="K50" s="267" t="str">
        <f t="shared" si="0"/>
        <v/>
      </c>
      <c r="M50" s="273" t="str">
        <f t="shared" si="1"/>
        <v/>
      </c>
      <c r="O50" s="267"/>
      <c r="P50" s="267"/>
      <c r="Q50" s="267"/>
      <c r="R50" s="267"/>
      <c r="S50" s="267" t="str">
        <f t="shared" si="2"/>
        <v/>
      </c>
      <c r="U50" s="273" t="str">
        <f t="shared" si="3"/>
        <v/>
      </c>
    </row>
    <row r="51" spans="1:21">
      <c r="A51" s="159">
        <v>10000</v>
      </c>
      <c r="C51" s="159">
        <f>A51*0.5*730</f>
        <v>3650000</v>
      </c>
      <c r="E51" s="203">
        <v>0.6</v>
      </c>
      <c r="G51" s="267">
        <f>ROUND(($X$10+(($X$12*(1+$X$32)+$X$11+$X$13)*$A51+($X$14*$E51+$X$15*(1-$E51))/100*$C51*(1+$X$32))*(1+$X$17))+$X$16,2)</f>
        <v>312974.59000000003</v>
      </c>
      <c r="H51" s="267"/>
      <c r="I51" s="267">
        <f t="shared" si="14"/>
        <v>345090.44</v>
      </c>
      <c r="J51" s="267"/>
      <c r="K51" s="267">
        <f t="shared" si="0"/>
        <v>32115.849999999977</v>
      </c>
      <c r="M51" s="273">
        <f t="shared" si="1"/>
        <v>0.10261488001310259</v>
      </c>
      <c r="O51" s="267">
        <f t="shared" ref="O51:O58" si="22">ROUND(($X$19+(($X$21*(1+$X$32)+$X$20+$X$22)*$A51+($X$23*$E51+$X$24*(1-$E51))/100*$C51*(1+$X$32))*(1+$X$26))+$X$25,2)</f>
        <v>253092.92</v>
      </c>
      <c r="P51" s="267"/>
      <c r="Q51" s="267">
        <f t="shared" ref="Q51:Q58" si="23">ROUND(($Y$19+(($Y$21*(1+$Y$32)+$Y$20+$Y$22)*$A51+($Y$23*$E51+$Y$24*(1-$E51))/100*$C51*(1+$Y$32))*(1+$Y$26))+$Y$25,2)</f>
        <v>279037.14</v>
      </c>
      <c r="R51" s="267"/>
      <c r="S51" s="267">
        <f t="shared" si="2"/>
        <v>25944.22</v>
      </c>
      <c r="U51" s="273">
        <f t="shared" si="3"/>
        <v>0.10250867546986298</v>
      </c>
    </row>
    <row r="52" spans="1:21">
      <c r="A52" s="274">
        <f>A51</f>
        <v>10000</v>
      </c>
      <c r="C52" s="274">
        <f>C51</f>
        <v>3650000</v>
      </c>
      <c r="E52" s="203">
        <v>0.5</v>
      </c>
      <c r="G52" s="267">
        <f t="shared" si="17"/>
        <v>307663.11</v>
      </c>
      <c r="H52" s="267"/>
      <c r="I52" s="267">
        <f t="shared" si="14"/>
        <v>339232.34</v>
      </c>
      <c r="J52" s="267"/>
      <c r="K52" s="267">
        <f t="shared" si="0"/>
        <v>31569.23000000004</v>
      </c>
      <c r="M52" s="273">
        <f t="shared" si="1"/>
        <v>0.10260973439422116</v>
      </c>
      <c r="O52" s="267">
        <f t="shared" si="22"/>
        <v>251326.31</v>
      </c>
      <c r="P52" s="267"/>
      <c r="Q52" s="267">
        <f t="shared" si="23"/>
        <v>277087.34999999998</v>
      </c>
      <c r="R52" s="267"/>
      <c r="S52" s="267">
        <f t="shared" si="2"/>
        <v>25761.039999999979</v>
      </c>
      <c r="U52" s="273">
        <f t="shared" si="3"/>
        <v>0.10250037093211595</v>
      </c>
    </row>
    <row r="53" spans="1:21">
      <c r="A53" s="274">
        <f>A52</f>
        <v>10000</v>
      </c>
      <c r="C53" s="274">
        <f>C52</f>
        <v>3650000</v>
      </c>
      <c r="E53" s="203">
        <v>0.4</v>
      </c>
      <c r="G53" s="267">
        <f t="shared" si="17"/>
        <v>302351.63</v>
      </c>
      <c r="H53" s="267"/>
      <c r="I53" s="267">
        <f t="shared" si="14"/>
        <v>333374.23</v>
      </c>
      <c r="J53" s="267"/>
      <c r="K53" s="267">
        <f t="shared" si="0"/>
        <v>31022.599999999977</v>
      </c>
      <c r="M53" s="273">
        <f t="shared" si="1"/>
        <v>0.10260437491274632</v>
      </c>
      <c r="O53" s="267">
        <f t="shared" si="22"/>
        <v>249559.7</v>
      </c>
      <c r="P53" s="267"/>
      <c r="Q53" s="267">
        <f t="shared" si="23"/>
        <v>275137.56</v>
      </c>
      <c r="R53" s="267"/>
      <c r="S53" s="267">
        <f t="shared" si="2"/>
        <v>25577.859999999986</v>
      </c>
      <c r="U53" s="273">
        <f t="shared" si="3"/>
        <v>0.10249194882026225</v>
      </c>
    </row>
    <row r="54" spans="1:21">
      <c r="A54" s="274">
        <f>A53</f>
        <v>10000</v>
      </c>
      <c r="C54" s="159">
        <f>A51*0.7*730</f>
        <v>5110000</v>
      </c>
      <c r="E54" s="203">
        <f t="shared" ref="E54:E59" si="24">E51</f>
        <v>0.6</v>
      </c>
      <c r="G54" s="267">
        <f t="shared" si="17"/>
        <v>369753.72</v>
      </c>
      <c r="H54" s="267"/>
      <c r="I54" s="267">
        <f t="shared" si="14"/>
        <v>407684.13</v>
      </c>
      <c r="J54" s="267"/>
      <c r="K54" s="267">
        <f t="shared" si="0"/>
        <v>37930.410000000033</v>
      </c>
      <c r="M54" s="273">
        <f t="shared" si="1"/>
        <v>0.10258290301988038</v>
      </c>
      <c r="O54" s="267">
        <f t="shared" si="22"/>
        <v>301364.34999999998</v>
      </c>
      <c r="P54" s="267"/>
      <c r="Q54" s="267">
        <f t="shared" si="23"/>
        <v>332250.86</v>
      </c>
      <c r="R54" s="267"/>
      <c r="S54" s="267">
        <f t="shared" si="2"/>
        <v>30886.510000000009</v>
      </c>
      <c r="U54" s="273">
        <f t="shared" si="3"/>
        <v>0.10248893075773569</v>
      </c>
    </row>
    <row r="55" spans="1:21">
      <c r="A55" s="274">
        <f>A54</f>
        <v>10000</v>
      </c>
      <c r="C55" s="274">
        <f>C54</f>
        <v>5110000</v>
      </c>
      <c r="E55" s="203">
        <f t="shared" si="24"/>
        <v>0.5</v>
      </c>
      <c r="G55" s="267">
        <f t="shared" si="17"/>
        <v>362317.65</v>
      </c>
      <c r="H55" s="267"/>
      <c r="I55" s="267">
        <f t="shared" si="14"/>
        <v>399482.78</v>
      </c>
      <c r="J55" s="267"/>
      <c r="K55" s="267">
        <f t="shared" si="0"/>
        <v>37165.130000000005</v>
      </c>
      <c r="M55" s="273">
        <f t="shared" si="1"/>
        <v>0.10257609586505101</v>
      </c>
      <c r="O55" s="267">
        <f t="shared" si="22"/>
        <v>298891.09999999998</v>
      </c>
      <c r="P55" s="267"/>
      <c r="Q55" s="267">
        <f t="shared" si="23"/>
        <v>329521.15999999997</v>
      </c>
      <c r="R55" s="267"/>
      <c r="S55" s="267">
        <f t="shared" si="2"/>
        <v>30630.059999999998</v>
      </c>
      <c r="U55" s="273">
        <f t="shared" si="3"/>
        <v>0.10247899653084347</v>
      </c>
    </row>
    <row r="56" spans="1:21">
      <c r="A56" s="274">
        <f>A55</f>
        <v>10000</v>
      </c>
      <c r="C56" s="274">
        <f>C55</f>
        <v>5110000</v>
      </c>
      <c r="E56" s="203">
        <f t="shared" si="24"/>
        <v>0.4</v>
      </c>
      <c r="G56" s="267">
        <f t="shared" si="17"/>
        <v>354881.58</v>
      </c>
      <c r="H56" s="267"/>
      <c r="I56" s="267">
        <f t="shared" si="14"/>
        <v>391281.43</v>
      </c>
      <c r="J56" s="267"/>
      <c r="K56" s="267">
        <f t="shared" si="0"/>
        <v>36399.849999999977</v>
      </c>
      <c r="M56" s="273">
        <f t="shared" si="1"/>
        <v>0.10256900344052799</v>
      </c>
      <c r="O56" s="267">
        <f t="shared" si="22"/>
        <v>296417.84999999998</v>
      </c>
      <c r="P56" s="267"/>
      <c r="Q56" s="267">
        <f t="shared" si="23"/>
        <v>326791.45</v>
      </c>
      <c r="R56" s="267"/>
      <c r="S56" s="267">
        <f t="shared" si="2"/>
        <v>30373.600000000035</v>
      </c>
      <c r="U56" s="273">
        <f t="shared" si="3"/>
        <v>0.1024688627894712</v>
      </c>
    </row>
    <row r="57" spans="1:21">
      <c r="A57" s="274">
        <f>A54</f>
        <v>10000</v>
      </c>
      <c r="C57" s="159">
        <f>A51*0.9*730</f>
        <v>6570000</v>
      </c>
      <c r="E57" s="203">
        <f t="shared" si="24"/>
        <v>0.6</v>
      </c>
      <c r="G57" s="267">
        <f t="shared" si="17"/>
        <v>426532.85</v>
      </c>
      <c r="H57" s="267"/>
      <c r="I57" s="267">
        <f t="shared" si="14"/>
        <v>470277.81</v>
      </c>
      <c r="J57" s="267"/>
      <c r="K57" s="267">
        <f t="shared" si="0"/>
        <v>43744.960000000021</v>
      </c>
      <c r="M57" s="273">
        <f t="shared" si="1"/>
        <v>0.10255941599808782</v>
      </c>
      <c r="O57" s="267">
        <f t="shared" si="22"/>
        <v>349635.79</v>
      </c>
      <c r="P57" s="267"/>
      <c r="Q57" s="267">
        <f t="shared" si="23"/>
        <v>385464.58</v>
      </c>
      <c r="R57" s="267"/>
      <c r="S57" s="267">
        <f t="shared" si="2"/>
        <v>35828.790000000037</v>
      </c>
      <c r="U57" s="273">
        <f t="shared" si="3"/>
        <v>0.10247460650409979</v>
      </c>
    </row>
    <row r="58" spans="1:21">
      <c r="A58" s="274">
        <f>A55</f>
        <v>10000</v>
      </c>
      <c r="C58" s="274">
        <f>C57</f>
        <v>6570000</v>
      </c>
      <c r="E58" s="203">
        <f t="shared" si="24"/>
        <v>0.5</v>
      </c>
      <c r="G58" s="267">
        <f t="shared" si="17"/>
        <v>416972.19</v>
      </c>
      <c r="H58" s="267"/>
      <c r="I58" s="267">
        <f t="shared" si="14"/>
        <v>459733.22</v>
      </c>
      <c r="J58" s="267"/>
      <c r="K58" s="267">
        <f t="shared" si="0"/>
        <v>42761.02999999997</v>
      </c>
      <c r="M58" s="273">
        <f t="shared" si="1"/>
        <v>0.10255127566181321</v>
      </c>
      <c r="O58" s="267">
        <f t="shared" si="22"/>
        <v>346455.9</v>
      </c>
      <c r="P58" s="267"/>
      <c r="Q58" s="267">
        <f t="shared" si="23"/>
        <v>381954.96</v>
      </c>
      <c r="R58" s="267"/>
      <c r="S58" s="267">
        <f t="shared" si="2"/>
        <v>35499.06</v>
      </c>
      <c r="U58" s="273">
        <f t="shared" si="3"/>
        <v>0.10246343041062378</v>
      </c>
    </row>
    <row r="59" spans="1:21">
      <c r="A59" s="274">
        <f>A56</f>
        <v>10000</v>
      </c>
      <c r="C59" s="274">
        <f>C58</f>
        <v>6570000</v>
      </c>
      <c r="E59" s="203">
        <f t="shared" si="24"/>
        <v>0.4</v>
      </c>
      <c r="G59" s="267">
        <f t="shared" si="17"/>
        <v>407411.52</v>
      </c>
      <c r="H59" s="267"/>
      <c r="I59" s="267">
        <f t="shared" si="14"/>
        <v>449188.63</v>
      </c>
      <c r="J59" s="267"/>
      <c r="K59" s="267">
        <f t="shared" si="0"/>
        <v>41777.109999999986</v>
      </c>
      <c r="M59" s="273">
        <f t="shared" si="1"/>
        <v>0.10254278033178843</v>
      </c>
      <c r="O59" s="267">
        <f>ROUND(($X$19+(($X$21*(1+$X$32)+$X$20+$X$22)*$A59+($X$23*$E59+$X$24*(1-$E59))/100*$C59*(1+$X$32))*(1+$X$26))+$X$25,2)</f>
        <v>343276</v>
      </c>
      <c r="P59" s="267"/>
      <c r="Q59" s="267">
        <f>ROUND(($Y$19+(($Y$21*(1+$Y$32)+$Y$20+$Y$22)*$A59+($Y$23*$E59+$Y$24*(1-$E59))/100*$C59*(1+$Y$32))*(1+$Y$26))+$Y$25,2)</f>
        <v>378445.34</v>
      </c>
      <c r="R59" s="267"/>
      <c r="S59" s="267">
        <f t="shared" si="2"/>
        <v>35169.340000000026</v>
      </c>
      <c r="U59" s="273">
        <f t="shared" si="3"/>
        <v>0.10245207937636192</v>
      </c>
    </row>
    <row r="60" spans="1:21">
      <c r="K60" s="171"/>
      <c r="S60" s="171"/>
    </row>
    <row r="61" spans="1:21" ht="15.75">
      <c r="A61" s="205" t="s">
        <v>448</v>
      </c>
      <c r="K61" s="171"/>
      <c r="S61" s="171"/>
    </row>
    <row r="62" spans="1:21" ht="15.75">
      <c r="A62" s="205" t="s">
        <v>462</v>
      </c>
      <c r="K62" s="171"/>
      <c r="S62" s="171"/>
    </row>
    <row r="63" spans="1:21" ht="15.75">
      <c r="A63" s="205"/>
      <c r="K63" s="171"/>
      <c r="S63" s="171"/>
    </row>
    <row r="64" spans="1:21">
      <c r="K64" s="171"/>
      <c r="S64" s="171"/>
    </row>
    <row r="65" spans="11:19">
      <c r="K65" s="171"/>
      <c r="S65" s="171"/>
    </row>
    <row r="66" spans="11:19">
      <c r="K66" s="171"/>
      <c r="S66" s="171"/>
    </row>
    <row r="67" spans="11:19">
      <c r="K67" s="171"/>
      <c r="S67" s="171"/>
    </row>
    <row r="68" spans="11:19">
      <c r="K68" s="171"/>
      <c r="S68" s="171"/>
    </row>
  </sheetData>
  <printOptions horizontalCentered="1"/>
  <pageMargins left="0.75" right="0.75" top="1" bottom="0.5" header="0.5" footer="0.25"/>
  <pageSetup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workbookViewId="0">
      <selection activeCell="O6" sqref="O6"/>
    </sheetView>
  </sheetViews>
  <sheetFormatPr defaultColWidth="8" defaultRowHeight="12.75"/>
  <cols>
    <col min="1" max="1" width="8" style="159" customWidth="1"/>
    <col min="2" max="2" width="0.875" style="159" customWidth="1"/>
    <col min="3" max="3" width="9.625" style="159" bestFit="1" customWidth="1"/>
    <col min="4" max="4" width="0.625" style="150" customWidth="1"/>
    <col min="5" max="5" width="6.75" style="159" bestFit="1" customWidth="1"/>
    <col min="6" max="6" width="0.875" style="150" customWidth="1"/>
    <col min="7" max="7" width="9.25" style="177" bestFit="1" customWidth="1"/>
    <col min="8" max="8" width="0.625" style="150" customWidth="1"/>
    <col min="9" max="9" width="9.25" style="177" bestFit="1" customWidth="1"/>
    <col min="10" max="10" width="1" style="150" customWidth="1"/>
    <col min="11" max="11" width="8.125" style="150" bestFit="1" customWidth="1"/>
    <col min="12" max="12" width="1.125" style="150" customWidth="1"/>
    <col min="13" max="13" width="5.625" style="150" bestFit="1" customWidth="1"/>
    <col min="14" max="14" width="1.125" style="150" customWidth="1"/>
    <col min="15" max="15" width="9.25" style="177" bestFit="1" customWidth="1"/>
    <col min="16" max="16" width="0.875" style="150" customWidth="1"/>
    <col min="17" max="17" width="9.25" style="177" bestFit="1" customWidth="1"/>
    <col min="18" max="18" width="1.125" style="150" customWidth="1"/>
    <col min="19" max="19" width="8.125" style="150" bestFit="1" customWidth="1"/>
    <col min="20" max="20" width="0.75" style="150" customWidth="1"/>
    <col min="21" max="21" width="5.625" style="150" bestFit="1" customWidth="1"/>
    <col min="22" max="22" width="3.125" style="150" customWidth="1"/>
    <col min="23" max="23" width="10.25" style="150" customWidth="1"/>
    <col min="24" max="24" width="8.5" style="150" bestFit="1" customWidth="1"/>
    <col min="25" max="25" width="10" style="150" bestFit="1" customWidth="1"/>
    <col min="26" max="26" width="9.75" style="150" bestFit="1" customWidth="1"/>
    <col min="27" max="16384" width="8" style="150"/>
  </cols>
  <sheetData>
    <row r="1" spans="1:27" ht="16.5">
      <c r="A1" s="143" t="s">
        <v>1</v>
      </c>
      <c r="B1" s="143"/>
      <c r="C1" s="143"/>
      <c r="D1" s="144"/>
      <c r="E1" s="143"/>
      <c r="F1" s="144"/>
      <c r="G1" s="145"/>
      <c r="H1" s="144"/>
      <c r="I1" s="145"/>
      <c r="J1" s="144"/>
      <c r="K1" s="144"/>
      <c r="L1" s="144"/>
      <c r="M1" s="144"/>
      <c r="N1" s="144"/>
      <c r="O1" s="145"/>
      <c r="P1" s="144"/>
      <c r="Q1" s="145"/>
      <c r="R1" s="144"/>
      <c r="S1" s="144"/>
      <c r="T1" s="144"/>
      <c r="U1" s="144"/>
    </row>
    <row r="2" spans="1:27" ht="16.5">
      <c r="A2" s="143" t="s">
        <v>399</v>
      </c>
      <c r="B2" s="143"/>
      <c r="C2" s="143"/>
      <c r="D2" s="144"/>
      <c r="E2" s="143"/>
      <c r="F2" s="144"/>
      <c r="G2" s="145"/>
      <c r="H2" s="144"/>
      <c r="I2" s="145"/>
      <c r="J2" s="144"/>
      <c r="K2" s="144"/>
      <c r="L2" s="144"/>
      <c r="M2" s="144"/>
      <c r="N2" s="144"/>
      <c r="O2" s="145"/>
      <c r="P2" s="144"/>
      <c r="Q2" s="145"/>
      <c r="R2" s="144"/>
      <c r="S2" s="144"/>
      <c r="T2" s="144"/>
      <c r="U2" s="144"/>
    </row>
    <row r="3" spans="1:27" ht="16.5">
      <c r="A3" s="143" t="s">
        <v>463</v>
      </c>
      <c r="B3" s="143"/>
      <c r="C3" s="143"/>
      <c r="D3" s="144"/>
      <c r="E3" s="143"/>
      <c r="F3" s="144"/>
      <c r="G3" s="145"/>
      <c r="H3" s="144"/>
      <c r="I3" s="145"/>
      <c r="J3" s="144"/>
      <c r="K3" s="144"/>
      <c r="L3" s="144"/>
      <c r="M3" s="144"/>
      <c r="N3" s="144"/>
      <c r="O3" s="145"/>
      <c r="P3" s="144"/>
      <c r="Q3" s="145"/>
      <c r="R3" s="144"/>
      <c r="S3" s="144"/>
      <c r="T3" s="144"/>
      <c r="U3" s="144"/>
    </row>
    <row r="4" spans="1:27" ht="16.5">
      <c r="A4" s="143" t="s">
        <v>464</v>
      </c>
      <c r="B4" s="143"/>
      <c r="C4" s="143"/>
      <c r="D4" s="144"/>
      <c r="E4" s="143"/>
      <c r="F4" s="144"/>
      <c r="G4" s="145"/>
      <c r="H4" s="144"/>
      <c r="I4" s="145"/>
      <c r="J4" s="144"/>
      <c r="K4" s="144"/>
      <c r="L4" s="144"/>
      <c r="M4" s="144"/>
      <c r="N4" s="144"/>
      <c r="O4" s="145"/>
      <c r="P4" s="144"/>
      <c r="Q4" s="145"/>
      <c r="R4" s="144"/>
      <c r="S4" s="144"/>
      <c r="T4" s="144"/>
      <c r="U4" s="144"/>
    </row>
    <row r="5" spans="1:27">
      <c r="A5" s="240"/>
      <c r="B5" s="240"/>
      <c r="C5" s="240"/>
      <c r="D5" s="144"/>
      <c r="E5" s="240"/>
      <c r="F5" s="144"/>
      <c r="G5" s="145"/>
      <c r="H5" s="144"/>
      <c r="I5" s="145"/>
      <c r="J5" s="144"/>
      <c r="L5" s="144"/>
      <c r="N5" s="144"/>
      <c r="O5" s="145"/>
      <c r="P5" s="144"/>
      <c r="Q5" s="145"/>
      <c r="R5" s="144"/>
      <c r="T5" s="144"/>
    </row>
    <row r="6" spans="1:27" ht="17.25">
      <c r="A6" s="153"/>
      <c r="B6" s="147"/>
      <c r="C6" s="147"/>
      <c r="D6" s="147"/>
      <c r="E6" s="156"/>
      <c r="F6" s="155"/>
      <c r="G6" s="156"/>
      <c r="H6" s="147"/>
      <c r="I6" s="241"/>
      <c r="J6" s="147"/>
      <c r="K6" s="147"/>
      <c r="L6" s="147"/>
      <c r="M6" s="147"/>
      <c r="N6" s="147"/>
      <c r="O6" s="156"/>
      <c r="P6" s="147"/>
      <c r="Q6" s="241"/>
      <c r="R6" s="147"/>
      <c r="S6" s="147"/>
      <c r="T6" s="147"/>
      <c r="U6" s="147"/>
    </row>
    <row r="7" spans="1:27">
      <c r="G7" s="241"/>
      <c r="H7" s="148"/>
      <c r="I7" s="241"/>
      <c r="J7" s="148"/>
      <c r="K7" s="266"/>
      <c r="L7" s="148"/>
      <c r="M7" s="266"/>
      <c r="N7" s="148"/>
      <c r="O7" s="241"/>
      <c r="P7" s="148"/>
      <c r="Q7" s="241"/>
      <c r="R7" s="148"/>
      <c r="S7" s="266"/>
      <c r="T7" s="148"/>
      <c r="U7" s="266"/>
    </row>
    <row r="8" spans="1:27">
      <c r="G8" s="160" t="s">
        <v>405</v>
      </c>
      <c r="H8" s="169"/>
      <c r="I8" s="162"/>
      <c r="J8" s="161"/>
      <c r="K8" s="170"/>
      <c r="L8" s="161"/>
      <c r="M8" s="161"/>
      <c r="O8" s="160" t="s">
        <v>406</v>
      </c>
      <c r="P8" s="169"/>
      <c r="Q8" s="162"/>
      <c r="R8" s="161"/>
      <c r="S8" s="170"/>
      <c r="T8" s="161"/>
      <c r="U8" s="161"/>
      <c r="W8" s="245" t="s">
        <v>465</v>
      </c>
      <c r="X8" s="246" t="s">
        <v>395</v>
      </c>
      <c r="Y8" s="247" t="s">
        <v>6</v>
      </c>
    </row>
    <row r="9" spans="1:27" ht="16.5">
      <c r="A9" s="239" t="s">
        <v>438</v>
      </c>
      <c r="E9" s="239" t="s">
        <v>455</v>
      </c>
      <c r="G9" s="162" t="s">
        <v>439</v>
      </c>
      <c r="H9" s="161"/>
      <c r="I9" s="162"/>
      <c r="K9" s="162" t="s">
        <v>17</v>
      </c>
      <c r="L9" s="161"/>
      <c r="M9" s="162"/>
      <c r="O9" s="162" t="s">
        <v>439</v>
      </c>
      <c r="P9" s="161"/>
      <c r="Q9" s="162"/>
      <c r="S9" s="162" t="s">
        <v>17</v>
      </c>
      <c r="T9" s="161"/>
      <c r="U9" s="162"/>
      <c r="W9" s="270" t="s">
        <v>405</v>
      </c>
      <c r="X9" s="271"/>
      <c r="Y9" s="272"/>
      <c r="Z9" s="241"/>
    </row>
    <row r="10" spans="1:27" ht="15.75">
      <c r="A10" s="174" t="s">
        <v>456</v>
      </c>
      <c r="B10" s="242"/>
      <c r="C10" s="243" t="s">
        <v>397</v>
      </c>
      <c r="E10" s="243" t="s">
        <v>457</v>
      </c>
      <c r="G10" s="166" t="s">
        <v>395</v>
      </c>
      <c r="I10" s="238" t="s">
        <v>6</v>
      </c>
      <c r="K10" s="175" t="s">
        <v>398</v>
      </c>
      <c r="M10" s="174" t="s">
        <v>46</v>
      </c>
      <c r="O10" s="166" t="s">
        <v>395</v>
      </c>
      <c r="Q10" s="238" t="s">
        <v>6</v>
      </c>
      <c r="S10" s="175" t="s">
        <v>398</v>
      </c>
      <c r="U10" s="174" t="s">
        <v>46</v>
      </c>
      <c r="W10" s="186" t="s">
        <v>100</v>
      </c>
      <c r="X10" s="187">
        <f>'Exhibit RMP(WRG-3)'!G260</f>
        <v>226</v>
      </c>
      <c r="Y10" s="188">
        <f>'Exhibit RMP(WRG-3)'!M260</f>
        <v>256</v>
      </c>
      <c r="Z10" s="187"/>
      <c r="AA10" s="273"/>
    </row>
    <row r="11" spans="1:27" ht="17.25" customHeight="1">
      <c r="A11" s="159">
        <v>500</v>
      </c>
      <c r="C11" s="159">
        <f>A11*0.5*730</f>
        <v>182500</v>
      </c>
      <c r="E11" s="203">
        <v>0.6</v>
      </c>
      <c r="G11" s="267">
        <f>ROUND(($X$10+(($X$12*(1+$X$30)+$X$11)*$A11+($X$13*$E11+$X$14*(1-$E11))/100*$C11*(1+$X$30))*(1+$X$16))+$X$15,2)</f>
        <v>13592.85</v>
      </c>
      <c r="H11" s="267"/>
      <c r="I11" s="267">
        <f>ROUND(($Y$10+(($Y$12*(1+$Y$30)+$Y$11)*$A11+($Y$13*$E11+$Y$14*(1-$E11))/100*$C11*(1+$Y$30))*(1+$Y$16))+$Y$15,2)</f>
        <v>15386.94</v>
      </c>
      <c r="J11" s="267"/>
      <c r="K11" s="267">
        <f t="shared" ref="K11:K59" si="0">IF(I11="","",I11-G11)</f>
        <v>1794.0900000000001</v>
      </c>
      <c r="M11" s="273">
        <f t="shared" ref="M11:M59" si="1">IF(K11="","",I11/G11-1)</f>
        <v>0.13198777298359055</v>
      </c>
      <c r="O11" s="267">
        <f>ROUND(($X$18+(($X$20*(1+$X$30)+$X$19)*$A11+($X$21*$E11+$X$22*(1-$E11))/100*$C11*(1+$X$30))*(1+$X$24))+$X$23,2)</f>
        <v>10550</v>
      </c>
      <c r="P11" s="267"/>
      <c r="Q11" s="267">
        <f>ROUND(($Y$18+(($Y$20*(1+$Y$30)+$Y$19)*$A11+($Y$21*$E11+$Y$22*(1-$E11))/100*$C11*(1+$Y$30))*(1+$Y$24))+$Y$23,2)</f>
        <v>11940.72</v>
      </c>
      <c r="R11" s="267"/>
      <c r="S11" s="267">
        <f t="shared" ref="S11:S59" si="2">IF(Q11="","",Q11-O11)</f>
        <v>1390.7199999999993</v>
      </c>
      <c r="U11" s="273">
        <f t="shared" ref="U11:U59" si="3">IF(S11="","",Q11/O11-1)</f>
        <v>0.13182180094786733</v>
      </c>
      <c r="W11" s="186" t="s">
        <v>458</v>
      </c>
      <c r="X11" s="187">
        <f>'Exhibit RMP(WRG-3)'!G261</f>
        <v>1.94</v>
      </c>
      <c r="Y11" s="188">
        <f>'Exhibit RMP(WRG-3)'!M261</f>
        <v>2.2000000000000002</v>
      </c>
      <c r="Z11" s="187"/>
      <c r="AA11" s="273"/>
    </row>
    <row r="12" spans="1:27">
      <c r="A12" s="274">
        <f>A11</f>
        <v>500</v>
      </c>
      <c r="C12" s="274">
        <f>C11</f>
        <v>182500</v>
      </c>
      <c r="E12" s="203">
        <v>0.5</v>
      </c>
      <c r="G12" s="267">
        <f t="shared" ref="G12:G19" si="4">ROUND(($X$10+(($X$12*(1+$X$30)+$X$11)*$A12+($X$13*$E12+$X$14*(1-$E12))/100*$C12*(1+$X$30))*(1+$X$16))+$X$15,2)</f>
        <v>13319.04</v>
      </c>
      <c r="H12" s="267"/>
      <c r="I12" s="267">
        <f t="shared" ref="I12:I19" si="5">ROUND(($Y$10+(($Y$12*(1+$Y$30)+$Y$11)*$A12+($Y$13*$E12+$Y$14*(1-$E12))/100*$C12*(1+$Y$30))*(1+$Y$16))+$Y$15,2)</f>
        <v>15076.94</v>
      </c>
      <c r="J12" s="267"/>
      <c r="K12" s="267">
        <f t="shared" si="0"/>
        <v>1757.8999999999996</v>
      </c>
      <c r="M12" s="273">
        <f t="shared" si="1"/>
        <v>0.1319839868338859</v>
      </c>
      <c r="O12" s="267">
        <f t="shared" ref="O12:O59" si="6">ROUND(($X$18+(($X$20*(1+$X$30)+$X$19)*$A12+($X$21*$E12+$X$22*(1-$E12))/100*$C12*(1+$X$30))*(1+$X$24))+$X$23,2)</f>
        <v>10458.75</v>
      </c>
      <c r="P12" s="267"/>
      <c r="Q12" s="267">
        <f t="shared" ref="Q12:Q59" si="7">ROUND(($Y$18+(($Y$20*(1+$Y$30)+$Y$19)*$A12+($Y$21*$E12+$Y$22*(1-$E12))/100*$C12*(1+$Y$30))*(1+$Y$24))+$Y$23,2)</f>
        <v>11837.45</v>
      </c>
      <c r="R12" s="267"/>
      <c r="S12" s="267">
        <f t="shared" si="2"/>
        <v>1378.7000000000007</v>
      </c>
      <c r="U12" s="273">
        <f t="shared" si="3"/>
        <v>0.13182263654834481</v>
      </c>
      <c r="W12" s="186" t="s">
        <v>459</v>
      </c>
      <c r="X12" s="187">
        <f>'Exhibit RMP(WRG-3)'!G262</f>
        <v>12.18</v>
      </c>
      <c r="Y12" s="188">
        <f>'Exhibit RMP(WRG-3)'!M262</f>
        <v>13.79</v>
      </c>
      <c r="Z12" s="187"/>
      <c r="AA12" s="273"/>
    </row>
    <row r="13" spans="1:27">
      <c r="A13" s="274">
        <f>A12</f>
        <v>500</v>
      </c>
      <c r="C13" s="274">
        <f>C12</f>
        <v>182500</v>
      </c>
      <c r="E13" s="203">
        <v>0.4</v>
      </c>
      <c r="G13" s="267">
        <f t="shared" si="4"/>
        <v>13045.23</v>
      </c>
      <c r="H13" s="267"/>
      <c r="I13" s="267">
        <f t="shared" si="5"/>
        <v>14766.93</v>
      </c>
      <c r="J13" s="267"/>
      <c r="K13" s="267">
        <f t="shared" si="0"/>
        <v>1721.7000000000007</v>
      </c>
      <c r="M13" s="273">
        <f t="shared" si="1"/>
        <v>0.13197927518334285</v>
      </c>
      <c r="O13" s="267">
        <f t="shared" si="6"/>
        <v>10367.5</v>
      </c>
      <c r="P13" s="267"/>
      <c r="Q13" s="267">
        <f t="shared" si="7"/>
        <v>11734.18</v>
      </c>
      <c r="R13" s="267"/>
      <c r="S13" s="267">
        <f t="shared" si="2"/>
        <v>1366.6800000000003</v>
      </c>
      <c r="U13" s="273">
        <f t="shared" si="3"/>
        <v>0.13182348685796974</v>
      </c>
      <c r="W13" s="186" t="s">
        <v>460</v>
      </c>
      <c r="X13" s="252">
        <f>'Exhibit RMP(WRG-3)'!G264</f>
        <v>4.0587999999999997</v>
      </c>
      <c r="Y13" s="253">
        <f>'Exhibit RMP(WRG-3)'!M264</f>
        <v>4.5964</v>
      </c>
      <c r="Z13" s="254"/>
      <c r="AA13" s="273"/>
    </row>
    <row r="14" spans="1:27">
      <c r="A14" s="274">
        <f>A13</f>
        <v>500</v>
      </c>
      <c r="C14" s="159">
        <f>A11*0.7*730</f>
        <v>255500</v>
      </c>
      <c r="E14" s="203">
        <f t="shared" ref="E14:E19" si="8">E11</f>
        <v>0.6</v>
      </c>
      <c r="G14" s="267">
        <f t="shared" si="4"/>
        <v>16098.72</v>
      </c>
      <c r="H14" s="267"/>
      <c r="I14" s="267">
        <f t="shared" si="5"/>
        <v>18224.84</v>
      </c>
      <c r="J14" s="267"/>
      <c r="K14" s="267">
        <f t="shared" si="0"/>
        <v>2126.1200000000008</v>
      </c>
      <c r="M14" s="273">
        <f t="shared" si="1"/>
        <v>0.13206764264488124</v>
      </c>
      <c r="O14" s="267">
        <f t="shared" si="6"/>
        <v>12617.71</v>
      </c>
      <c r="P14" s="267"/>
      <c r="Q14" s="267">
        <f t="shared" si="7"/>
        <v>14282.45</v>
      </c>
      <c r="R14" s="267"/>
      <c r="S14" s="267">
        <f t="shared" si="2"/>
        <v>1664.7400000000016</v>
      </c>
      <c r="U14" s="273">
        <f t="shared" si="3"/>
        <v>0.13193677775127188</v>
      </c>
      <c r="W14" s="186" t="s">
        <v>461</v>
      </c>
      <c r="X14" s="252">
        <f>'Exhibit RMP(WRG-3)'!G266</f>
        <v>2.5488</v>
      </c>
      <c r="Y14" s="253">
        <f>'Exhibit RMP(WRG-3)'!M266</f>
        <v>2.8868</v>
      </c>
      <c r="Z14" s="254"/>
      <c r="AA14" s="273"/>
    </row>
    <row r="15" spans="1:27">
      <c r="A15" s="274">
        <f>A14</f>
        <v>500</v>
      </c>
      <c r="C15" s="274">
        <f>C14</f>
        <v>255500</v>
      </c>
      <c r="E15" s="203">
        <f t="shared" si="8"/>
        <v>0.5</v>
      </c>
      <c r="G15" s="267">
        <f t="shared" si="4"/>
        <v>15715.39</v>
      </c>
      <c r="H15" s="267"/>
      <c r="I15" s="267">
        <f t="shared" si="5"/>
        <v>17790.830000000002</v>
      </c>
      <c r="J15" s="267"/>
      <c r="K15" s="267">
        <f t="shared" si="0"/>
        <v>2075.4400000000023</v>
      </c>
      <c r="M15" s="273">
        <f t="shared" si="1"/>
        <v>0.1320641740357702</v>
      </c>
      <c r="O15" s="267">
        <f t="shared" si="6"/>
        <v>12489.96</v>
      </c>
      <c r="P15" s="267"/>
      <c r="Q15" s="267">
        <f t="shared" si="7"/>
        <v>14137.87</v>
      </c>
      <c r="R15" s="267"/>
      <c r="S15" s="267">
        <f t="shared" si="2"/>
        <v>1647.9100000000017</v>
      </c>
      <c r="U15" s="273">
        <f t="shared" si="3"/>
        <v>0.13193877322265268</v>
      </c>
      <c r="W15" s="186" t="s">
        <v>447</v>
      </c>
      <c r="X15" s="187">
        <v>50</v>
      </c>
      <c r="Y15" s="188">
        <f>X15</f>
        <v>50</v>
      </c>
      <c r="Z15" s="187"/>
      <c r="AA15" s="273"/>
    </row>
    <row r="16" spans="1:27">
      <c r="A16" s="274">
        <f>A15</f>
        <v>500</v>
      </c>
      <c r="C16" s="274">
        <f>C15</f>
        <v>255500</v>
      </c>
      <c r="E16" s="203">
        <f t="shared" si="8"/>
        <v>0.4</v>
      </c>
      <c r="G16" s="267">
        <f t="shared" si="4"/>
        <v>15332.05</v>
      </c>
      <c r="H16" s="267"/>
      <c r="I16" s="267">
        <f t="shared" si="5"/>
        <v>17356.82</v>
      </c>
      <c r="J16" s="267"/>
      <c r="K16" s="267">
        <f t="shared" si="0"/>
        <v>2024.7700000000004</v>
      </c>
      <c r="M16" s="273">
        <f t="shared" si="1"/>
        <v>0.1320612703454529</v>
      </c>
      <c r="O16" s="267">
        <f t="shared" si="6"/>
        <v>12362.22</v>
      </c>
      <c r="P16" s="267"/>
      <c r="Q16" s="267">
        <f t="shared" si="7"/>
        <v>13993.3</v>
      </c>
      <c r="R16" s="267"/>
      <c r="S16" s="267">
        <f t="shared" si="2"/>
        <v>1631.08</v>
      </c>
      <c r="U16" s="273">
        <f t="shared" si="3"/>
        <v>0.13194070320702922</v>
      </c>
      <c r="W16" s="186" t="s">
        <v>466</v>
      </c>
      <c r="X16" s="257">
        <v>3.2099999999999997E-2</v>
      </c>
      <c r="Y16" s="269">
        <f>X16</f>
        <v>3.2099999999999997E-2</v>
      </c>
      <c r="Z16" s="257"/>
      <c r="AA16" s="273"/>
    </row>
    <row r="17" spans="1:27" ht="13.5">
      <c r="A17" s="274">
        <f>A14</f>
        <v>500</v>
      </c>
      <c r="C17" s="159">
        <f>A11*0.9*730</f>
        <v>328500</v>
      </c>
      <c r="E17" s="203">
        <f t="shared" si="8"/>
        <v>0.6</v>
      </c>
      <c r="G17" s="267">
        <f t="shared" si="4"/>
        <v>18604.59</v>
      </c>
      <c r="H17" s="267"/>
      <c r="I17" s="267">
        <f t="shared" si="5"/>
        <v>21062.74</v>
      </c>
      <c r="J17" s="267"/>
      <c r="K17" s="267">
        <f t="shared" si="0"/>
        <v>2458.1500000000015</v>
      </c>
      <c r="M17" s="273">
        <f t="shared" si="1"/>
        <v>0.13212599686421478</v>
      </c>
      <c r="O17" s="267">
        <f t="shared" si="6"/>
        <v>14685.42</v>
      </c>
      <c r="P17" s="267"/>
      <c r="Q17" s="267">
        <f t="shared" si="7"/>
        <v>16624.18</v>
      </c>
      <c r="R17" s="267"/>
      <c r="S17" s="267">
        <f t="shared" si="2"/>
        <v>1938.7600000000002</v>
      </c>
      <c r="U17" s="273">
        <f t="shared" si="3"/>
        <v>0.13201937704199129</v>
      </c>
      <c r="W17" s="249" t="s">
        <v>406</v>
      </c>
      <c r="X17" s="194"/>
      <c r="Y17" s="185"/>
      <c r="Z17" s="194"/>
      <c r="AA17" s="273"/>
    </row>
    <row r="18" spans="1:27">
      <c r="A18" s="274">
        <f>A15</f>
        <v>500</v>
      </c>
      <c r="C18" s="274">
        <f>C17</f>
        <v>328500</v>
      </c>
      <c r="E18" s="203">
        <f t="shared" si="8"/>
        <v>0.5</v>
      </c>
      <c r="G18" s="267">
        <f t="shared" si="4"/>
        <v>18111.73</v>
      </c>
      <c r="H18" s="267"/>
      <c r="I18" s="267">
        <f t="shared" si="5"/>
        <v>20504.73</v>
      </c>
      <c r="J18" s="267"/>
      <c r="K18" s="267">
        <f t="shared" si="0"/>
        <v>2393</v>
      </c>
      <c r="M18" s="273">
        <f t="shared" si="1"/>
        <v>0.13212431943276548</v>
      </c>
      <c r="O18" s="267">
        <f t="shared" si="6"/>
        <v>14521.18</v>
      </c>
      <c r="P18" s="267"/>
      <c r="Q18" s="267">
        <f t="shared" si="7"/>
        <v>16438.29</v>
      </c>
      <c r="R18" s="267"/>
      <c r="S18" s="267">
        <f t="shared" si="2"/>
        <v>1917.1100000000006</v>
      </c>
      <c r="U18" s="273">
        <f t="shared" si="3"/>
        <v>0.13202164011464634</v>
      </c>
      <c r="W18" s="186" t="s">
        <v>100</v>
      </c>
      <c r="X18" s="194">
        <f>X10</f>
        <v>226</v>
      </c>
      <c r="Y18" s="195">
        <f>Y10</f>
        <v>256</v>
      </c>
      <c r="Z18" s="194"/>
      <c r="AA18" s="273"/>
    </row>
    <row r="19" spans="1:27">
      <c r="A19" s="274">
        <f>A16</f>
        <v>500</v>
      </c>
      <c r="C19" s="274">
        <f>C18</f>
        <v>328500</v>
      </c>
      <c r="E19" s="203">
        <f t="shared" si="8"/>
        <v>0.4</v>
      </c>
      <c r="G19" s="267">
        <f t="shared" si="4"/>
        <v>17618.87</v>
      </c>
      <c r="H19" s="267"/>
      <c r="I19" s="267">
        <f t="shared" si="5"/>
        <v>19946.71</v>
      </c>
      <c r="J19" s="267"/>
      <c r="K19" s="267">
        <f t="shared" si="0"/>
        <v>2327.84</v>
      </c>
      <c r="M19" s="273">
        <f t="shared" si="1"/>
        <v>0.1321219805810474</v>
      </c>
      <c r="O19" s="267">
        <f t="shared" si="6"/>
        <v>14356.94</v>
      </c>
      <c r="P19" s="267"/>
      <c r="Q19" s="267">
        <f t="shared" si="7"/>
        <v>16252.41</v>
      </c>
      <c r="R19" s="267"/>
      <c r="S19" s="267">
        <f t="shared" si="2"/>
        <v>1895.4699999999993</v>
      </c>
      <c r="U19" s="273">
        <f t="shared" si="3"/>
        <v>0.13202465149258824</v>
      </c>
      <c r="W19" s="186" t="s">
        <v>458</v>
      </c>
      <c r="X19" s="194">
        <f>X11</f>
        <v>1.94</v>
      </c>
      <c r="Y19" s="195">
        <f>Y11</f>
        <v>2.2000000000000002</v>
      </c>
      <c r="Z19" s="194"/>
      <c r="AA19" s="273"/>
    </row>
    <row r="20" spans="1:27">
      <c r="G20" s="267"/>
      <c r="H20" s="267"/>
      <c r="I20" s="267"/>
      <c r="J20" s="267"/>
      <c r="K20" s="267" t="str">
        <f t="shared" si="0"/>
        <v/>
      </c>
      <c r="M20" s="273" t="str">
        <f t="shared" si="1"/>
        <v/>
      </c>
      <c r="O20" s="267"/>
      <c r="P20" s="267"/>
      <c r="Q20" s="267"/>
      <c r="R20" s="267"/>
      <c r="S20" s="267" t="str">
        <f t="shared" si="2"/>
        <v/>
      </c>
      <c r="U20" s="273" t="str">
        <f t="shared" si="3"/>
        <v/>
      </c>
      <c r="W20" s="186" t="s">
        <v>459</v>
      </c>
      <c r="X20" s="187">
        <f>'Exhibit RMP(WRG-3)'!G263</f>
        <v>8.26</v>
      </c>
      <c r="Y20" s="188">
        <f>'Exhibit RMP(WRG-3)'!M263</f>
        <v>9.35</v>
      </c>
      <c r="Z20" s="187"/>
      <c r="AA20" s="273"/>
    </row>
    <row r="21" spans="1:27">
      <c r="A21" s="159">
        <v>1000</v>
      </c>
      <c r="C21" s="159">
        <f>A21*0.5*730</f>
        <v>365000</v>
      </c>
      <c r="E21" s="203">
        <v>0.6</v>
      </c>
      <c r="G21" s="267">
        <f t="shared" ref="G21:G29" si="9">ROUND(($X$10+(($X$12*(1+$X$30)+$X$11)*$A21+($X$13*$E21+$X$14*(1-$E21))/100*$C21*(1+$X$30))*(1+$X$16))+$X$15,2)</f>
        <v>26909.7</v>
      </c>
      <c r="H21" s="267"/>
      <c r="I21" s="267">
        <f t="shared" ref="I21:I29" si="10">ROUND(($Y$10+(($Y$12*(1+$Y$30)+$Y$11)*$A21+($Y$13*$E21+$Y$14*(1-$E21))/100*$C21*(1+$Y$30))*(1+$Y$16))+$Y$15,2)</f>
        <v>30467.89</v>
      </c>
      <c r="J21" s="267"/>
      <c r="K21" s="267">
        <f t="shared" si="0"/>
        <v>3558.1899999999987</v>
      </c>
      <c r="M21" s="273">
        <f t="shared" si="1"/>
        <v>0.13222704080684644</v>
      </c>
      <c r="O21" s="267">
        <f t="shared" si="6"/>
        <v>20824</v>
      </c>
      <c r="P21" s="267"/>
      <c r="Q21" s="267">
        <f t="shared" si="7"/>
        <v>23575.439999999999</v>
      </c>
      <c r="R21" s="267"/>
      <c r="S21" s="267">
        <f t="shared" si="2"/>
        <v>2751.4399999999987</v>
      </c>
      <c r="U21" s="273">
        <f t="shared" si="3"/>
        <v>0.13212831348444087</v>
      </c>
      <c r="W21" s="186" t="s">
        <v>460</v>
      </c>
      <c r="X21" s="252">
        <f>'Exhibit RMP(WRG-3)'!G265</f>
        <v>3.052</v>
      </c>
      <c r="Y21" s="253">
        <f>'Exhibit RMP(WRG-3)'!M265</f>
        <v>3.4563000000000001</v>
      </c>
      <c r="Z21" s="254"/>
      <c r="AA21" s="273"/>
    </row>
    <row r="22" spans="1:27">
      <c r="A22" s="274">
        <f>A21</f>
        <v>1000</v>
      </c>
      <c r="C22" s="274">
        <f>C21</f>
        <v>365000</v>
      </c>
      <c r="E22" s="203">
        <v>0.5</v>
      </c>
      <c r="G22" s="267">
        <f t="shared" si="9"/>
        <v>26362.080000000002</v>
      </c>
      <c r="H22" s="267"/>
      <c r="I22" s="267">
        <f t="shared" si="10"/>
        <v>29847.87</v>
      </c>
      <c r="J22" s="267"/>
      <c r="K22" s="267">
        <f t="shared" si="0"/>
        <v>3485.7899999999972</v>
      </c>
      <c r="M22" s="273">
        <f t="shared" si="1"/>
        <v>0.13222742666739484</v>
      </c>
      <c r="O22" s="267">
        <f t="shared" si="6"/>
        <v>20641.5</v>
      </c>
      <c r="P22" s="267"/>
      <c r="Q22" s="267">
        <f t="shared" si="7"/>
        <v>23368.91</v>
      </c>
      <c r="R22" s="267"/>
      <c r="S22" s="267">
        <f t="shared" si="2"/>
        <v>2727.41</v>
      </c>
      <c r="U22" s="273">
        <f t="shared" si="3"/>
        <v>0.1321323547222828</v>
      </c>
      <c r="W22" s="186" t="s">
        <v>461</v>
      </c>
      <c r="X22" s="252">
        <f>'Exhibit RMP(WRG-3)'!G266</f>
        <v>2.5488</v>
      </c>
      <c r="Y22" s="277">
        <f>Y14</f>
        <v>2.8868</v>
      </c>
      <c r="Z22" s="254"/>
      <c r="AA22" s="273"/>
    </row>
    <row r="23" spans="1:27">
      <c r="A23" s="274">
        <f>A22</f>
        <v>1000</v>
      </c>
      <c r="C23" s="274">
        <f>C22</f>
        <v>365000</v>
      </c>
      <c r="E23" s="203">
        <v>0.4</v>
      </c>
      <c r="G23" s="267">
        <f t="shared" si="9"/>
        <v>25814.46</v>
      </c>
      <c r="H23" s="267"/>
      <c r="I23" s="267">
        <f t="shared" si="10"/>
        <v>29227.86</v>
      </c>
      <c r="J23" s="267"/>
      <c r="K23" s="267">
        <f t="shared" si="0"/>
        <v>3413.4000000000015</v>
      </c>
      <c r="M23" s="273">
        <f t="shared" si="1"/>
        <v>0.13222821627878334</v>
      </c>
      <c r="O23" s="267">
        <f t="shared" si="6"/>
        <v>20459.009999999998</v>
      </c>
      <c r="P23" s="267"/>
      <c r="Q23" s="267">
        <f t="shared" si="7"/>
        <v>23162.37</v>
      </c>
      <c r="R23" s="267"/>
      <c r="S23" s="267">
        <f t="shared" si="2"/>
        <v>2703.3600000000006</v>
      </c>
      <c r="U23" s="273">
        <f t="shared" si="3"/>
        <v>0.13213542590770522</v>
      </c>
      <c r="W23" s="186" t="s">
        <v>447</v>
      </c>
      <c r="X23" s="194">
        <f>X15</f>
        <v>50</v>
      </c>
      <c r="Y23" s="195">
        <f>Y15</f>
        <v>50</v>
      </c>
      <c r="Z23" s="194"/>
      <c r="AA23" s="273"/>
    </row>
    <row r="24" spans="1:27">
      <c r="A24" s="274">
        <f>A23</f>
        <v>1000</v>
      </c>
      <c r="C24" s="159">
        <f>A21*0.7*730</f>
        <v>511000</v>
      </c>
      <c r="E24" s="203">
        <f t="shared" ref="E24:E29" si="11">E21</f>
        <v>0.6</v>
      </c>
      <c r="G24" s="267">
        <f t="shared" si="9"/>
        <v>31921.439999999999</v>
      </c>
      <c r="H24" s="267"/>
      <c r="I24" s="267">
        <f t="shared" si="10"/>
        <v>36143.68</v>
      </c>
      <c r="J24" s="267"/>
      <c r="K24" s="267">
        <f t="shared" si="0"/>
        <v>4222.2400000000016</v>
      </c>
      <c r="M24" s="273">
        <f t="shared" si="1"/>
        <v>0.13226972216792232</v>
      </c>
      <c r="O24" s="267">
        <f t="shared" si="6"/>
        <v>24959.42</v>
      </c>
      <c r="P24" s="267"/>
      <c r="Q24" s="267">
        <f t="shared" si="7"/>
        <v>28258.9</v>
      </c>
      <c r="R24" s="267"/>
      <c r="S24" s="267">
        <f t="shared" si="2"/>
        <v>3299.4800000000032</v>
      </c>
      <c r="U24" s="273">
        <f t="shared" si="3"/>
        <v>0.13219377693872714</v>
      </c>
      <c r="W24" s="198" t="s">
        <v>466</v>
      </c>
      <c r="X24" s="260">
        <f>X16</f>
        <v>3.2099999999999997E-2</v>
      </c>
      <c r="Y24" s="261">
        <f>Y16</f>
        <v>3.2099999999999997E-2</v>
      </c>
      <c r="Z24" s="201"/>
      <c r="AA24" s="273"/>
    </row>
    <row r="25" spans="1:27">
      <c r="A25" s="274">
        <f>A24</f>
        <v>1000</v>
      </c>
      <c r="C25" s="274">
        <f>C24</f>
        <v>511000</v>
      </c>
      <c r="E25" s="203">
        <f t="shared" si="11"/>
        <v>0.5</v>
      </c>
      <c r="G25" s="267">
        <f t="shared" si="9"/>
        <v>31154.77</v>
      </c>
      <c r="H25" s="267"/>
      <c r="I25" s="267">
        <f t="shared" si="10"/>
        <v>35275.660000000003</v>
      </c>
      <c r="J25" s="267"/>
      <c r="K25" s="267">
        <f t="shared" si="0"/>
        <v>4120.8900000000031</v>
      </c>
      <c r="M25" s="273">
        <f t="shared" si="1"/>
        <v>0.13227155905821175</v>
      </c>
      <c r="O25" s="267">
        <f t="shared" si="6"/>
        <v>24703.93</v>
      </c>
      <c r="P25" s="267"/>
      <c r="Q25" s="267">
        <f t="shared" si="7"/>
        <v>27969.75</v>
      </c>
      <c r="R25" s="267"/>
      <c r="S25" s="267">
        <f t="shared" si="2"/>
        <v>3265.8199999999997</v>
      </c>
      <c r="U25" s="273">
        <f t="shared" si="3"/>
        <v>0.13219839920207033</v>
      </c>
      <c r="Z25" s="273"/>
    </row>
    <row r="26" spans="1:27">
      <c r="A26" s="274">
        <f>A25</f>
        <v>1000</v>
      </c>
      <c r="C26" s="274">
        <f>C25</f>
        <v>511000</v>
      </c>
      <c r="E26" s="203">
        <f t="shared" si="11"/>
        <v>0.4</v>
      </c>
      <c r="G26" s="267">
        <f t="shared" si="9"/>
        <v>30388.1</v>
      </c>
      <c r="H26" s="267"/>
      <c r="I26" s="267">
        <f t="shared" si="10"/>
        <v>34407.65</v>
      </c>
      <c r="J26" s="267"/>
      <c r="K26" s="267">
        <f t="shared" si="0"/>
        <v>4019.5500000000029</v>
      </c>
      <c r="M26" s="273">
        <f t="shared" si="1"/>
        <v>0.13227381771153857</v>
      </c>
      <c r="O26" s="267">
        <f t="shared" si="6"/>
        <v>24448.44</v>
      </c>
      <c r="P26" s="267"/>
      <c r="Q26" s="267">
        <f t="shared" si="7"/>
        <v>27680.59</v>
      </c>
      <c r="R26" s="267"/>
      <c r="S26" s="267">
        <f t="shared" si="2"/>
        <v>3232.1500000000015</v>
      </c>
      <c r="U26" s="273">
        <f t="shared" si="3"/>
        <v>0.13220270904810283</v>
      </c>
      <c r="W26" s="150" t="s">
        <v>419</v>
      </c>
      <c r="Y26" s="202">
        <f>'SJB-2'!Q25</f>
        <v>0.13248388282066653</v>
      </c>
      <c r="Z26" s="273"/>
    </row>
    <row r="27" spans="1:27">
      <c r="A27" s="274">
        <f>A24</f>
        <v>1000</v>
      </c>
      <c r="C27" s="159">
        <f>A21*0.9*730</f>
        <v>657000</v>
      </c>
      <c r="E27" s="203">
        <f t="shared" si="11"/>
        <v>0.6</v>
      </c>
      <c r="G27" s="267">
        <f t="shared" si="9"/>
        <v>36933.18</v>
      </c>
      <c r="H27" s="267"/>
      <c r="I27" s="267">
        <f t="shared" si="10"/>
        <v>41819.47</v>
      </c>
      <c r="J27" s="267"/>
      <c r="K27" s="267">
        <f t="shared" si="0"/>
        <v>4886.2900000000009</v>
      </c>
      <c r="M27" s="273">
        <f t="shared" si="1"/>
        <v>0.13230082002145505</v>
      </c>
      <c r="O27" s="267">
        <f t="shared" si="6"/>
        <v>29094.85</v>
      </c>
      <c r="P27" s="267"/>
      <c r="Q27" s="267">
        <f t="shared" si="7"/>
        <v>32942.35</v>
      </c>
      <c r="R27" s="267"/>
      <c r="S27" s="267">
        <f t="shared" si="2"/>
        <v>3847.5</v>
      </c>
      <c r="U27" s="273">
        <f t="shared" si="3"/>
        <v>0.13223989812630066</v>
      </c>
      <c r="W27" s="150" t="s">
        <v>420</v>
      </c>
      <c r="X27" s="201"/>
      <c r="Z27" s="273"/>
    </row>
    <row r="28" spans="1:27">
      <c r="A28" s="274">
        <f>A25</f>
        <v>1000</v>
      </c>
      <c r="C28" s="274">
        <f>C27</f>
        <v>657000</v>
      </c>
      <c r="E28" s="203">
        <f t="shared" si="11"/>
        <v>0.5</v>
      </c>
      <c r="G28" s="267">
        <f t="shared" si="9"/>
        <v>35947.46</v>
      </c>
      <c r="H28" s="267"/>
      <c r="I28" s="267">
        <f t="shared" si="10"/>
        <v>40703.449999999997</v>
      </c>
      <c r="J28" s="267"/>
      <c r="K28" s="267">
        <f t="shared" si="0"/>
        <v>4755.989999999998</v>
      </c>
      <c r="M28" s="273">
        <f t="shared" si="1"/>
        <v>0.13230392355955045</v>
      </c>
      <c r="O28" s="267">
        <f t="shared" si="6"/>
        <v>28766.36</v>
      </c>
      <c r="P28" s="267"/>
      <c r="Q28" s="267">
        <f t="shared" si="7"/>
        <v>32570.59</v>
      </c>
      <c r="R28" s="267"/>
      <c r="S28" s="267">
        <f t="shared" si="2"/>
        <v>3804.2299999999996</v>
      </c>
      <c r="U28" s="273">
        <f t="shared" si="3"/>
        <v>0.13224578987400548</v>
      </c>
      <c r="W28" s="150" t="s">
        <v>421</v>
      </c>
      <c r="X28" s="201"/>
      <c r="Y28" s="202"/>
      <c r="Z28" s="202"/>
    </row>
    <row r="29" spans="1:27">
      <c r="A29" s="274">
        <f>A26</f>
        <v>1000</v>
      </c>
      <c r="C29" s="274">
        <f>C28</f>
        <v>657000</v>
      </c>
      <c r="E29" s="203">
        <f t="shared" si="11"/>
        <v>0.4</v>
      </c>
      <c r="G29" s="267">
        <f t="shared" si="9"/>
        <v>34961.74</v>
      </c>
      <c r="H29" s="267"/>
      <c r="I29" s="267">
        <f t="shared" si="10"/>
        <v>39587.43</v>
      </c>
      <c r="J29" s="267"/>
      <c r="K29" s="267">
        <f t="shared" si="0"/>
        <v>4625.6900000000023</v>
      </c>
      <c r="M29" s="273">
        <f t="shared" si="1"/>
        <v>0.13230720210149727</v>
      </c>
      <c r="O29" s="267">
        <f t="shared" si="6"/>
        <v>28437.87</v>
      </c>
      <c r="P29" s="267"/>
      <c r="Q29" s="267">
        <f t="shared" si="7"/>
        <v>32198.82</v>
      </c>
      <c r="R29" s="267"/>
      <c r="S29" s="267">
        <f t="shared" si="2"/>
        <v>3760.9500000000007</v>
      </c>
      <c r="U29" s="273">
        <f t="shared" si="3"/>
        <v>0.13225146609081495</v>
      </c>
      <c r="W29" s="150" t="s">
        <v>422</v>
      </c>
      <c r="X29" s="201">
        <v>-3.73E-2</v>
      </c>
      <c r="Y29" s="202">
        <f>X29</f>
        <v>-3.73E-2</v>
      </c>
      <c r="Z29" s="273"/>
    </row>
    <row r="30" spans="1:27">
      <c r="G30" s="267"/>
      <c r="H30" s="267"/>
      <c r="I30" s="267"/>
      <c r="J30" s="267"/>
      <c r="K30" s="267" t="str">
        <f t="shared" si="0"/>
        <v/>
      </c>
      <c r="M30" s="273" t="str">
        <f t="shared" si="1"/>
        <v/>
      </c>
      <c r="O30" s="267"/>
      <c r="P30" s="267"/>
      <c r="Q30" s="267"/>
      <c r="R30" s="267"/>
      <c r="S30" s="267" t="str">
        <f t="shared" si="2"/>
        <v/>
      </c>
      <c r="U30" s="273" t="str">
        <f t="shared" si="3"/>
        <v/>
      </c>
      <c r="W30" s="148" t="s">
        <v>423</v>
      </c>
      <c r="X30" s="201">
        <f>SUM(X27:X29)</f>
        <v>-3.73E-2</v>
      </c>
      <c r="Y30" s="202">
        <f>SUM(Y27:Y29)</f>
        <v>-3.73E-2</v>
      </c>
      <c r="Z30" s="273"/>
    </row>
    <row r="31" spans="1:27">
      <c r="A31" s="159">
        <v>2000</v>
      </c>
      <c r="C31" s="159">
        <f>A31*0.5*730</f>
        <v>730000</v>
      </c>
      <c r="E31" s="203">
        <v>0.6</v>
      </c>
      <c r="G31" s="267">
        <f t="shared" ref="G31:G39" si="12">ROUND(($X$10+(($X$12*(1+$X$30)+$X$11)*$A31+($X$13*$E31+$X$14*(1-$E31))/100*$C31*(1+$X$30))*(1+$X$16))+$X$15,2)</f>
        <v>53543.41</v>
      </c>
      <c r="H31" s="267"/>
      <c r="I31" s="267">
        <f t="shared" ref="I31:I39" si="13">ROUND(($Y$10+(($Y$12*(1+$Y$30)+$Y$11)*$A31+($Y$13*$E31+$Y$14*(1-$E31))/100*$C31*(1+$Y$30))*(1+$Y$16))+$Y$15,2)</f>
        <v>60629.77</v>
      </c>
      <c r="J31" s="267"/>
      <c r="K31" s="267">
        <f t="shared" si="0"/>
        <v>7086.3599999999933</v>
      </c>
      <c r="M31" s="273">
        <f t="shared" si="1"/>
        <v>0.13234793973712167</v>
      </c>
      <c r="O31" s="267">
        <f t="shared" si="6"/>
        <v>41371.99</v>
      </c>
      <c r="P31" s="267"/>
      <c r="Q31" s="267">
        <f t="shared" si="7"/>
        <v>46844.89</v>
      </c>
      <c r="R31" s="267"/>
      <c r="S31" s="267">
        <f t="shared" si="2"/>
        <v>5472.9000000000015</v>
      </c>
      <c r="U31" s="273">
        <f t="shared" si="3"/>
        <v>0.13228515234582638</v>
      </c>
      <c r="Z31" s="273"/>
    </row>
    <row r="32" spans="1:27">
      <c r="A32" s="274">
        <f>A31</f>
        <v>2000</v>
      </c>
      <c r="C32" s="274">
        <f>C31</f>
        <v>730000</v>
      </c>
      <c r="E32" s="203">
        <v>0.5</v>
      </c>
      <c r="G32" s="267">
        <f t="shared" si="12"/>
        <v>52448.160000000003</v>
      </c>
      <c r="H32" s="267"/>
      <c r="I32" s="267">
        <f t="shared" si="13"/>
        <v>59389.75</v>
      </c>
      <c r="J32" s="267"/>
      <c r="K32" s="267">
        <f t="shared" si="0"/>
        <v>6941.5899999999965</v>
      </c>
      <c r="M32" s="273">
        <f t="shared" si="1"/>
        <v>0.13235144950747557</v>
      </c>
      <c r="O32" s="267">
        <f t="shared" si="6"/>
        <v>41007</v>
      </c>
      <c r="P32" s="267"/>
      <c r="Q32" s="267">
        <f t="shared" si="7"/>
        <v>46431.81</v>
      </c>
      <c r="R32" s="267"/>
      <c r="S32" s="267">
        <f t="shared" si="2"/>
        <v>5424.8099999999977</v>
      </c>
      <c r="U32" s="273">
        <f t="shared" si="3"/>
        <v>0.13228985295193496</v>
      </c>
      <c r="Z32" s="273"/>
    </row>
    <row r="33" spans="1:26">
      <c r="A33" s="274">
        <f>A32</f>
        <v>2000</v>
      </c>
      <c r="C33" s="274">
        <f>C32</f>
        <v>730000</v>
      </c>
      <c r="E33" s="203">
        <v>0.4</v>
      </c>
      <c r="G33" s="267">
        <f t="shared" si="12"/>
        <v>51352.91</v>
      </c>
      <c r="H33" s="267"/>
      <c r="I33" s="267">
        <f t="shared" si="13"/>
        <v>58149.72</v>
      </c>
      <c r="J33" s="267"/>
      <c r="K33" s="267">
        <f t="shared" si="0"/>
        <v>6796.8099999999977</v>
      </c>
      <c r="M33" s="273">
        <f t="shared" si="1"/>
        <v>0.13235491425899726</v>
      </c>
      <c r="O33" s="267">
        <f t="shared" si="6"/>
        <v>40642.019999999997</v>
      </c>
      <c r="P33" s="267"/>
      <c r="Q33" s="267">
        <f t="shared" si="7"/>
        <v>46018.74</v>
      </c>
      <c r="R33" s="267"/>
      <c r="S33" s="267">
        <f t="shared" si="2"/>
        <v>5376.7200000000012</v>
      </c>
      <c r="U33" s="273">
        <f t="shared" si="3"/>
        <v>0.13229460543545812</v>
      </c>
      <c r="Z33" s="273"/>
    </row>
    <row r="34" spans="1:26">
      <c r="A34" s="274">
        <f>A33</f>
        <v>2000</v>
      </c>
      <c r="C34" s="159">
        <f>A31*0.7*730</f>
        <v>1022000</v>
      </c>
      <c r="E34" s="203">
        <f t="shared" ref="E34:E39" si="14">E31</f>
        <v>0.6</v>
      </c>
      <c r="G34" s="267">
        <f t="shared" si="12"/>
        <v>63566.89</v>
      </c>
      <c r="H34" s="267"/>
      <c r="I34" s="267">
        <f t="shared" si="13"/>
        <v>71981.36</v>
      </c>
      <c r="J34" s="267"/>
      <c r="K34" s="267">
        <f t="shared" si="0"/>
        <v>8414.4700000000012</v>
      </c>
      <c r="M34" s="273">
        <f t="shared" si="1"/>
        <v>0.1323718998994603</v>
      </c>
      <c r="O34" s="267">
        <f t="shared" si="6"/>
        <v>49642.84</v>
      </c>
      <c r="P34" s="267"/>
      <c r="Q34" s="267">
        <f t="shared" si="7"/>
        <v>56211.8</v>
      </c>
      <c r="R34" s="267"/>
      <c r="S34" s="267">
        <f t="shared" si="2"/>
        <v>6568.9600000000064</v>
      </c>
      <c r="U34" s="273">
        <f t="shared" si="3"/>
        <v>0.13232441979548315</v>
      </c>
      <c r="Z34" s="273"/>
    </row>
    <row r="35" spans="1:26">
      <c r="A35" s="274">
        <f>A34</f>
        <v>2000</v>
      </c>
      <c r="C35" s="274">
        <f>C34</f>
        <v>1022000</v>
      </c>
      <c r="E35" s="203">
        <f t="shared" si="14"/>
        <v>0.5</v>
      </c>
      <c r="G35" s="267">
        <f t="shared" si="12"/>
        <v>62033.54</v>
      </c>
      <c r="H35" s="267"/>
      <c r="I35" s="267">
        <f t="shared" si="13"/>
        <v>70245.33</v>
      </c>
      <c r="J35" s="267"/>
      <c r="K35" s="267">
        <f t="shared" si="0"/>
        <v>8211.7900000000009</v>
      </c>
      <c r="M35" s="273">
        <f t="shared" si="1"/>
        <v>0.13237661432831338</v>
      </c>
      <c r="O35" s="267">
        <f t="shared" si="6"/>
        <v>49131.86</v>
      </c>
      <c r="P35" s="267"/>
      <c r="Q35" s="267">
        <f t="shared" si="7"/>
        <v>55633.49</v>
      </c>
      <c r="R35" s="267"/>
      <c r="S35" s="267">
        <f t="shared" si="2"/>
        <v>6501.6299999999974</v>
      </c>
      <c r="U35" s="273">
        <f t="shared" si="3"/>
        <v>0.13233022319936594</v>
      </c>
      <c r="Z35" s="273"/>
    </row>
    <row r="36" spans="1:26">
      <c r="A36" s="274">
        <f>A35</f>
        <v>2000</v>
      </c>
      <c r="C36" s="274">
        <f>C35</f>
        <v>1022000</v>
      </c>
      <c r="E36" s="203">
        <f t="shared" si="14"/>
        <v>0.4</v>
      </c>
      <c r="G36" s="267">
        <f t="shared" si="12"/>
        <v>60500.19</v>
      </c>
      <c r="H36" s="267"/>
      <c r="I36" s="267">
        <f t="shared" si="13"/>
        <v>68509.289999999994</v>
      </c>
      <c r="J36" s="267"/>
      <c r="K36" s="267">
        <f t="shared" si="0"/>
        <v>8009.0999999999913</v>
      </c>
      <c r="M36" s="273">
        <f t="shared" si="1"/>
        <v>0.13238140243857077</v>
      </c>
      <c r="O36" s="267">
        <f t="shared" si="6"/>
        <v>48620.88</v>
      </c>
      <c r="P36" s="267"/>
      <c r="Q36" s="267">
        <f t="shared" si="7"/>
        <v>55055.19</v>
      </c>
      <c r="R36" s="267"/>
      <c r="S36" s="267">
        <f t="shared" si="2"/>
        <v>6434.3100000000049</v>
      </c>
      <c r="U36" s="273">
        <f t="shared" si="3"/>
        <v>0.13233635425767698</v>
      </c>
      <c r="Z36" s="273"/>
    </row>
    <row r="37" spans="1:26">
      <c r="A37" s="274">
        <f>A34</f>
        <v>2000</v>
      </c>
      <c r="C37" s="159">
        <f>A31*0.9*730</f>
        <v>1314000</v>
      </c>
      <c r="E37" s="203">
        <f t="shared" si="14"/>
        <v>0.6</v>
      </c>
      <c r="G37" s="267">
        <f t="shared" si="12"/>
        <v>73590.37</v>
      </c>
      <c r="H37" s="267"/>
      <c r="I37" s="267">
        <f t="shared" si="13"/>
        <v>83332.95</v>
      </c>
      <c r="J37" s="267"/>
      <c r="K37" s="267">
        <f t="shared" si="0"/>
        <v>9742.5800000000017</v>
      </c>
      <c r="M37" s="273">
        <f t="shared" si="1"/>
        <v>0.13238933300647893</v>
      </c>
      <c r="O37" s="267">
        <f t="shared" si="6"/>
        <v>57913.69</v>
      </c>
      <c r="P37" s="267"/>
      <c r="Q37" s="267">
        <f t="shared" si="7"/>
        <v>65578.710000000006</v>
      </c>
      <c r="R37" s="267"/>
      <c r="S37" s="267">
        <f t="shared" si="2"/>
        <v>7665.0200000000041</v>
      </c>
      <c r="U37" s="273">
        <f t="shared" si="3"/>
        <v>0.13235247141047313</v>
      </c>
      <c r="Z37" s="273"/>
    </row>
    <row r="38" spans="1:26">
      <c r="A38" s="274">
        <f>A35</f>
        <v>2000</v>
      </c>
      <c r="C38" s="274">
        <f>C37</f>
        <v>1314000</v>
      </c>
      <c r="E38" s="203">
        <f t="shared" si="14"/>
        <v>0.5</v>
      </c>
      <c r="G38" s="267">
        <f t="shared" si="12"/>
        <v>71618.92</v>
      </c>
      <c r="H38" s="267"/>
      <c r="I38" s="267">
        <f t="shared" si="13"/>
        <v>81100.899999999994</v>
      </c>
      <c r="J38" s="267"/>
      <c r="K38" s="267">
        <f t="shared" si="0"/>
        <v>9481.9799999999959</v>
      </c>
      <c r="M38" s="273">
        <f t="shared" si="1"/>
        <v>0.13239490346964167</v>
      </c>
      <c r="O38" s="267">
        <f t="shared" si="6"/>
        <v>57256.72</v>
      </c>
      <c r="P38" s="267"/>
      <c r="Q38" s="267">
        <f t="shared" si="7"/>
        <v>64835.17</v>
      </c>
      <c r="R38" s="267"/>
      <c r="S38" s="267">
        <f t="shared" si="2"/>
        <v>7578.4499999999971</v>
      </c>
      <c r="U38" s="273">
        <f t="shared" si="3"/>
        <v>0.1323591361852372</v>
      </c>
      <c r="Z38" s="273"/>
    </row>
    <row r="39" spans="1:26">
      <c r="A39" s="274">
        <f>A36</f>
        <v>2000</v>
      </c>
      <c r="C39" s="274">
        <f>C38</f>
        <v>1314000</v>
      </c>
      <c r="E39" s="203">
        <f t="shared" si="14"/>
        <v>0.4</v>
      </c>
      <c r="G39" s="267">
        <f t="shared" si="12"/>
        <v>69647.47</v>
      </c>
      <c r="H39" s="267"/>
      <c r="I39" s="267">
        <f t="shared" si="13"/>
        <v>78868.86</v>
      </c>
      <c r="J39" s="267"/>
      <c r="K39" s="267">
        <f t="shared" si="0"/>
        <v>9221.39</v>
      </c>
      <c r="M39" s="273">
        <f t="shared" si="1"/>
        <v>0.13240093286949262</v>
      </c>
      <c r="O39" s="267">
        <f t="shared" si="6"/>
        <v>56599.74</v>
      </c>
      <c r="P39" s="267"/>
      <c r="Q39" s="267">
        <f t="shared" si="7"/>
        <v>64091.64</v>
      </c>
      <c r="R39" s="267"/>
      <c r="S39" s="267">
        <f t="shared" si="2"/>
        <v>7491.9000000000015</v>
      </c>
      <c r="U39" s="273">
        <f t="shared" si="3"/>
        <v>0.13236633242484852</v>
      </c>
      <c r="Z39" s="273"/>
    </row>
    <row r="40" spans="1:26">
      <c r="G40" s="267"/>
      <c r="H40" s="267"/>
      <c r="I40" s="267"/>
      <c r="J40" s="267"/>
      <c r="K40" s="267" t="str">
        <f t="shared" si="0"/>
        <v/>
      </c>
      <c r="M40" s="273" t="str">
        <f t="shared" si="1"/>
        <v/>
      </c>
      <c r="O40" s="267"/>
      <c r="P40" s="267"/>
      <c r="Q40" s="267"/>
      <c r="R40" s="267"/>
      <c r="S40" s="267" t="str">
        <f t="shared" si="2"/>
        <v/>
      </c>
      <c r="U40" s="273" t="str">
        <f t="shared" si="3"/>
        <v/>
      </c>
      <c r="Z40" s="273"/>
    </row>
    <row r="41" spans="1:26">
      <c r="A41" s="159">
        <v>4000</v>
      </c>
      <c r="C41" s="159">
        <f>A41*0.5*730</f>
        <v>1460000</v>
      </c>
      <c r="E41" s="203">
        <v>0.6</v>
      </c>
      <c r="G41" s="267">
        <f t="shared" ref="G41:G49" si="15">ROUND(($X$10+(($X$12*(1+$X$30)+$X$11)*$A41+($X$13*$E41+$X$14*(1-$E41))/100*$C41*(1+$X$30))*(1+$X$16))+$X$15,2)</f>
        <v>106810.82</v>
      </c>
      <c r="H41" s="267"/>
      <c r="I41" s="267">
        <f t="shared" ref="I41:I49" si="16">ROUND(($Y$10+(($Y$12*(1+$Y$30)+$Y$11)*$A41+($Y$13*$E41+$Y$14*(1-$E41))/100*$C41*(1+$Y$30))*(1+$Y$16))+$Y$15,2)</f>
        <v>120953.54</v>
      </c>
      <c r="J41" s="267"/>
      <c r="K41" s="267">
        <f t="shared" si="0"/>
        <v>14142.719999999987</v>
      </c>
      <c r="M41" s="273">
        <f t="shared" si="1"/>
        <v>0.1324090574344432</v>
      </c>
      <c r="O41" s="267">
        <f t="shared" si="6"/>
        <v>82467.98</v>
      </c>
      <c r="P41" s="267"/>
      <c r="Q41" s="267">
        <f t="shared" si="7"/>
        <v>93383.77</v>
      </c>
      <c r="R41" s="267"/>
      <c r="S41" s="267">
        <f t="shared" si="2"/>
        <v>10915.790000000008</v>
      </c>
      <c r="T41" s="278"/>
      <c r="U41" s="273">
        <f t="shared" si="3"/>
        <v>0.13236397932870436</v>
      </c>
      <c r="Z41" s="273"/>
    </row>
    <row r="42" spans="1:26">
      <c r="A42" s="274">
        <f>A41</f>
        <v>4000</v>
      </c>
      <c r="C42" s="274">
        <f>C41</f>
        <v>1460000</v>
      </c>
      <c r="E42" s="203">
        <v>0.5</v>
      </c>
      <c r="G42" s="267">
        <f t="shared" si="15"/>
        <v>104620.32</v>
      </c>
      <c r="H42" s="267"/>
      <c r="I42" s="267">
        <f t="shared" si="16"/>
        <v>118473.49</v>
      </c>
      <c r="J42" s="267"/>
      <c r="K42" s="267">
        <f t="shared" si="0"/>
        <v>13853.169999999998</v>
      </c>
      <c r="M42" s="273">
        <f t="shared" si="1"/>
        <v>0.13241376053906162</v>
      </c>
      <c r="O42" s="267">
        <f t="shared" si="6"/>
        <v>81738.009999999995</v>
      </c>
      <c r="P42" s="267"/>
      <c r="Q42" s="267">
        <f t="shared" si="7"/>
        <v>92557.62</v>
      </c>
      <c r="R42" s="267"/>
      <c r="S42" s="267">
        <f t="shared" si="2"/>
        <v>10819.61</v>
      </c>
      <c r="T42" s="278"/>
      <c r="U42" s="273">
        <f t="shared" si="3"/>
        <v>0.13236938359522088</v>
      </c>
      <c r="Z42" s="273"/>
    </row>
    <row r="43" spans="1:26">
      <c r="A43" s="274">
        <f>A42</f>
        <v>4000</v>
      </c>
      <c r="C43" s="274">
        <f>C42</f>
        <v>1460000</v>
      </c>
      <c r="E43" s="203">
        <v>0.4</v>
      </c>
      <c r="G43" s="267">
        <f t="shared" si="15"/>
        <v>102429.82</v>
      </c>
      <c r="H43" s="267"/>
      <c r="I43" s="267">
        <f t="shared" si="16"/>
        <v>115993.45</v>
      </c>
      <c r="J43" s="267"/>
      <c r="K43" s="267">
        <f t="shared" si="0"/>
        <v>13563.62999999999</v>
      </c>
      <c r="M43" s="273">
        <f t="shared" si="1"/>
        <v>0.13241876242680095</v>
      </c>
      <c r="O43" s="267">
        <f t="shared" si="6"/>
        <v>81008.039999999994</v>
      </c>
      <c r="P43" s="267"/>
      <c r="Q43" s="267">
        <f t="shared" si="7"/>
        <v>91731.47</v>
      </c>
      <c r="R43" s="267"/>
      <c r="S43" s="267">
        <f t="shared" si="2"/>
        <v>10723.430000000008</v>
      </c>
      <c r="T43" s="278"/>
      <c r="U43" s="273">
        <f t="shared" si="3"/>
        <v>0.13237488525830288</v>
      </c>
      <c r="Z43" s="273"/>
    </row>
    <row r="44" spans="1:26">
      <c r="A44" s="274">
        <f>A43</f>
        <v>4000</v>
      </c>
      <c r="C44" s="159">
        <f>A41*0.7*730</f>
        <v>2044000</v>
      </c>
      <c r="E44" s="203">
        <f t="shared" ref="E44:E49" si="17">E41</f>
        <v>0.6</v>
      </c>
      <c r="G44" s="267">
        <f t="shared" si="15"/>
        <v>126857.78</v>
      </c>
      <c r="H44" s="267"/>
      <c r="I44" s="267">
        <f t="shared" si="16"/>
        <v>143656.72</v>
      </c>
      <c r="J44" s="267"/>
      <c r="K44" s="267">
        <f t="shared" si="0"/>
        <v>16798.940000000002</v>
      </c>
      <c r="M44" s="273">
        <f t="shared" si="1"/>
        <v>0.13242341147700998</v>
      </c>
      <c r="O44" s="267">
        <f t="shared" si="6"/>
        <v>99009.68</v>
      </c>
      <c r="P44" s="267"/>
      <c r="Q44" s="267">
        <f t="shared" si="7"/>
        <v>112117.6</v>
      </c>
      <c r="R44" s="267"/>
      <c r="S44" s="267">
        <f t="shared" si="2"/>
        <v>13107.920000000013</v>
      </c>
      <c r="T44" s="278"/>
      <c r="U44" s="273">
        <f t="shared" si="3"/>
        <v>0.13239028749512194</v>
      </c>
      <c r="Z44" s="273"/>
    </row>
    <row r="45" spans="1:26">
      <c r="A45" s="274">
        <f>A44</f>
        <v>4000</v>
      </c>
      <c r="C45" s="274">
        <f>C44</f>
        <v>2044000</v>
      </c>
      <c r="E45" s="203">
        <f t="shared" si="17"/>
        <v>0.5</v>
      </c>
      <c r="G45" s="267">
        <f t="shared" si="15"/>
        <v>123791.08</v>
      </c>
      <c r="H45" s="267"/>
      <c r="I45" s="267">
        <f t="shared" si="16"/>
        <v>140184.65</v>
      </c>
      <c r="J45" s="267"/>
      <c r="K45" s="267">
        <f t="shared" si="0"/>
        <v>16393.569999999992</v>
      </c>
      <c r="M45" s="273">
        <f t="shared" si="1"/>
        <v>0.13242933174183458</v>
      </c>
      <c r="O45" s="267">
        <f t="shared" si="6"/>
        <v>97987.72</v>
      </c>
      <c r="P45" s="267"/>
      <c r="Q45" s="267">
        <f t="shared" si="7"/>
        <v>110960.99</v>
      </c>
      <c r="R45" s="267"/>
      <c r="S45" s="267">
        <f t="shared" si="2"/>
        <v>12973.270000000004</v>
      </c>
      <c r="T45" s="278"/>
      <c r="U45" s="273">
        <f t="shared" si="3"/>
        <v>0.13239689626414419</v>
      </c>
      <c r="Z45" s="273"/>
    </row>
    <row r="46" spans="1:26">
      <c r="A46" s="274">
        <f>A45</f>
        <v>4000</v>
      </c>
      <c r="C46" s="274">
        <f>C45</f>
        <v>2044000</v>
      </c>
      <c r="E46" s="203">
        <f t="shared" si="17"/>
        <v>0.4</v>
      </c>
      <c r="G46" s="267">
        <f t="shared" si="15"/>
        <v>120724.39</v>
      </c>
      <c r="H46" s="267"/>
      <c r="I46" s="267">
        <f t="shared" si="16"/>
        <v>136712.57999999999</v>
      </c>
      <c r="J46" s="267"/>
      <c r="K46" s="267">
        <f t="shared" si="0"/>
        <v>15988.189999999988</v>
      </c>
      <c r="M46" s="273">
        <f t="shared" si="1"/>
        <v>0.13243545898223208</v>
      </c>
      <c r="O46" s="267">
        <f t="shared" si="6"/>
        <v>96965.759999999995</v>
      </c>
      <c r="P46" s="267"/>
      <c r="Q46" s="267">
        <f t="shared" si="7"/>
        <v>109804.37</v>
      </c>
      <c r="R46" s="267"/>
      <c r="S46" s="267">
        <f t="shared" si="2"/>
        <v>12838.61</v>
      </c>
      <c r="T46" s="278"/>
      <c r="U46" s="273">
        <f t="shared" si="3"/>
        <v>0.13240354120877318</v>
      </c>
      <c r="Z46" s="273"/>
    </row>
    <row r="47" spans="1:26">
      <c r="A47" s="274">
        <f>A44</f>
        <v>4000</v>
      </c>
      <c r="C47" s="159">
        <f>A41*0.9*730</f>
        <v>2628000</v>
      </c>
      <c r="E47" s="203">
        <f t="shared" si="17"/>
        <v>0.6</v>
      </c>
      <c r="G47" s="267">
        <f t="shared" si="15"/>
        <v>146904.73000000001</v>
      </c>
      <c r="H47" s="267"/>
      <c r="I47" s="267">
        <f t="shared" si="16"/>
        <v>166359.89000000001</v>
      </c>
      <c r="J47" s="267"/>
      <c r="K47" s="267">
        <f t="shared" si="0"/>
        <v>19455.160000000003</v>
      </c>
      <c r="M47" s="273">
        <f t="shared" si="1"/>
        <v>0.13243385696294463</v>
      </c>
      <c r="O47" s="267">
        <f t="shared" si="6"/>
        <v>115551.38</v>
      </c>
      <c r="P47" s="267"/>
      <c r="Q47" s="267">
        <f t="shared" si="7"/>
        <v>130851.42</v>
      </c>
      <c r="R47" s="267"/>
      <c r="S47" s="267">
        <f t="shared" si="2"/>
        <v>15300.039999999994</v>
      </c>
      <c r="T47" s="278"/>
      <c r="U47" s="273">
        <f t="shared" si="3"/>
        <v>0.13240897685514441</v>
      </c>
      <c r="Z47" s="273"/>
    </row>
    <row r="48" spans="1:26">
      <c r="A48" s="274">
        <f>A45</f>
        <v>4000</v>
      </c>
      <c r="C48" s="274">
        <f>C47</f>
        <v>2628000</v>
      </c>
      <c r="E48" s="203">
        <f t="shared" si="17"/>
        <v>0.5</v>
      </c>
      <c r="G48" s="267">
        <f t="shared" si="15"/>
        <v>142961.84</v>
      </c>
      <c r="H48" s="267"/>
      <c r="I48" s="267">
        <f t="shared" si="16"/>
        <v>161895.81</v>
      </c>
      <c r="J48" s="267"/>
      <c r="K48" s="267">
        <f t="shared" si="0"/>
        <v>18933.97</v>
      </c>
      <c r="M48" s="273">
        <f t="shared" si="1"/>
        <v>0.13244072684011332</v>
      </c>
      <c r="O48" s="267">
        <f t="shared" si="6"/>
        <v>114237.43</v>
      </c>
      <c r="P48" s="267"/>
      <c r="Q48" s="267">
        <f t="shared" si="7"/>
        <v>129364.35</v>
      </c>
      <c r="R48" s="267"/>
      <c r="S48" s="267">
        <f t="shared" si="2"/>
        <v>15126.920000000013</v>
      </c>
      <c r="T48" s="278"/>
      <c r="U48" s="273">
        <f t="shared" si="3"/>
        <v>0.13241649431364144</v>
      </c>
      <c r="Z48" s="273"/>
    </row>
    <row r="49" spans="1:26">
      <c r="A49" s="274">
        <f>A46</f>
        <v>4000</v>
      </c>
      <c r="C49" s="274">
        <f>C48</f>
        <v>2628000</v>
      </c>
      <c r="E49" s="203">
        <f t="shared" si="17"/>
        <v>0.4</v>
      </c>
      <c r="G49" s="267">
        <f t="shared" si="15"/>
        <v>139018.95000000001</v>
      </c>
      <c r="H49" s="267"/>
      <c r="I49" s="267">
        <f t="shared" si="16"/>
        <v>157431.72</v>
      </c>
      <c r="J49" s="267"/>
      <c r="K49" s="267">
        <f t="shared" si="0"/>
        <v>18412.76999999999</v>
      </c>
      <c r="M49" s="273">
        <f t="shared" si="1"/>
        <v>0.13244791447496906</v>
      </c>
      <c r="O49" s="267">
        <f t="shared" si="6"/>
        <v>112923.48</v>
      </c>
      <c r="P49" s="267"/>
      <c r="Q49" s="267">
        <f t="shared" si="7"/>
        <v>127877.28</v>
      </c>
      <c r="R49" s="267"/>
      <c r="S49" s="267">
        <f t="shared" si="2"/>
        <v>14953.800000000003</v>
      </c>
      <c r="T49" s="278"/>
      <c r="U49" s="273">
        <f t="shared" si="3"/>
        <v>0.13242418671475598</v>
      </c>
      <c r="Z49" s="273"/>
    </row>
    <row r="50" spans="1:26">
      <c r="G50" s="267"/>
      <c r="H50" s="267"/>
      <c r="I50" s="267"/>
      <c r="J50" s="267"/>
      <c r="K50" s="267" t="str">
        <f t="shared" si="0"/>
        <v/>
      </c>
      <c r="M50" s="273" t="str">
        <f t="shared" si="1"/>
        <v/>
      </c>
      <c r="O50" s="267"/>
      <c r="P50" s="267"/>
      <c r="Q50" s="267"/>
      <c r="R50" s="267"/>
      <c r="S50" s="267" t="str">
        <f t="shared" si="2"/>
        <v/>
      </c>
      <c r="U50" s="273" t="str">
        <f t="shared" si="3"/>
        <v/>
      </c>
      <c r="Z50" s="273"/>
    </row>
    <row r="51" spans="1:26">
      <c r="A51" s="159">
        <v>6000</v>
      </c>
      <c r="C51" s="159">
        <f>A51*0.5*730</f>
        <v>2190000</v>
      </c>
      <c r="E51" s="203">
        <v>0.6</v>
      </c>
      <c r="G51" s="267">
        <f t="shared" ref="G51:G59" si="18">ROUND(($X$10+(($X$12*(1+$X$30)+$X$11)*$A51+($X$13*$E51+$X$14*(1-$E51))/100*$C51*(1+$X$30))*(1+$X$16))+$X$15,2)</f>
        <v>160078.22</v>
      </c>
      <c r="H51" s="267"/>
      <c r="I51" s="267">
        <f t="shared" ref="I51:I59" si="19">ROUND(($Y$10+(($Y$12*(1+$Y$30)+$Y$11)*$A51+($Y$13*$E51+$Y$14*(1-$E51))/100*$C51*(1+$Y$30))*(1+$Y$16))+$Y$15,2)</f>
        <v>181277.31</v>
      </c>
      <c r="J51" s="267"/>
      <c r="K51" s="267">
        <f t="shared" si="0"/>
        <v>21199.089999999997</v>
      </c>
      <c r="M51" s="273">
        <f t="shared" si="1"/>
        <v>0.13242957099348063</v>
      </c>
      <c r="O51" s="267">
        <f t="shared" si="6"/>
        <v>123563.97</v>
      </c>
      <c r="P51" s="267"/>
      <c r="Q51" s="267">
        <f t="shared" si="7"/>
        <v>139922.66</v>
      </c>
      <c r="R51" s="267"/>
      <c r="S51" s="267">
        <f t="shared" si="2"/>
        <v>16358.690000000002</v>
      </c>
      <c r="U51" s="273">
        <f t="shared" si="3"/>
        <v>0.13239045330123345</v>
      </c>
      <c r="Z51" s="273"/>
    </row>
    <row r="52" spans="1:26">
      <c r="A52" s="274">
        <f>A51</f>
        <v>6000</v>
      </c>
      <c r="C52" s="274">
        <f>C51</f>
        <v>2190000</v>
      </c>
      <c r="E52" s="203">
        <v>0.5</v>
      </c>
      <c r="G52" s="267">
        <f t="shared" si="18"/>
        <v>156792.48000000001</v>
      </c>
      <c r="H52" s="267"/>
      <c r="I52" s="267">
        <f t="shared" si="19"/>
        <v>177557.24</v>
      </c>
      <c r="J52" s="267"/>
      <c r="K52" s="267">
        <f t="shared" si="0"/>
        <v>20764.75999999998</v>
      </c>
      <c r="M52" s="273">
        <f t="shared" si="1"/>
        <v>0.13243466778508761</v>
      </c>
      <c r="O52" s="267">
        <f t="shared" si="6"/>
        <v>122469.01</v>
      </c>
      <c r="P52" s="267"/>
      <c r="Q52" s="267">
        <f t="shared" si="7"/>
        <v>138683.44</v>
      </c>
      <c r="R52" s="267"/>
      <c r="S52" s="267">
        <f t="shared" si="2"/>
        <v>16214.430000000008</v>
      </c>
      <c r="U52" s="273">
        <f t="shared" si="3"/>
        <v>0.13239618741100312</v>
      </c>
      <c r="Z52" s="273"/>
    </row>
    <row r="53" spans="1:26">
      <c r="A53" s="274">
        <f>A52</f>
        <v>6000</v>
      </c>
      <c r="C53" s="274">
        <f>C52</f>
        <v>2190000</v>
      </c>
      <c r="E53" s="203">
        <v>0.4</v>
      </c>
      <c r="G53" s="267">
        <f t="shared" si="18"/>
        <v>153506.74</v>
      </c>
      <c r="H53" s="267"/>
      <c r="I53" s="267">
        <f t="shared" si="19"/>
        <v>173837.17</v>
      </c>
      <c r="J53" s="267"/>
      <c r="K53" s="267">
        <f t="shared" si="0"/>
        <v>20330.430000000022</v>
      </c>
      <c r="M53" s="273">
        <f t="shared" si="1"/>
        <v>0.13243998276557778</v>
      </c>
      <c r="O53" s="267">
        <f t="shared" si="6"/>
        <v>121374.05</v>
      </c>
      <c r="P53" s="267"/>
      <c r="Q53" s="267">
        <f t="shared" si="7"/>
        <v>137444.21</v>
      </c>
      <c r="R53" s="267"/>
      <c r="S53" s="267">
        <f t="shared" si="2"/>
        <v>16070.159999999989</v>
      </c>
      <c r="U53" s="273">
        <f t="shared" si="3"/>
        <v>0.13240194258986993</v>
      </c>
      <c r="Z53" s="273"/>
    </row>
    <row r="54" spans="1:26">
      <c r="A54" s="274">
        <f>A53</f>
        <v>6000</v>
      </c>
      <c r="C54" s="159">
        <f>A51*0.7*730</f>
        <v>3066000</v>
      </c>
      <c r="E54" s="203">
        <f t="shared" ref="E54:E59" si="20">E51</f>
        <v>0.6</v>
      </c>
      <c r="G54" s="267">
        <f t="shared" si="18"/>
        <v>190148.66</v>
      </c>
      <c r="H54" s="267"/>
      <c r="I54" s="267">
        <f t="shared" si="19"/>
        <v>215332.08</v>
      </c>
      <c r="J54" s="267"/>
      <c r="K54" s="267">
        <f t="shared" si="0"/>
        <v>25183.419999999984</v>
      </c>
      <c r="M54" s="273">
        <f t="shared" si="1"/>
        <v>0.13244069140429371</v>
      </c>
      <c r="O54" s="267">
        <f t="shared" si="6"/>
        <v>148376.51999999999</v>
      </c>
      <c r="P54" s="267"/>
      <c r="Q54" s="267">
        <f t="shared" si="7"/>
        <v>168023.39</v>
      </c>
      <c r="R54" s="267"/>
      <c r="S54" s="267">
        <f t="shared" si="2"/>
        <v>19646.870000000024</v>
      </c>
      <c r="U54" s="273">
        <f t="shared" si="3"/>
        <v>0.13241225768066278</v>
      </c>
      <c r="Z54" s="273"/>
    </row>
    <row r="55" spans="1:26">
      <c r="A55" s="274">
        <f>A54</f>
        <v>6000</v>
      </c>
      <c r="C55" s="274">
        <f>C54</f>
        <v>3066000</v>
      </c>
      <c r="E55" s="203">
        <f t="shared" si="20"/>
        <v>0.5</v>
      </c>
      <c r="G55" s="267">
        <f t="shared" si="18"/>
        <v>185548.62</v>
      </c>
      <c r="H55" s="267"/>
      <c r="I55" s="267">
        <f t="shared" si="19"/>
        <v>210123.98</v>
      </c>
      <c r="J55" s="267"/>
      <c r="K55" s="267">
        <f t="shared" si="0"/>
        <v>24575.360000000015</v>
      </c>
      <c r="M55" s="273">
        <f t="shared" si="1"/>
        <v>0.13244701038466378</v>
      </c>
      <c r="O55" s="267">
        <f t="shared" si="6"/>
        <v>146843.57999999999</v>
      </c>
      <c r="P55" s="267"/>
      <c r="Q55" s="267">
        <f t="shared" si="7"/>
        <v>166288.48000000001</v>
      </c>
      <c r="R55" s="267"/>
      <c r="S55" s="267">
        <f t="shared" si="2"/>
        <v>19444.900000000023</v>
      </c>
      <c r="U55" s="273">
        <f t="shared" si="3"/>
        <v>0.13241913606301359</v>
      </c>
      <c r="Z55" s="273"/>
    </row>
    <row r="56" spans="1:26">
      <c r="A56" s="274">
        <f>A55</f>
        <v>6000</v>
      </c>
      <c r="C56" s="274">
        <f>C55</f>
        <v>3066000</v>
      </c>
      <c r="E56" s="203">
        <f t="shared" si="20"/>
        <v>0.4</v>
      </c>
      <c r="G56" s="267">
        <f t="shared" si="18"/>
        <v>180948.58</v>
      </c>
      <c r="H56" s="267"/>
      <c r="I56" s="267">
        <f t="shared" si="19"/>
        <v>204915.87</v>
      </c>
      <c r="J56" s="267"/>
      <c r="K56" s="267">
        <f t="shared" si="0"/>
        <v>23967.290000000008</v>
      </c>
      <c r="M56" s="273">
        <f t="shared" si="1"/>
        <v>0.13245359538052193</v>
      </c>
      <c r="O56" s="267">
        <f t="shared" si="6"/>
        <v>145310.64000000001</v>
      </c>
      <c r="P56" s="267"/>
      <c r="Q56" s="267">
        <f t="shared" si="7"/>
        <v>164553.56</v>
      </c>
      <c r="R56" s="267"/>
      <c r="S56" s="267">
        <f t="shared" si="2"/>
        <v>19242.919999999984</v>
      </c>
      <c r="U56" s="273">
        <f t="shared" si="3"/>
        <v>0.13242609075288625</v>
      </c>
      <c r="Z56" s="273"/>
    </row>
    <row r="57" spans="1:26">
      <c r="A57" s="274">
        <f>A54</f>
        <v>6000</v>
      </c>
      <c r="C57" s="159">
        <f>A51*0.9*730</f>
        <v>3942000</v>
      </c>
      <c r="E57" s="203">
        <f t="shared" si="20"/>
        <v>0.6</v>
      </c>
      <c r="G57" s="267">
        <f t="shared" si="18"/>
        <v>220219.1</v>
      </c>
      <c r="H57" s="267"/>
      <c r="I57" s="267">
        <f t="shared" si="19"/>
        <v>249386.84</v>
      </c>
      <c r="J57" s="267"/>
      <c r="K57" s="267">
        <f t="shared" si="0"/>
        <v>29167.739999999991</v>
      </c>
      <c r="M57" s="273">
        <f t="shared" si="1"/>
        <v>0.13244872946987796</v>
      </c>
      <c r="O57" s="267">
        <f t="shared" si="6"/>
        <v>173189.07</v>
      </c>
      <c r="P57" s="267"/>
      <c r="Q57" s="267">
        <f t="shared" si="7"/>
        <v>196124.13</v>
      </c>
      <c r="R57" s="267"/>
      <c r="S57" s="267">
        <f t="shared" si="2"/>
        <v>22935.059999999998</v>
      </c>
      <c r="U57" s="273">
        <f t="shared" si="3"/>
        <v>0.13242787203603545</v>
      </c>
      <c r="Z57" s="273"/>
    </row>
    <row r="58" spans="1:26">
      <c r="A58" s="274">
        <f>A55</f>
        <v>6000</v>
      </c>
      <c r="C58" s="274">
        <f>C57</f>
        <v>3942000</v>
      </c>
      <c r="E58" s="203">
        <f t="shared" si="20"/>
        <v>0.5</v>
      </c>
      <c r="G58" s="267">
        <f t="shared" si="18"/>
        <v>214304.76</v>
      </c>
      <c r="H58" s="267"/>
      <c r="I58" s="267">
        <f t="shared" si="19"/>
        <v>242690.71</v>
      </c>
      <c r="J58" s="267"/>
      <c r="K58" s="267">
        <f t="shared" si="0"/>
        <v>28385.949999999983</v>
      </c>
      <c r="M58" s="273">
        <f t="shared" si="1"/>
        <v>0.13245599397792174</v>
      </c>
      <c r="O58" s="267">
        <f t="shared" si="6"/>
        <v>171218.15</v>
      </c>
      <c r="P58" s="267"/>
      <c r="Q58" s="267">
        <f t="shared" si="7"/>
        <v>193893.52</v>
      </c>
      <c r="R58" s="267"/>
      <c r="S58" s="267">
        <f t="shared" si="2"/>
        <v>22675.369999999995</v>
      </c>
      <c r="U58" s="273">
        <f t="shared" si="3"/>
        <v>0.13243555078710978</v>
      </c>
      <c r="Z58" s="273"/>
    </row>
    <row r="59" spans="1:26">
      <c r="A59" s="274">
        <f>A56</f>
        <v>6000</v>
      </c>
      <c r="C59" s="274">
        <f>C58</f>
        <v>3942000</v>
      </c>
      <c r="E59" s="203">
        <f t="shared" si="20"/>
        <v>0.4</v>
      </c>
      <c r="G59" s="267">
        <f t="shared" si="18"/>
        <v>208390.42</v>
      </c>
      <c r="H59" s="267"/>
      <c r="I59" s="267">
        <f t="shared" si="19"/>
        <v>235994.58</v>
      </c>
      <c r="J59" s="267"/>
      <c r="K59" s="267">
        <f t="shared" si="0"/>
        <v>27604.159999999974</v>
      </c>
      <c r="M59" s="273">
        <f t="shared" si="1"/>
        <v>0.1324636708347724</v>
      </c>
      <c r="O59" s="267">
        <f t="shared" si="6"/>
        <v>169247.22</v>
      </c>
      <c r="P59" s="267"/>
      <c r="Q59" s="267">
        <f t="shared" si="7"/>
        <v>191662.91</v>
      </c>
      <c r="R59" s="267"/>
      <c r="S59" s="267">
        <f t="shared" si="2"/>
        <v>22415.690000000002</v>
      </c>
      <c r="U59" s="273">
        <f t="shared" si="3"/>
        <v>0.1324434752901702</v>
      </c>
      <c r="Z59" s="273"/>
    </row>
    <row r="60" spans="1:26">
      <c r="K60" s="171"/>
      <c r="S60" s="171"/>
    </row>
    <row r="61" spans="1:26" ht="15.75">
      <c r="A61" s="205" t="s">
        <v>448</v>
      </c>
      <c r="K61" s="171"/>
      <c r="S61" s="171"/>
    </row>
    <row r="62" spans="1:26" ht="15.75">
      <c r="A62" s="205" t="s">
        <v>462</v>
      </c>
      <c r="K62" s="171"/>
      <c r="S62" s="171"/>
    </row>
    <row r="63" spans="1:26" ht="15.75">
      <c r="A63" s="205"/>
      <c r="K63" s="171"/>
      <c r="S63" s="171"/>
    </row>
    <row r="64" spans="1:26">
      <c r="K64" s="171"/>
      <c r="S64" s="171"/>
    </row>
    <row r="65" spans="11:19">
      <c r="K65" s="171"/>
      <c r="S65" s="171"/>
    </row>
    <row r="66" spans="11:19">
      <c r="K66" s="171"/>
      <c r="S66" s="171"/>
    </row>
    <row r="67" spans="11:19">
      <c r="K67" s="171"/>
      <c r="S67" s="171"/>
    </row>
    <row r="68" spans="11:19">
      <c r="K68" s="171"/>
      <c r="S68" s="171"/>
    </row>
  </sheetData>
  <printOptions horizontalCentered="1"/>
  <pageMargins left="0.75" right="0.75" top="1" bottom="0.5" header="0.5" footer="0.25"/>
  <pageSetup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workbookViewId="0">
      <selection activeCell="P47" sqref="P47"/>
    </sheetView>
  </sheetViews>
  <sheetFormatPr defaultColWidth="8" defaultRowHeight="12.75"/>
  <cols>
    <col min="1" max="1" width="8.625" style="159" bestFit="1" customWidth="1"/>
    <col min="2" max="2" width="2.125" style="159" customWidth="1"/>
    <col min="3" max="3" width="4.75" style="159" hidden="1" customWidth="1"/>
    <col min="4" max="4" width="8.375" style="159" bestFit="1" customWidth="1"/>
    <col min="5" max="5" width="1.875" style="150" customWidth="1"/>
    <col min="6" max="6" width="7.75" style="177" bestFit="1" customWidth="1"/>
    <col min="7" max="7" width="1" style="150" customWidth="1"/>
    <col min="8" max="8" width="9" style="177" bestFit="1" customWidth="1"/>
    <col min="9" max="9" width="0.875" style="150" customWidth="1"/>
    <col min="10" max="10" width="7.25" style="150" bestFit="1" customWidth="1"/>
    <col min="11" max="11" width="1.125" style="150" customWidth="1"/>
    <col min="12" max="12" width="6.125" style="150" bestFit="1" customWidth="1"/>
    <col min="13" max="13" width="1.5" style="150" customWidth="1"/>
    <col min="14" max="14" width="7.75" style="177" bestFit="1" customWidth="1"/>
    <col min="15" max="15" width="0.625" style="150" customWidth="1"/>
    <col min="16" max="16" width="7.875" style="177" bestFit="1" customWidth="1"/>
    <col min="17" max="17" width="0.75" style="150" customWidth="1"/>
    <col min="18" max="18" width="7.125" style="150" bestFit="1" customWidth="1"/>
    <col min="19" max="19" width="0.625" style="150" customWidth="1"/>
    <col min="20" max="20" width="6.125" style="150" bestFit="1" customWidth="1"/>
    <col min="21" max="21" width="3.375" style="150" customWidth="1"/>
    <col min="22" max="22" width="13.375" style="150" customWidth="1"/>
    <col min="23" max="23" width="8.25" style="150" bestFit="1" customWidth="1"/>
    <col min="24" max="24" width="9.875" style="150" bestFit="1" customWidth="1"/>
    <col min="25" max="16384" width="8" style="150"/>
  </cols>
  <sheetData>
    <row r="1" spans="1:25" ht="16.5">
      <c r="A1" s="143" t="s">
        <v>1</v>
      </c>
      <c r="B1" s="143"/>
      <c r="C1" s="143"/>
      <c r="D1" s="143"/>
      <c r="E1" s="144"/>
      <c r="F1" s="145"/>
      <c r="G1" s="144"/>
      <c r="H1" s="145"/>
      <c r="I1" s="144"/>
      <c r="J1" s="144"/>
      <c r="K1" s="144"/>
      <c r="L1" s="144"/>
      <c r="M1" s="144"/>
      <c r="N1" s="145"/>
      <c r="O1" s="144"/>
      <c r="P1" s="145"/>
      <c r="Q1" s="144"/>
      <c r="R1" s="144"/>
      <c r="S1" s="144"/>
      <c r="T1" s="144"/>
    </row>
    <row r="2" spans="1:25" ht="16.5">
      <c r="A2" s="143" t="s">
        <v>399</v>
      </c>
      <c r="B2" s="143"/>
      <c r="C2" s="143"/>
      <c r="D2" s="143"/>
      <c r="E2" s="144"/>
      <c r="F2" s="145"/>
      <c r="G2" s="144"/>
      <c r="H2" s="145"/>
      <c r="I2" s="144"/>
      <c r="J2" s="144"/>
      <c r="K2" s="144"/>
      <c r="L2" s="144"/>
      <c r="M2" s="144"/>
      <c r="N2" s="145"/>
      <c r="O2" s="144"/>
      <c r="P2" s="145"/>
      <c r="Q2" s="144"/>
      <c r="R2" s="144"/>
      <c r="S2" s="144"/>
      <c r="T2" s="144"/>
    </row>
    <row r="3" spans="1:25" ht="16.5">
      <c r="A3" s="143" t="s">
        <v>467</v>
      </c>
      <c r="B3" s="143"/>
      <c r="C3" s="143"/>
      <c r="D3" s="143"/>
      <c r="E3" s="144"/>
      <c r="F3" s="145"/>
      <c r="G3" s="144"/>
      <c r="H3" s="145"/>
      <c r="I3" s="144"/>
      <c r="J3" s="144"/>
      <c r="K3" s="144"/>
      <c r="L3" s="144"/>
      <c r="M3" s="144"/>
      <c r="N3" s="145"/>
      <c r="O3" s="144"/>
      <c r="P3" s="145"/>
      <c r="Q3" s="144"/>
      <c r="R3" s="144"/>
      <c r="S3" s="144"/>
      <c r="T3" s="144"/>
    </row>
    <row r="4" spans="1:25" ht="16.5">
      <c r="A4" s="143" t="s">
        <v>468</v>
      </c>
      <c r="B4" s="143"/>
      <c r="C4" s="143"/>
      <c r="D4" s="143"/>
      <c r="E4" s="144"/>
      <c r="F4" s="145"/>
      <c r="G4" s="144"/>
      <c r="H4" s="145"/>
      <c r="I4" s="144"/>
      <c r="J4" s="144"/>
      <c r="K4" s="144"/>
      <c r="L4" s="144"/>
      <c r="M4" s="144"/>
      <c r="N4" s="145"/>
      <c r="O4" s="144"/>
      <c r="P4" s="145"/>
      <c r="Q4" s="144"/>
      <c r="R4" s="144"/>
      <c r="S4" s="144"/>
      <c r="T4" s="144"/>
    </row>
    <row r="5" spans="1:25" ht="16.5">
      <c r="A5" s="262"/>
      <c r="B5" s="263"/>
      <c r="C5" s="263"/>
      <c r="D5" s="263"/>
      <c r="E5" s="264"/>
      <c r="F5" s="265"/>
      <c r="G5" s="264"/>
      <c r="H5" s="265"/>
      <c r="I5" s="264"/>
      <c r="J5" s="264"/>
      <c r="K5" s="264"/>
      <c r="L5" s="264"/>
      <c r="M5" s="264"/>
      <c r="N5" s="265"/>
      <c r="O5" s="264"/>
      <c r="P5" s="265"/>
      <c r="Q5" s="264"/>
      <c r="R5" s="264"/>
      <c r="S5" s="264"/>
      <c r="T5" s="264"/>
    </row>
    <row r="6" spans="1:25" ht="17.25">
      <c r="A6" s="153"/>
      <c r="B6" s="147"/>
      <c r="C6" s="147"/>
      <c r="D6" s="147"/>
      <c r="E6" s="147"/>
      <c r="F6" s="156"/>
      <c r="G6" s="155"/>
      <c r="H6" s="156"/>
      <c r="I6" s="155"/>
      <c r="J6" s="155"/>
      <c r="K6" s="155"/>
      <c r="L6" s="155"/>
      <c r="M6" s="147"/>
      <c r="N6" s="156"/>
      <c r="O6" s="155"/>
      <c r="P6" s="156"/>
      <c r="Q6" s="155"/>
      <c r="R6" s="155"/>
      <c r="S6" s="155"/>
      <c r="T6" s="155"/>
    </row>
    <row r="7" spans="1:25">
      <c r="F7" s="241"/>
      <c r="G7" s="148"/>
      <c r="H7" s="241"/>
      <c r="I7" s="148"/>
      <c r="J7" s="266"/>
      <c r="K7" s="148"/>
      <c r="L7" s="266"/>
      <c r="M7" s="148"/>
      <c r="N7" s="241"/>
      <c r="O7" s="148"/>
      <c r="P7" s="241"/>
      <c r="Q7" s="148"/>
      <c r="R7" s="266"/>
      <c r="S7" s="148"/>
      <c r="T7" s="266"/>
    </row>
    <row r="8" spans="1:25">
      <c r="F8" s="160" t="s">
        <v>469</v>
      </c>
      <c r="G8" s="279"/>
      <c r="H8" s="162"/>
      <c r="I8" s="161"/>
      <c r="J8" s="170"/>
      <c r="K8" s="161"/>
      <c r="L8" s="161"/>
      <c r="N8" s="160" t="s">
        <v>470</v>
      </c>
      <c r="O8" s="279"/>
      <c r="P8" s="162"/>
      <c r="Q8" s="161"/>
      <c r="R8" s="170"/>
      <c r="S8" s="161"/>
      <c r="T8" s="161"/>
      <c r="V8" s="245" t="s">
        <v>471</v>
      </c>
      <c r="W8" s="246" t="s">
        <v>395</v>
      </c>
      <c r="X8" s="247" t="s">
        <v>6</v>
      </c>
    </row>
    <row r="9" spans="1:25" ht="16.5">
      <c r="A9" s="239" t="s">
        <v>438</v>
      </c>
      <c r="F9" s="162" t="s">
        <v>439</v>
      </c>
      <c r="G9" s="161"/>
      <c r="H9" s="162"/>
      <c r="J9" s="162" t="s">
        <v>17</v>
      </c>
      <c r="K9" s="161"/>
      <c r="L9" s="162"/>
      <c r="N9" s="162" t="s">
        <v>439</v>
      </c>
      <c r="O9" s="161"/>
      <c r="P9" s="162"/>
      <c r="R9" s="162" t="s">
        <v>17</v>
      </c>
      <c r="S9" s="161"/>
      <c r="T9" s="162"/>
      <c r="V9" s="270" t="s">
        <v>472</v>
      </c>
      <c r="W9" s="271"/>
      <c r="X9" s="272"/>
      <c r="Y9" s="241"/>
    </row>
    <row r="10" spans="1:25">
      <c r="A10" s="280" t="s">
        <v>440</v>
      </c>
      <c r="B10" s="242"/>
      <c r="C10" s="242"/>
      <c r="D10" s="243" t="s">
        <v>397</v>
      </c>
      <c r="F10" s="166" t="s">
        <v>395</v>
      </c>
      <c r="H10" s="238" t="s">
        <v>6</v>
      </c>
      <c r="J10" s="175" t="s">
        <v>398</v>
      </c>
      <c r="L10" s="174" t="s">
        <v>46</v>
      </c>
      <c r="N10" s="166" t="s">
        <v>395</v>
      </c>
      <c r="P10" s="238" t="s">
        <v>6</v>
      </c>
      <c r="R10" s="175" t="s">
        <v>398</v>
      </c>
      <c r="T10" s="174" t="s">
        <v>46</v>
      </c>
      <c r="V10" s="186" t="s">
        <v>100</v>
      </c>
      <c r="W10" s="187">
        <f>'Exhibit RMP(WRG-3)'!G330</f>
        <v>13</v>
      </c>
      <c r="X10" s="188">
        <f>'Exhibit RMP(WRG-3)'!M330</f>
        <v>15</v>
      </c>
      <c r="Y10" s="187"/>
    </row>
    <row r="11" spans="1:25" ht="18.75" customHeight="1">
      <c r="A11" s="281">
        <v>10</v>
      </c>
      <c r="B11" s="281"/>
      <c r="C11" s="282">
        <v>300</v>
      </c>
      <c r="D11" s="282">
        <f>ROUND((A11*C11),0)</f>
        <v>3000</v>
      </c>
      <c r="F11" s="267">
        <f>ROUND($W$10+($W$11*$A11+$W$13/100*MIN($D11,30000)+$W$14/100*MAX($D11-30000,0))*(1+$W$30)*(1+$W$16)+$W$15,2)</f>
        <v>272.33</v>
      </c>
      <c r="G11" s="267"/>
      <c r="H11" s="267">
        <f>ROUND($X$10+($X$11*$A11+$X$13/100*MIN($D11,30000)+$X$14/100*MAX($D11-30000,0))*(1+$X$30)*(1+$X$16)+$X$15,2)</f>
        <v>311.08</v>
      </c>
      <c r="I11" s="267"/>
      <c r="J11" s="267">
        <f>IF(H11="","",H11-F11)</f>
        <v>38.75</v>
      </c>
      <c r="L11" s="179">
        <f>IF(J11="","",H11/F11-1)</f>
        <v>0.14229060331215804</v>
      </c>
      <c r="N11" s="267">
        <f>ROUND($W$18+($W$19*$A11+$W$21/100*MIN($D11,30000)+$W$22/100*MAX($D11-30000,0))*(1+$W$30)*(1+$W$24)+$W$23,2)</f>
        <v>146.69999999999999</v>
      </c>
      <c r="O11" s="267"/>
      <c r="P11" s="267">
        <f>ROUND($X$18+($X$19*$A11+$X$21/100*MIN($D11,30000)+$X$22/100*MAX($D11-30000,0))*(1+$X$30)*(1+$X$24)+$X$23,2)</f>
        <v>167.54</v>
      </c>
      <c r="Q11" s="267"/>
      <c r="R11" s="267">
        <f t="shared" ref="R11:R33" si="0">IF(P11="","",P11-N11)</f>
        <v>20.840000000000003</v>
      </c>
      <c r="T11" s="179">
        <f t="shared" ref="T11:T33" si="1">IF(R11="","",P11/N11-1)</f>
        <v>0.1420586230402181</v>
      </c>
      <c r="V11" s="186" t="s">
        <v>443</v>
      </c>
      <c r="W11" s="187">
        <f>'Exhibit RMP(WRG-3)'!G331</f>
        <v>6.44</v>
      </c>
      <c r="X11" s="188">
        <f>'Exhibit RMP(WRG-3)'!M331</f>
        <v>7.36</v>
      </c>
      <c r="Y11" s="187"/>
    </row>
    <row r="12" spans="1:25">
      <c r="A12" s="283">
        <f>A11</f>
        <v>10</v>
      </c>
      <c r="B12" s="281"/>
      <c r="C12" s="282">
        <v>500</v>
      </c>
      <c r="D12" s="282">
        <f>ROUND((A12*C12),0)</f>
        <v>5000</v>
      </c>
      <c r="F12" s="267">
        <f t="shared" ref="F12:F33" si="2">ROUND($W$10+($W$11*$A12+$W$13/100*MIN($D12,30000)+$W$14/100*MAX($D12-30000,0))*(1+$W$30)*(1+$W$16)+$W$15,2)</f>
        <v>401.24</v>
      </c>
      <c r="G12" s="267"/>
      <c r="H12" s="267">
        <f t="shared" ref="H12:H33" si="3">ROUND($X$10+($X$11*$A12+$X$13/100*MIN($D12,30000)+$X$14/100*MAX($D12-30000,0))*(1+$X$30)*(1+$X$16)+$X$15,2)</f>
        <v>458.32</v>
      </c>
      <c r="I12" s="267"/>
      <c r="J12" s="267">
        <f>IF(H12="","",H12-F12)</f>
        <v>57.079999999999984</v>
      </c>
      <c r="L12" s="179">
        <f>IF(J12="","",H12/F12-1)</f>
        <v>0.14225899710896228</v>
      </c>
      <c r="N12" s="267">
        <f t="shared" ref="N12:N13" si="4">ROUND($W$18+($W$19*$A12+$W$21/100*MIN($D12,30000)+$W$22/100*MAX($D12-30000,0))*(1+$W$30)*(1+$W$24)+$W$23,2)</f>
        <v>235</v>
      </c>
      <c r="O12" s="267"/>
      <c r="P12" s="267">
        <f t="shared" ref="P12:P13" si="5">ROUND($X$18+($X$19*$A12+$X$21/100*MIN($D12,30000)+$X$22/100*MAX($D12-30000,0))*(1+$X$30)*(1+$X$24)+$X$23,2)</f>
        <v>268.39</v>
      </c>
      <c r="Q12" s="267"/>
      <c r="R12" s="267">
        <f t="shared" si="0"/>
        <v>33.389999999999986</v>
      </c>
      <c r="T12" s="179">
        <f t="shared" si="1"/>
        <v>0.14208510638297867</v>
      </c>
      <c r="V12" s="186" t="s">
        <v>444</v>
      </c>
      <c r="W12" s="187">
        <f>'Exhibit RMP(WRG-3)'!G332</f>
        <v>-1.8</v>
      </c>
      <c r="X12" s="188">
        <f>'Exhibit RMP(WRG-3)'!M332</f>
        <v>-2.06</v>
      </c>
      <c r="Y12" s="187"/>
    </row>
    <row r="13" spans="1:25">
      <c r="A13" s="283">
        <f>A11</f>
        <v>10</v>
      </c>
      <c r="B13" s="281"/>
      <c r="C13" s="282">
        <v>700</v>
      </c>
      <c r="D13" s="282">
        <f>ROUND((A13*C13),0)</f>
        <v>7000</v>
      </c>
      <c r="F13" s="267">
        <f t="shared" si="2"/>
        <v>530.15</v>
      </c>
      <c r="G13" s="267"/>
      <c r="H13" s="267">
        <f t="shared" si="3"/>
        <v>605.57000000000005</v>
      </c>
      <c r="I13" s="267"/>
      <c r="J13" s="267">
        <f>IF(H13="","",H13-F13)</f>
        <v>75.420000000000073</v>
      </c>
      <c r="L13" s="179">
        <f>IF(J13="","",H13/F13-1)</f>
        <v>0.14226162406866005</v>
      </c>
      <c r="N13" s="267">
        <f t="shared" si="4"/>
        <v>323.3</v>
      </c>
      <c r="O13" s="267"/>
      <c r="P13" s="267">
        <f t="shared" si="5"/>
        <v>369.25</v>
      </c>
      <c r="Q13" s="267"/>
      <c r="R13" s="267">
        <f t="shared" si="0"/>
        <v>45.949999999999989</v>
      </c>
      <c r="T13" s="179">
        <f t="shared" si="1"/>
        <v>0.14212805443860188</v>
      </c>
      <c r="V13" s="186" t="s">
        <v>473</v>
      </c>
      <c r="W13" s="252">
        <f>'Exhibit RMP(WRG-3)'!G333</f>
        <v>6.4139999999999997</v>
      </c>
      <c r="X13" s="253">
        <f>'Exhibit RMP(WRG-3)'!M333</f>
        <v>7.3262</v>
      </c>
      <c r="Y13" s="254"/>
    </row>
    <row r="14" spans="1:25">
      <c r="F14" s="267"/>
      <c r="G14" s="267"/>
      <c r="H14" s="267"/>
      <c r="I14" s="267"/>
      <c r="J14" s="267"/>
      <c r="L14" s="179"/>
      <c r="N14" s="267"/>
      <c r="O14" s="267"/>
      <c r="P14" s="267"/>
      <c r="Q14" s="267"/>
      <c r="R14" s="267" t="str">
        <f t="shared" si="0"/>
        <v/>
      </c>
      <c r="T14" s="179" t="str">
        <f t="shared" si="1"/>
        <v/>
      </c>
      <c r="V14" s="186" t="s">
        <v>474</v>
      </c>
      <c r="W14" s="252">
        <f>'Exhibit RMP(WRG-3)'!G334</f>
        <v>4.7408999999999999</v>
      </c>
      <c r="X14" s="253">
        <f>'Exhibit RMP(WRG-3)'!M334</f>
        <v>5.4150999999999998</v>
      </c>
      <c r="Y14" s="254"/>
    </row>
    <row r="15" spans="1:25">
      <c r="A15" s="281">
        <v>20</v>
      </c>
      <c r="B15" s="281"/>
      <c r="C15" s="282">
        <v>300</v>
      </c>
      <c r="D15" s="282">
        <f>ROUND((A15*C15),0)</f>
        <v>6000</v>
      </c>
      <c r="F15" s="267">
        <f t="shared" si="2"/>
        <v>530.41</v>
      </c>
      <c r="G15" s="267"/>
      <c r="H15" s="267">
        <f t="shared" si="3"/>
        <v>605.91</v>
      </c>
      <c r="I15" s="267"/>
      <c r="J15" s="267">
        <f>IF(H15="","",H15-F15)</f>
        <v>75.5</v>
      </c>
      <c r="L15" s="179">
        <f>IF(J15="","",H15/F15-1)</f>
        <v>0.14234271601214155</v>
      </c>
      <c r="N15" s="267">
        <f t="shared" ref="N15:N17" si="6">ROUND($W$18+($W$19*$A15+$W$21/100*MIN($D15,30000)+$W$22/100*MAX($D15-30000,0))*(1+$W$30)*(1+$W$24)+$W$23,2)</f>
        <v>279.14999999999998</v>
      </c>
      <c r="O15" s="267"/>
      <c r="P15" s="267">
        <f t="shared" ref="P15:P17" si="7">ROUND($X$18+($X$19*$A15+$X$21/100*MIN($D15,30000)+$X$22/100*MAX($D15-30000,0))*(1+$X$30)*(1+$X$24)+$X$23,2)</f>
        <v>318.82</v>
      </c>
      <c r="Q15" s="267"/>
      <c r="R15" s="267">
        <f t="shared" si="0"/>
        <v>39.670000000000016</v>
      </c>
      <c r="T15" s="179">
        <f t="shared" si="1"/>
        <v>0.14210997671502779</v>
      </c>
      <c r="V15" s="186" t="s">
        <v>447</v>
      </c>
      <c r="W15" s="187">
        <v>1.25</v>
      </c>
      <c r="X15" s="256">
        <f>W15</f>
        <v>1.25</v>
      </c>
      <c r="Y15" s="187"/>
    </row>
    <row r="16" spans="1:25">
      <c r="A16" s="283">
        <f>A15</f>
        <v>20</v>
      </c>
      <c r="B16" s="281"/>
      <c r="C16" s="282">
        <v>500</v>
      </c>
      <c r="D16" s="282">
        <f>ROUND((A16*C16),0)</f>
        <v>10000</v>
      </c>
      <c r="F16" s="267">
        <f t="shared" si="2"/>
        <v>788.24</v>
      </c>
      <c r="G16" s="267"/>
      <c r="H16" s="267">
        <f t="shared" si="3"/>
        <v>900.39</v>
      </c>
      <c r="I16" s="267"/>
      <c r="J16" s="267">
        <f>IF(H16="","",H16-F16)</f>
        <v>112.14999999999998</v>
      </c>
      <c r="L16" s="179">
        <f>IF(J16="","",H16/F16-1)</f>
        <v>0.14227900131939508</v>
      </c>
      <c r="N16" s="267">
        <f t="shared" si="6"/>
        <v>455.75</v>
      </c>
      <c r="O16" s="267"/>
      <c r="P16" s="267">
        <f t="shared" si="7"/>
        <v>520.54</v>
      </c>
      <c r="Q16" s="267"/>
      <c r="R16" s="267">
        <f t="shared" si="0"/>
        <v>64.789999999999964</v>
      </c>
      <c r="T16" s="179">
        <f t="shared" si="1"/>
        <v>0.14216127262753697</v>
      </c>
      <c r="V16" s="186" t="s">
        <v>417</v>
      </c>
      <c r="W16" s="257">
        <v>3.2800000000000003E-2</v>
      </c>
      <c r="X16" s="269">
        <f>W16</f>
        <v>3.2800000000000003E-2</v>
      </c>
      <c r="Y16" s="257"/>
    </row>
    <row r="17" spans="1:25" ht="13.5">
      <c r="A17" s="283">
        <f>A15</f>
        <v>20</v>
      </c>
      <c r="B17" s="281"/>
      <c r="C17" s="282">
        <v>700</v>
      </c>
      <c r="D17" s="282">
        <f>ROUND((A17*C17),0)</f>
        <v>14000</v>
      </c>
      <c r="F17" s="267">
        <f t="shared" si="2"/>
        <v>1046.06</v>
      </c>
      <c r="G17" s="267"/>
      <c r="H17" s="267">
        <f t="shared" si="3"/>
        <v>1194.8800000000001</v>
      </c>
      <c r="I17" s="267"/>
      <c r="J17" s="267">
        <f>IF(H17="","",H17-F17)</f>
        <v>148.82000000000016</v>
      </c>
      <c r="L17" s="179">
        <f>IF(J17="","",H17/F17-1)</f>
        <v>0.14226717396707667</v>
      </c>
      <c r="N17" s="267">
        <f t="shared" si="6"/>
        <v>632.35</v>
      </c>
      <c r="O17" s="267"/>
      <c r="P17" s="267">
        <f t="shared" si="7"/>
        <v>722.25</v>
      </c>
      <c r="Q17" s="267"/>
      <c r="R17" s="267">
        <f t="shared" si="0"/>
        <v>89.899999999999977</v>
      </c>
      <c r="T17" s="179">
        <f t="shared" si="1"/>
        <v>0.1421681031074562</v>
      </c>
      <c r="V17" s="249" t="s">
        <v>475</v>
      </c>
      <c r="W17" s="148"/>
      <c r="X17" s="185"/>
      <c r="Y17" s="148"/>
    </row>
    <row r="18" spans="1:25">
      <c r="F18" s="267"/>
      <c r="G18" s="267"/>
      <c r="H18" s="267"/>
      <c r="I18" s="267"/>
      <c r="J18" s="267"/>
      <c r="L18" s="179"/>
      <c r="N18" s="267"/>
      <c r="O18" s="267"/>
      <c r="P18" s="267"/>
      <c r="Q18" s="267"/>
      <c r="R18" s="267" t="str">
        <f t="shared" si="0"/>
        <v/>
      </c>
      <c r="T18" s="179" t="str">
        <f t="shared" si="1"/>
        <v/>
      </c>
      <c r="V18" s="186" t="s">
        <v>100</v>
      </c>
      <c r="W18" s="194">
        <f>W10</f>
        <v>13</v>
      </c>
      <c r="X18" s="195">
        <f>X10</f>
        <v>15</v>
      </c>
      <c r="Y18" s="194"/>
    </row>
    <row r="19" spans="1:25">
      <c r="A19" s="281">
        <v>50</v>
      </c>
      <c r="B19" s="281"/>
      <c r="C19" s="282">
        <v>300</v>
      </c>
      <c r="D19" s="282">
        <f>ROUND((A19*C19),0)</f>
        <v>15000</v>
      </c>
      <c r="F19" s="267">
        <f t="shared" si="2"/>
        <v>1304.6600000000001</v>
      </c>
      <c r="G19" s="267"/>
      <c r="H19" s="267">
        <f t="shared" si="3"/>
        <v>1490.39</v>
      </c>
      <c r="I19" s="267"/>
      <c r="J19" s="267">
        <f>IF(H19="","",H19-F19)</f>
        <v>185.73000000000002</v>
      </c>
      <c r="L19" s="179">
        <f>IF(J19="","",H19/F19-1)</f>
        <v>0.14235892876304934</v>
      </c>
      <c r="N19" s="267">
        <f t="shared" ref="N19:N21" si="8">ROUND($W$18+($W$19*$A19+$W$21/100*MIN($D19,30000)+$W$22/100*MAX($D19-30000,0))*(1+$W$30)*(1+$W$24)+$W$23,2)</f>
        <v>676.5</v>
      </c>
      <c r="O19" s="267"/>
      <c r="P19" s="267">
        <f t="shared" ref="P19:P21" si="9">ROUND($X$18+($X$19*$A19+$X$21/100*MIN($D19,30000)+$X$22/100*MAX($D19-30000,0))*(1+$X$30)*(1+$X$24)+$X$23,2)</f>
        <v>772.68</v>
      </c>
      <c r="Q19" s="267"/>
      <c r="R19" s="267">
        <f t="shared" si="0"/>
        <v>96.17999999999995</v>
      </c>
      <c r="T19" s="179">
        <f t="shared" si="1"/>
        <v>0.14217294900221722</v>
      </c>
      <c r="V19" s="186" t="s">
        <v>443</v>
      </c>
      <c r="W19" s="187">
        <v>0</v>
      </c>
      <c r="X19" s="188">
        <v>0</v>
      </c>
      <c r="Y19" s="187"/>
    </row>
    <row r="20" spans="1:25">
      <c r="A20" s="283">
        <f>A19</f>
        <v>50</v>
      </c>
      <c r="B20" s="281"/>
      <c r="C20" s="282">
        <v>500</v>
      </c>
      <c r="D20" s="282">
        <f>ROUND((A20*C20),0)</f>
        <v>25000</v>
      </c>
      <c r="F20" s="267">
        <f t="shared" si="2"/>
        <v>1949.21</v>
      </c>
      <c r="G20" s="267"/>
      <c r="H20" s="267">
        <f t="shared" si="3"/>
        <v>2226.61</v>
      </c>
      <c r="I20" s="267"/>
      <c r="J20" s="267">
        <f>IF(H20="","",H20-F20)</f>
        <v>277.40000000000009</v>
      </c>
      <c r="L20" s="179">
        <f>IF(J20="","",H20/F20-1)</f>
        <v>0.14231406569841121</v>
      </c>
      <c r="N20" s="267">
        <f t="shared" si="8"/>
        <v>1118</v>
      </c>
      <c r="O20" s="267"/>
      <c r="P20" s="267">
        <f t="shared" si="9"/>
        <v>1276.97</v>
      </c>
      <c r="Q20" s="267"/>
      <c r="R20" s="267">
        <f t="shared" si="0"/>
        <v>158.97000000000003</v>
      </c>
      <c r="T20" s="179">
        <f t="shared" si="1"/>
        <v>0.14219141323792495</v>
      </c>
      <c r="V20" s="186" t="s">
        <v>444</v>
      </c>
      <c r="W20" s="187">
        <v>0</v>
      </c>
      <c r="X20" s="188">
        <v>0</v>
      </c>
      <c r="Y20" s="187"/>
    </row>
    <row r="21" spans="1:25">
      <c r="A21" s="283">
        <f>A19</f>
        <v>50</v>
      </c>
      <c r="B21" s="281"/>
      <c r="C21" s="282">
        <v>700</v>
      </c>
      <c r="D21" s="282">
        <f>ROUND((A21*C21),0)</f>
        <v>35000</v>
      </c>
      <c r="F21" s="267">
        <f t="shared" si="2"/>
        <v>2509.6999999999998</v>
      </c>
      <c r="G21" s="267"/>
      <c r="H21" s="267">
        <f t="shared" si="3"/>
        <v>2866.81</v>
      </c>
      <c r="I21" s="267"/>
      <c r="J21" s="267">
        <f>IF(H21="","",H21-F21)</f>
        <v>357.11000000000013</v>
      </c>
      <c r="L21" s="179">
        <f>IF(J21="","",H21/F21-1)</f>
        <v>0.14229190739929076</v>
      </c>
      <c r="N21" s="267">
        <f t="shared" si="8"/>
        <v>1559.5</v>
      </c>
      <c r="O21" s="267"/>
      <c r="P21" s="267">
        <f t="shared" si="9"/>
        <v>1781.25</v>
      </c>
      <c r="Q21" s="267"/>
      <c r="R21" s="267">
        <f t="shared" si="0"/>
        <v>221.75</v>
      </c>
      <c r="T21" s="179">
        <f t="shared" si="1"/>
        <v>0.14219301058031419</v>
      </c>
      <c r="V21" s="186" t="s">
        <v>473</v>
      </c>
      <c r="W21" s="252">
        <f>'Exhibit RMP(WRG-3)'!G338</f>
        <v>4.3933999999999997</v>
      </c>
      <c r="X21" s="253">
        <f>'Exhibit RMP(WRG-3)'!M338</f>
        <v>5.0182000000000002</v>
      </c>
      <c r="Y21" s="254"/>
    </row>
    <row r="22" spans="1:25">
      <c r="F22" s="267"/>
      <c r="G22" s="267"/>
      <c r="H22" s="267"/>
      <c r="I22" s="267"/>
      <c r="J22" s="267"/>
      <c r="L22" s="179"/>
      <c r="N22" s="267"/>
      <c r="O22" s="267"/>
      <c r="P22" s="267"/>
      <c r="Q22" s="267"/>
      <c r="R22" s="267" t="str">
        <f t="shared" si="0"/>
        <v/>
      </c>
      <c r="T22" s="179" t="str">
        <f t="shared" si="1"/>
        <v/>
      </c>
      <c r="V22" s="186" t="s">
        <v>474</v>
      </c>
      <c r="W22" s="284">
        <f>W21</f>
        <v>4.3933999999999997</v>
      </c>
      <c r="X22" s="277">
        <f>X21</f>
        <v>5.0182000000000002</v>
      </c>
      <c r="Y22" s="285"/>
    </row>
    <row r="23" spans="1:25">
      <c r="A23" s="281">
        <v>100</v>
      </c>
      <c r="B23" s="281"/>
      <c r="C23" s="282">
        <v>300</v>
      </c>
      <c r="D23" s="282">
        <f>ROUND((A23*C23),0)</f>
        <v>30000</v>
      </c>
      <c r="F23" s="267">
        <f t="shared" si="2"/>
        <v>2595.0700000000002</v>
      </c>
      <c r="G23" s="267"/>
      <c r="H23" s="267">
        <f t="shared" si="3"/>
        <v>2964.53</v>
      </c>
      <c r="I23" s="267"/>
      <c r="J23" s="267">
        <f>IF(H23="","",H23-F23)</f>
        <v>369.46000000000004</v>
      </c>
      <c r="L23" s="179">
        <f>IF(J23="","",H23/F23-1)</f>
        <v>0.1423699553383917</v>
      </c>
      <c r="N23" s="267">
        <f t="shared" ref="N23:N25" si="10">ROUND($W$18+($W$19*$A23+$W$21/100*MIN($D23,30000)+$W$22/100*MAX($D23-30000,0))*(1+$W$30)*(1+$W$24)+$W$23,2)</f>
        <v>1338.75</v>
      </c>
      <c r="O23" s="267"/>
      <c r="P23" s="267">
        <f t="shared" ref="P23:P25" si="11">ROUND($X$18+($X$19*$A23+$X$21/100*MIN($D23,30000)+$X$22/100*MAX($D23-30000,0))*(1+$X$30)*(1+$X$24)+$X$23,2)</f>
        <v>1529.11</v>
      </c>
      <c r="Q23" s="267"/>
      <c r="R23" s="267">
        <f t="shared" si="0"/>
        <v>190.3599999999999</v>
      </c>
      <c r="T23" s="179">
        <f t="shared" si="1"/>
        <v>0.14219234360410815</v>
      </c>
      <c r="V23" s="186" t="s">
        <v>447</v>
      </c>
      <c r="W23" s="194">
        <f>W15</f>
        <v>1.25</v>
      </c>
      <c r="X23" s="195">
        <f>X15</f>
        <v>1.25</v>
      </c>
      <c r="Y23" s="194"/>
    </row>
    <row r="24" spans="1:25">
      <c r="A24" s="283">
        <f>A23</f>
        <v>100</v>
      </c>
      <c r="B24" s="281"/>
      <c r="C24" s="282">
        <v>500</v>
      </c>
      <c r="D24" s="282">
        <f>ROUND((A24*C24),0)</f>
        <v>50000</v>
      </c>
      <c r="F24" s="267">
        <f t="shared" si="2"/>
        <v>3547.91</v>
      </c>
      <c r="G24" s="267"/>
      <c r="H24" s="267">
        <f t="shared" si="3"/>
        <v>4052.87</v>
      </c>
      <c r="I24" s="267"/>
      <c r="J24" s="267">
        <f>IF(H24="","",H24-F24)</f>
        <v>504.96000000000004</v>
      </c>
      <c r="L24" s="179">
        <f>IF(J24="","",H24/F24-1)</f>
        <v>0.14232604547465977</v>
      </c>
      <c r="N24" s="267">
        <f t="shared" si="10"/>
        <v>2221.75</v>
      </c>
      <c r="O24" s="267"/>
      <c r="P24" s="267">
        <f t="shared" si="11"/>
        <v>2537.6799999999998</v>
      </c>
      <c r="Q24" s="267"/>
      <c r="R24" s="267">
        <f t="shared" si="0"/>
        <v>315.92999999999984</v>
      </c>
      <c r="T24" s="179">
        <f t="shared" si="1"/>
        <v>0.14219871722741084</v>
      </c>
      <c r="V24" s="198" t="s">
        <v>466</v>
      </c>
      <c r="W24" s="260">
        <f>W16</f>
        <v>3.2800000000000003E-2</v>
      </c>
      <c r="X24" s="261">
        <f>X16</f>
        <v>3.2800000000000003E-2</v>
      </c>
      <c r="Y24" s="201"/>
    </row>
    <row r="25" spans="1:25">
      <c r="A25" s="283">
        <f>A23</f>
        <v>100</v>
      </c>
      <c r="B25" s="281"/>
      <c r="C25" s="282">
        <v>700</v>
      </c>
      <c r="D25" s="282">
        <f>ROUND((A25*C25),0)</f>
        <v>70000</v>
      </c>
      <c r="F25" s="267">
        <f t="shared" si="2"/>
        <v>4500.75</v>
      </c>
      <c r="G25" s="267"/>
      <c r="H25" s="267">
        <f t="shared" si="3"/>
        <v>5141.21</v>
      </c>
      <c r="I25" s="267"/>
      <c r="J25" s="267">
        <f>IF(H25="","",H25-F25)</f>
        <v>640.46</v>
      </c>
      <c r="L25" s="179">
        <f>IF(J25="","",H25/F25-1)</f>
        <v>0.14230072765650181</v>
      </c>
      <c r="N25" s="267">
        <f t="shared" si="10"/>
        <v>3104.74</v>
      </c>
      <c r="O25" s="267"/>
      <c r="P25" s="267">
        <f t="shared" si="11"/>
        <v>3546.25</v>
      </c>
      <c r="Q25" s="267"/>
      <c r="R25" s="267">
        <f t="shared" si="0"/>
        <v>441.51000000000022</v>
      </c>
      <c r="T25" s="179">
        <f t="shared" si="1"/>
        <v>0.14220514439212306</v>
      </c>
      <c r="Y25" s="273"/>
    </row>
    <row r="26" spans="1:25">
      <c r="F26" s="267"/>
      <c r="G26" s="267"/>
      <c r="H26" s="267"/>
      <c r="I26" s="267"/>
      <c r="J26" s="267"/>
      <c r="L26" s="179"/>
      <c r="N26" s="267"/>
      <c r="O26" s="267"/>
      <c r="P26" s="267"/>
      <c r="Q26" s="267"/>
      <c r="R26" s="267" t="str">
        <f t="shared" si="0"/>
        <v/>
      </c>
      <c r="T26" s="179" t="str">
        <f t="shared" si="1"/>
        <v/>
      </c>
      <c r="V26" s="150" t="s">
        <v>419</v>
      </c>
      <c r="X26" s="202">
        <f>'SJB-2'!Q28</f>
        <v>0.14259227955154369</v>
      </c>
      <c r="Y26" s="273"/>
    </row>
    <row r="27" spans="1:25">
      <c r="A27" s="281">
        <v>200</v>
      </c>
      <c r="B27" s="281"/>
      <c r="C27" s="282">
        <v>300</v>
      </c>
      <c r="D27" s="282">
        <f>ROUND((A27*C27),0)</f>
        <v>60000</v>
      </c>
      <c r="F27" s="267">
        <f t="shared" si="2"/>
        <v>4671.5</v>
      </c>
      <c r="G27" s="267"/>
      <c r="H27" s="267">
        <f t="shared" si="3"/>
        <v>5336.66</v>
      </c>
      <c r="I27" s="267"/>
      <c r="J27" s="267">
        <f>IF(H27="","",H27-F27)</f>
        <v>665.15999999999985</v>
      </c>
      <c r="L27" s="179">
        <f>IF(J27="","",H27/F27-1)</f>
        <v>0.14238681365728345</v>
      </c>
      <c r="N27" s="267">
        <f t="shared" ref="N27:N29" si="12">ROUND($W$18+($W$19*$A27+$W$21/100*MIN($D27,30000)+$W$22/100*MAX($D27-30000,0))*(1+$W$30)*(1+$W$24)+$W$23,2)</f>
        <v>2663.24</v>
      </c>
      <c r="O27" s="267"/>
      <c r="P27" s="267">
        <f t="shared" ref="P27:P29" si="13">ROUND($X$18+($X$19*$A27+$X$21/100*MIN($D27,30000)+$X$22/100*MAX($D27-30000,0))*(1+$X$30)*(1+$X$24)+$X$23,2)</f>
        <v>3041.97</v>
      </c>
      <c r="Q27" s="267"/>
      <c r="R27" s="267">
        <f t="shared" si="0"/>
        <v>378.73</v>
      </c>
      <c r="T27" s="179">
        <f t="shared" si="1"/>
        <v>0.14220648533365376</v>
      </c>
      <c r="V27" s="150" t="s">
        <v>420</v>
      </c>
      <c r="W27" s="201"/>
      <c r="Y27" s="273"/>
    </row>
    <row r="28" spans="1:25">
      <c r="A28" s="283">
        <f>A27</f>
        <v>200</v>
      </c>
      <c r="B28" s="281"/>
      <c r="C28" s="282">
        <v>500</v>
      </c>
      <c r="D28" s="282">
        <f>ROUND((A28*C28),0)</f>
        <v>100000</v>
      </c>
      <c r="F28" s="267">
        <f t="shared" si="2"/>
        <v>6577.18</v>
      </c>
      <c r="G28" s="267"/>
      <c r="H28" s="267">
        <f t="shared" si="3"/>
        <v>7513.34</v>
      </c>
      <c r="I28" s="267"/>
      <c r="J28" s="267">
        <f>IF(H28="","",H28-F28)</f>
        <v>936.15999999999985</v>
      </c>
      <c r="L28" s="179">
        <f>IF(J28="","",H28/F28-1)</f>
        <v>0.14233455675532669</v>
      </c>
      <c r="N28" s="267">
        <f t="shared" si="12"/>
        <v>4429.24</v>
      </c>
      <c r="O28" s="267"/>
      <c r="P28" s="267">
        <f t="shared" si="13"/>
        <v>5059.1099999999997</v>
      </c>
      <c r="Q28" s="267"/>
      <c r="R28" s="267">
        <f t="shared" si="0"/>
        <v>629.86999999999989</v>
      </c>
      <c r="T28" s="179">
        <f t="shared" si="1"/>
        <v>0.14220724097136306</v>
      </c>
      <c r="V28" s="150" t="s">
        <v>421</v>
      </c>
      <c r="W28" s="201"/>
      <c r="X28" s="202"/>
      <c r="Y28" s="202"/>
    </row>
    <row r="29" spans="1:25">
      <c r="A29" s="283">
        <f>A27</f>
        <v>200</v>
      </c>
      <c r="B29" s="281"/>
      <c r="C29" s="282">
        <v>700</v>
      </c>
      <c r="D29" s="282">
        <f>ROUND((A29*C29),0)</f>
        <v>140000</v>
      </c>
      <c r="F29" s="267">
        <f t="shared" si="2"/>
        <v>8482.85</v>
      </c>
      <c r="G29" s="267"/>
      <c r="H29" s="267">
        <f t="shared" si="3"/>
        <v>9690.0300000000007</v>
      </c>
      <c r="I29" s="267"/>
      <c r="J29" s="267">
        <f>IF(H29="","",H29-F29)</f>
        <v>1207.1800000000003</v>
      </c>
      <c r="L29" s="179">
        <f>IF(J29="","",H29/F29-1)</f>
        <v>0.14230830440241204</v>
      </c>
      <c r="N29" s="267">
        <f t="shared" si="12"/>
        <v>6195.24</v>
      </c>
      <c r="O29" s="267"/>
      <c r="P29" s="267">
        <f t="shared" si="13"/>
        <v>7076.26</v>
      </c>
      <c r="Q29" s="267"/>
      <c r="R29" s="267">
        <f t="shared" si="0"/>
        <v>881.02000000000044</v>
      </c>
      <c r="T29" s="179">
        <f t="shared" si="1"/>
        <v>0.14220917995105919</v>
      </c>
      <c r="V29" s="150" t="s">
        <v>422</v>
      </c>
      <c r="W29" s="201">
        <v>-2.7E-2</v>
      </c>
      <c r="X29" s="202">
        <f>W29</f>
        <v>-2.7E-2</v>
      </c>
    </row>
    <row r="30" spans="1:25">
      <c r="F30" s="267"/>
      <c r="G30" s="267"/>
      <c r="H30" s="267"/>
      <c r="I30" s="267"/>
      <c r="J30" s="267"/>
      <c r="L30" s="179"/>
      <c r="N30" s="267"/>
      <c r="O30" s="267"/>
      <c r="P30" s="267"/>
      <c r="Q30" s="267"/>
      <c r="R30" s="267" t="str">
        <f t="shared" si="0"/>
        <v/>
      </c>
      <c r="T30" s="179" t="str">
        <f t="shared" si="1"/>
        <v/>
      </c>
      <c r="V30" s="148" t="s">
        <v>423</v>
      </c>
      <c r="W30" s="201">
        <f>SUM(W27:W29)</f>
        <v>-2.7E-2</v>
      </c>
      <c r="X30" s="202">
        <f>SUM(X27:X29)</f>
        <v>-2.7E-2</v>
      </c>
    </row>
    <row r="31" spans="1:25">
      <c r="A31" s="281">
        <v>300</v>
      </c>
      <c r="B31" s="281"/>
      <c r="C31" s="282">
        <v>300</v>
      </c>
      <c r="D31" s="282">
        <f>ROUND((A31*C31),0)</f>
        <v>90000</v>
      </c>
      <c r="F31" s="267">
        <f t="shared" si="2"/>
        <v>6747.92</v>
      </c>
      <c r="G31" s="267"/>
      <c r="H31" s="267">
        <f t="shared" si="3"/>
        <v>7708.79</v>
      </c>
      <c r="I31" s="267"/>
      <c r="J31" s="267">
        <f>IF(H31="","",H31-F31)</f>
        <v>960.86999999999989</v>
      </c>
      <c r="L31" s="179">
        <f>IF(J31="","",H31/F31-1)</f>
        <v>0.14239498986354304</v>
      </c>
      <c r="N31" s="267">
        <f t="shared" ref="N31:N33" si="14">ROUND($W$18+($W$19*$A31+$W$21/100*MIN($D31,30000)+$W$22/100*MAX($D31-30000,0))*(1+$W$30)*(1+$W$24)+$W$23,2)</f>
        <v>3987.74</v>
      </c>
      <c r="O31" s="267"/>
      <c r="P31" s="267">
        <f t="shared" ref="P31:P33" si="15">ROUND($X$18+($X$19*$A31+$X$21/100*MIN($D31,30000)+$X$22/100*MAX($D31-30000,0))*(1+$X$30)*(1+$X$24)+$X$23,2)</f>
        <v>4554.83</v>
      </c>
      <c r="Q31" s="267"/>
      <c r="R31" s="267">
        <f t="shared" si="0"/>
        <v>567.09000000000015</v>
      </c>
      <c r="T31" s="179">
        <f t="shared" si="1"/>
        <v>0.14220836864991204</v>
      </c>
    </row>
    <row r="32" spans="1:25">
      <c r="A32" s="283">
        <f>A31</f>
        <v>300</v>
      </c>
      <c r="B32" s="281"/>
      <c r="C32" s="282">
        <v>500</v>
      </c>
      <c r="D32" s="282">
        <f>ROUND((A32*C32),0)</f>
        <v>150000</v>
      </c>
      <c r="F32" s="267">
        <f t="shared" si="2"/>
        <v>9606.44</v>
      </c>
      <c r="G32" s="267"/>
      <c r="H32" s="267">
        <f t="shared" si="3"/>
        <v>10973.82</v>
      </c>
      <c r="I32" s="267"/>
      <c r="J32" s="267">
        <f>IF(H32="","",H32-F32)</f>
        <v>1367.3799999999992</v>
      </c>
      <c r="L32" s="179">
        <f>IF(J32="","",H32/F32-1)</f>
        <v>0.14233993029675918</v>
      </c>
      <c r="N32" s="267">
        <f t="shared" si="14"/>
        <v>6636.74</v>
      </c>
      <c r="O32" s="267"/>
      <c r="P32" s="267">
        <f t="shared" si="15"/>
        <v>7580.54</v>
      </c>
      <c r="Q32" s="267"/>
      <c r="R32" s="267">
        <f t="shared" si="0"/>
        <v>943.80000000000018</v>
      </c>
      <c r="T32" s="179">
        <f t="shared" si="1"/>
        <v>0.14220837338813941</v>
      </c>
    </row>
    <row r="33" spans="1:24">
      <c r="A33" s="283">
        <f>A31</f>
        <v>300</v>
      </c>
      <c r="B33" s="281"/>
      <c r="C33" s="282">
        <v>700</v>
      </c>
      <c r="D33" s="282">
        <f>ROUND((A33*C33),0)</f>
        <v>210000</v>
      </c>
      <c r="F33" s="267">
        <f t="shared" si="2"/>
        <v>12464.96</v>
      </c>
      <c r="G33" s="267"/>
      <c r="H33" s="267">
        <f t="shared" si="3"/>
        <v>14238.84</v>
      </c>
      <c r="I33" s="267"/>
      <c r="J33" s="267">
        <f>IF(H33="","",H33-F33)</f>
        <v>1773.880000000001</v>
      </c>
      <c r="L33" s="179">
        <f>IF(J33="","",H33/F33-1)</f>
        <v>0.14230932149000086</v>
      </c>
      <c r="N33" s="267">
        <f t="shared" si="14"/>
        <v>9285.73</v>
      </c>
      <c r="O33" s="267"/>
      <c r="P33" s="267">
        <f t="shared" si="15"/>
        <v>10606.26</v>
      </c>
      <c r="Q33" s="267"/>
      <c r="R33" s="267">
        <f t="shared" si="0"/>
        <v>1320.5300000000007</v>
      </c>
      <c r="T33" s="179">
        <f t="shared" si="1"/>
        <v>0.14221068241269141</v>
      </c>
    </row>
    <row r="34" spans="1:24">
      <c r="W34" s="250"/>
      <c r="X34" s="250"/>
    </row>
    <row r="35" spans="1:24" ht="15.75">
      <c r="A35" s="205" t="s">
        <v>476</v>
      </c>
      <c r="W35" s="250"/>
      <c r="X35" s="250"/>
    </row>
    <row r="36" spans="1:24" ht="15.75">
      <c r="A36" s="205"/>
    </row>
  </sheetData>
  <printOptions horizontalCentered="1"/>
  <pageMargins left="0.75" right="0.75" top="1" bottom="1" header="0.5" footer="0.5"/>
  <pageSetup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13</vt:i4>
      </vt:variant>
    </vt:vector>
  </HeadingPairs>
  <TitlesOfParts>
    <vt:vector size="23" baseType="lpstr">
      <vt:lpstr>SJB-2</vt:lpstr>
      <vt:lpstr>Exhibit RMP(WRG-2)</vt:lpstr>
      <vt:lpstr>Exhibit RMP(WRG-3)</vt:lpstr>
      <vt:lpstr>Exhibit RMP(WRG-4) Sch1</vt:lpstr>
      <vt:lpstr>Exhibit RMP(WRG-4)Sch23</vt:lpstr>
      <vt:lpstr>Exhibit RMP(WRG-4)Sch6</vt:lpstr>
      <vt:lpstr>Exhibit RMP(WRG-4)Sch8</vt:lpstr>
      <vt:lpstr>Exhibit RMP(WRG-4)Sch9</vt:lpstr>
      <vt:lpstr>Exhibit RMP(WRG-4)Sch10</vt:lpstr>
      <vt:lpstr>Baron Rate Spread</vt:lpstr>
      <vt:lpstr>'Baron Rate Spread'!Print_Area</vt:lpstr>
      <vt:lpstr>'Exhibit RMP(WRG-3)'!Print_Area</vt:lpstr>
      <vt:lpstr>'Exhibit RMP(WRG-4) Sch1'!Print_Area</vt:lpstr>
      <vt:lpstr>'Exhibit RMP(WRG-4)Sch10'!Print_Area</vt:lpstr>
      <vt:lpstr>'Exhibit RMP(WRG-4)Sch23'!Print_Area</vt:lpstr>
      <vt:lpstr>'Exhibit RMP(WRG-4)Sch6'!Print_Area</vt:lpstr>
      <vt:lpstr>'Exhibit RMP(WRG-4)Sch8'!Print_Area</vt:lpstr>
      <vt:lpstr>'Exhibit RMP(WRG-4)Sch9'!Print_Area</vt:lpstr>
      <vt:lpstr>'SJB-2'!Print_Area</vt:lpstr>
      <vt:lpstr>'Baron Rate Spread'!Print_Titles</vt:lpstr>
      <vt:lpstr>'Exhibit RMP(WRG-3)'!Print_Titles</vt:lpstr>
      <vt:lpstr>'SJB-2'!Print_Titles</vt:lpstr>
      <vt:lpstr>'Exhibit RMP(WRG-3)'!Print_Titles_MI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p74618</dc:creator>
  <cp:lastModifiedBy>Melissa Robyn Paschal</cp:lastModifiedBy>
  <cp:lastPrinted>2012-06-21T18:29:23Z</cp:lastPrinted>
  <dcterms:created xsi:type="dcterms:W3CDTF">2012-02-10T00:42:23Z</dcterms:created>
  <dcterms:modified xsi:type="dcterms:W3CDTF">2012-06-28T19:46:41Z</dcterms:modified>
</cp:coreProperties>
</file>