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965" yWindow="-420" windowWidth="18570" windowHeight="11685" firstSheet="2" activeTab="4"/>
  </bookViews>
  <sheets>
    <sheet name="Exhibit RMP(WRG-1)" sheetId="3" r:id="rId1"/>
    <sheet name="Resid Rate Calc (rev WRG-3)" sheetId="2" r:id="rId2"/>
    <sheet name="OCS Sch 1 bill impacts" sheetId="5" r:id="rId3"/>
    <sheet name="Sch 1 bill impacts (WRG-4) " sheetId="4" r:id="rId4"/>
    <sheet name="RateSpread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E" localSheetId="2">#REF!</definedName>
    <definedName name="\E">#REF!</definedName>
    <definedName name="__123Graph_A" localSheetId="1" hidden="1">'Resid Rate Calc (rev WRG-3)'!$E$77:$E$86</definedName>
    <definedName name="__123Graph_AGRAPH1" localSheetId="1" hidden="1">'Resid Rate Calc (rev WRG-3)'!$E$686:$E$686</definedName>
    <definedName name="__123Graph_B" localSheetId="1" hidden="1">'Resid Rate Calc (rev WRG-3)'!#REF!</definedName>
    <definedName name="__123Graph_C" localSheetId="1" hidden="1">'Resid Rate Calc (rev WRG-3)'!#REF!</definedName>
    <definedName name="__123Graph_D" localSheetId="1" hidden="1">'Resid Rate Calc (rev WRG-3)'!#REF!</definedName>
    <definedName name="__123Graph_E" localSheetId="1" hidden="1">'Resid Rate Calc (rev WRG-3)'!#REF!</definedName>
    <definedName name="__123Graph_F" localSheetId="1" hidden="1">'Resid Rate Calc (rev WRG-3)'!$I$77:$I$86</definedName>
    <definedName name="__MEN3" localSheetId="2">[1]Jan!#REF!</definedName>
    <definedName name="__MEN3">[1]Jan!#REF!</definedName>
    <definedName name="__TOP1" localSheetId="2">[1]Jan!#REF!</definedName>
    <definedName name="__TOP1">[1]Jan!#REF!</definedName>
    <definedName name="_BLOCK" localSheetId="2">#REF!</definedName>
    <definedName name="_BLOCK">#REF!</definedName>
    <definedName name="_BLOCKT" localSheetId="2">#REF!</definedName>
    <definedName name="_BLOCKT">#REF!</definedName>
    <definedName name="_COMP" localSheetId="2">#REF!</definedName>
    <definedName name="_COMP">#REF!</definedName>
    <definedName name="_COMPR" localSheetId="2">#REF!</definedName>
    <definedName name="_COMPR">#REF!</definedName>
    <definedName name="_COMPT" localSheetId="2">#REF!</definedName>
    <definedName name="_COMPT">#REF!</definedName>
    <definedName name="_Dist_Values" localSheetId="1" hidden="1">'Resid Rate Calc (rev WRG-3)'!#REF!</definedName>
    <definedName name="_Fill" localSheetId="2" hidden="1">#REF!</definedName>
    <definedName name="_Fill" localSheetId="1" hidden="1">'Resid Rate Calc (rev WRG-3)'!#REF!</definedName>
    <definedName name="_Fill" hidden="1">#REF!</definedName>
    <definedName name="_xlnm._FilterDatabase" localSheetId="1" hidden="1">'Resid Rate Calc (rev WRG-3)'!$M$1:$M$811</definedName>
    <definedName name="_Key1" localSheetId="0" hidden="1">#REF!</definedName>
    <definedName name="_Key1" localSheetId="2" hidden="1">#REF!</definedName>
    <definedName name="_Key1" localSheetId="4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4" hidden="1">#REF!</definedName>
    <definedName name="_Key2" localSheetId="1" hidden="1">#REF!</definedName>
    <definedName name="_Key2" hidden="1">#REF!</definedName>
    <definedName name="_Order1" localSheetId="0" hidden="1">255</definedName>
    <definedName name="_Order1" localSheetId="4" hidden="1">255</definedName>
    <definedName name="_Order1" hidden="1">255</definedName>
    <definedName name="_Order2" localSheetId="0" hidden="1">255</definedName>
    <definedName name="_Order2" localSheetId="4" hidden="1">255</definedName>
    <definedName name="_Order2" hidden="1">255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2" hidden="1">#REF!</definedName>
    <definedName name="_Sort" localSheetId="4" hidden="1">#REF!</definedName>
    <definedName name="_Sort" localSheetId="1" hidden="1">#REF!</definedName>
    <definedName name="_Sort" hidden="1">#REF!</definedName>
    <definedName name="_SPL" localSheetId="2">#REF!</definedName>
    <definedName name="_SPL">#REF!</definedName>
    <definedName name="a" localSheetId="2" hidden="1">#REF!</definedName>
    <definedName name="a" hidden="1">#REF!</definedName>
    <definedName name="ABSTRACT" localSheetId="2">#REF!</definedName>
    <definedName name="ABSTRACT">#REF!</definedName>
    <definedName name="Acct108D_S">'[2]Func Study'!$H$2448</definedName>
    <definedName name="Acct108D00S">'[2]Func Study'!$H$2440</definedName>
    <definedName name="Acct108DSS">'[2]Func Study'!$H$2444</definedName>
    <definedName name="Acct151SE" localSheetId="2">'[2]Func Study'!#REF!</definedName>
    <definedName name="Acct151SE">'[2]Func Study'!#REF!</definedName>
    <definedName name="Acct228.42TROJD">[3]FuncStudy!$F$1867</definedName>
    <definedName name="ACCT2281">'[2]Func Study'!$H$2216</definedName>
    <definedName name="Acct2282">'[2]Func Study'!$H$2220</definedName>
    <definedName name="Acct2283">'[2]Func Study'!$H$2224</definedName>
    <definedName name="Acct2283S">'[2]Func Study'!$H$2228</definedName>
    <definedName name="Acct22842">'[2]Func Study'!$H$2237</definedName>
    <definedName name="Acct228SO">'[2]Func Study'!$H$2219</definedName>
    <definedName name="ACCT25398">'[2]Func Study'!$H$2249</definedName>
    <definedName name="Acct25399">'[2]Func Study'!$H$2256</definedName>
    <definedName name="Acct254">'[2]Func Study'!$H$2233</definedName>
    <definedName name="Acct282DITBAL">[3]FuncStudy!$F$1912</definedName>
    <definedName name="Acct350">'[2]Func Study'!$H$1660</definedName>
    <definedName name="Acct352">'[2]Func Study'!$H$1667</definedName>
    <definedName name="Acct353">'[2]Func Study'!$H$1673</definedName>
    <definedName name="Acct354">'[2]Func Study'!$H$1679</definedName>
    <definedName name="Acct355">'[2]Func Study'!$H$1685</definedName>
    <definedName name="Acct356">'[2]Func Study'!$H$1691</definedName>
    <definedName name="Acct357">'[2]Func Study'!$H$1697</definedName>
    <definedName name="Acct358">'[2]Func Study'!$H$1703</definedName>
    <definedName name="Acct359">'[2]Func Study'!$H$1709</definedName>
    <definedName name="Acct360">'[2]Func Study'!$H$1729</definedName>
    <definedName name="Acct361">'[2]Func Study'!$H$1735</definedName>
    <definedName name="Acct362">'[2]Func Study'!$H$1741</definedName>
    <definedName name="Acct364">'[2]Func Study'!$H$1748</definedName>
    <definedName name="Acct365">'[2]Func Study'!$H$1755</definedName>
    <definedName name="Acct366">'[2]Func Study'!$H$1762</definedName>
    <definedName name="Acct367">'[2]Func Study'!$H$1769</definedName>
    <definedName name="Acct368">'[2]Func Study'!$H$1775</definedName>
    <definedName name="Acct369">'[2]Func Study'!$H$1782</definedName>
    <definedName name="Acct370">'[2]Func Study'!$H$1793</definedName>
    <definedName name="Acct371">'[2]Func Study'!$H$1800</definedName>
    <definedName name="Acct372">'[2]Func Study'!$H$1807</definedName>
    <definedName name="Acct372A">'[2]Func Study'!$H$1806</definedName>
    <definedName name="Acct372DP">'[2]Func Study'!$H$1804</definedName>
    <definedName name="Acct372DS">'[2]Func Study'!$H$1805</definedName>
    <definedName name="Acct373">'[2]Func Study'!$H$1813</definedName>
    <definedName name="Acct403HPSG" localSheetId="2">'[2]Func Study'!#REF!</definedName>
    <definedName name="Acct403HPSG">'[2]Func Study'!#REF!</definedName>
    <definedName name="Acct444S">'[2]Func Study'!$H$264</definedName>
    <definedName name="Acct448S">'[2]Func Study'!$H$273</definedName>
    <definedName name="Acct450S">'[2]Func Study'!$H$297</definedName>
    <definedName name="Acct451S">'[2]Func Study'!$H$302</definedName>
    <definedName name="Acct454S">'[2]Func Study'!$H$312</definedName>
    <definedName name="Acct456S">'[2]Func Study'!$H$318</definedName>
    <definedName name="Acct502DNPPSU" localSheetId="2">'[2]Func Study'!#REF!</definedName>
    <definedName name="Acct502DNPPSU">'[2]Func Study'!#REF!</definedName>
    <definedName name="Acct580">'[2]Func Study'!$H$748</definedName>
    <definedName name="Acct581">'[2]Func Study'!$H$753</definedName>
    <definedName name="Acct582">'[2]Func Study'!$H$758</definedName>
    <definedName name="Acct583">'[2]Func Study'!$H$763</definedName>
    <definedName name="Acct584">'[2]Func Study'!$H$768</definedName>
    <definedName name="Acct585">'[2]Func Study'!$H$773</definedName>
    <definedName name="Acct586">'[2]Func Study'!$H$778</definedName>
    <definedName name="Acct587">'[2]Func Study'!$H$783</definedName>
    <definedName name="Acct588">'[2]Func Study'!$H$788</definedName>
    <definedName name="Acct589">'[2]Func Study'!$H$793</definedName>
    <definedName name="Acct590">'[2]Func Study'!$H$798</definedName>
    <definedName name="Acct591">'[2]Func Study'!$H$803</definedName>
    <definedName name="Acct592">'[2]Func Study'!$H$808</definedName>
    <definedName name="Acct593">'[2]Func Study'!$H$813</definedName>
    <definedName name="Acct594">'[2]Func Study'!$H$818</definedName>
    <definedName name="Acct595">'[2]Func Study'!$H$823</definedName>
    <definedName name="Acct596">'[2]Func Study'!$H$833</definedName>
    <definedName name="Acct597">'[2]Func Study'!$H$838</definedName>
    <definedName name="Acct598">'[2]Func Study'!$H$843</definedName>
    <definedName name="Acct928RE">'[2]Func Study'!$H$983</definedName>
    <definedName name="AcctAGA">'[2]Func Study'!$H$291</definedName>
    <definedName name="AcctFIT">'[2]Func Study'!$H$1422</definedName>
    <definedName name="AcctTable">[4]Variables!$AK$42:$AK$396</definedName>
    <definedName name="AcctTS0">'[2]Func Study'!$H$1717</definedName>
    <definedName name="ActualROE">[3]FuncStudy!$E$61</definedName>
    <definedName name="ActualROR">'[5]G+T+D+R+M'!$H$61</definedName>
    <definedName name="ACYear">[6]Variables!$C$13</definedName>
    <definedName name="Adjs2avg">[7]Inputs!$L$255:'[7]Inputs'!$T$505</definedName>
    <definedName name="AvgFactors">[4]Factors!$B$3:$P$99</definedName>
    <definedName name="AVOIDED_COSTS">'[8]Avoided Costs'!$A$3:$G$38</definedName>
    <definedName name="AvoidedCosts">'[6]Avoided Costs'!$A$3:$G$35</definedName>
    <definedName name="Capacity" localSheetId="2">#REF!</definedName>
    <definedName name="Capacity">#REF!</definedName>
    <definedName name="Check" localSheetId="2">#REF!</definedName>
    <definedName name="Check">#REF!</definedName>
    <definedName name="Classification">'[2]Func Study'!$AB$251</definedName>
    <definedName name="Comn">[5]Inputs!$K$21</definedName>
    <definedName name="COSFacVal">[2]Inputs!$W$11</definedName>
    <definedName name="Cust_Exp_Acct_903" localSheetId="2">#REF!</definedName>
    <definedName name="Cust_Exp_Acct_903">#REF!</definedName>
    <definedName name="_xlnm.Database" localSheetId="2">[9]Invoice!#REF!</definedName>
    <definedName name="_xlnm.Database" localSheetId="3">[9]Invoice!#REF!</definedName>
    <definedName name="_xlnm.Database">[9]Invoice!#REF!</definedName>
    <definedName name="Debt_">[5]Inputs!$K$19</definedName>
    <definedName name="Demand">[10]Inputs!$D$8</definedName>
    <definedName name="Demand2">[2]Inputs!$D$10</definedName>
    <definedName name="Dis">'[2]Func Study'!$AB$250</definedName>
    <definedName name="DisFac">'[2]Func Dist Factor Table'!$A$11:$G$25</definedName>
    <definedName name="DistSub_Year1">[6]Variables!$C$23</definedName>
    <definedName name="DistSub_Year2">[6]Variables!$D$23</definedName>
    <definedName name="DISTSUB_YR1">[8]Variables!$C$23</definedName>
    <definedName name="DISTSUB_YR2">[8]Variables!$D$23</definedName>
    <definedName name="Engy">[10]Inputs!$D$9</definedName>
    <definedName name="EscalationRegion">[6]Variables!$C$12</definedName>
    <definedName name="f101top" localSheetId="2">#REF!</definedName>
    <definedName name="f101top">#REF!</definedName>
    <definedName name="f104top" localSheetId="2">#REF!</definedName>
    <definedName name="f104top">#REF!</definedName>
    <definedName name="f138top" localSheetId="2">#REF!</definedName>
    <definedName name="f138top">#REF!</definedName>
    <definedName name="f140top" localSheetId="2">#REF!</definedName>
    <definedName name="f140top">#REF!</definedName>
    <definedName name="Factorck">'[2]COS Factor Table'!$S$15:$S$145</definedName>
    <definedName name="Factors3" localSheetId="2">#REF!</definedName>
    <definedName name="Factors3">#REF!</definedName>
    <definedName name="FactorType">[4]Variables!$AK$2:$AL$12</definedName>
    <definedName name="FACTP" localSheetId="2">#REF!</definedName>
    <definedName name="FACTP">#REF!</definedName>
    <definedName name="FactSum">'[2]COS Factor Table'!$A$14:$S$146</definedName>
    <definedName name="FIX" localSheetId="2">#REF!</definedName>
    <definedName name="FIX">#REF!</definedName>
    <definedName name="FranchiseTax">[7]Variables!$D$26</definedName>
    <definedName name="Func">'[2]Func Factor Table'!$A$10:$H$78</definedName>
    <definedName name="Function">'[2]Func Study'!$AB$250</definedName>
    <definedName name="IncomeTaxOptVal">[5]Inputs!$Y$11</definedName>
    <definedName name="Instructions" localSheetId="2">#REF!</definedName>
    <definedName name="Instructions">#REF!</definedName>
    <definedName name="IRRIGATION" localSheetId="2">#REF!</definedName>
    <definedName name="IRRIGATION">#REF!</definedName>
    <definedName name="Jurisdiction">[4]Variables!$AK$15</definedName>
    <definedName name="JurisNumber">[4]Variables!$AL$15</definedName>
    <definedName name="LIGHT_YR1">[8]Variables!$C$24</definedName>
    <definedName name="LIGHT_YR2">[8]Variables!$D$24</definedName>
    <definedName name="limcount" hidden="1">1</definedName>
    <definedName name="LinkCos">'[2]JAM Download'!$I$4</definedName>
    <definedName name="MACTIT" localSheetId="2">#REF!</definedName>
    <definedName name="MACTIT">#REF!</definedName>
    <definedName name="Menu_Begin" localSheetId="2">#REF!</definedName>
    <definedName name="Menu_Begin">#REF!</definedName>
    <definedName name="Menu_Caption" localSheetId="2">#REF!</definedName>
    <definedName name="Menu_Caption">#REF!</definedName>
    <definedName name="Menu_Large" localSheetId="2">#REF!</definedName>
    <definedName name="Menu_Large">#REF!</definedName>
    <definedName name="Menu_Name" localSheetId="2">#REF!</definedName>
    <definedName name="Menu_Name">#REF!</definedName>
    <definedName name="Menu_OnAction" localSheetId="2">#REF!</definedName>
    <definedName name="Menu_OnAction">#REF!</definedName>
    <definedName name="Menu_Parent" localSheetId="2">#REF!</definedName>
    <definedName name="Menu_Parent">#REF!</definedName>
    <definedName name="Menu_Small" localSheetId="2">#REF!</definedName>
    <definedName name="Menu_Small">#REF!</definedName>
    <definedName name="Meter_Year1">[6]Variables!$C$19</definedName>
    <definedName name="Meter_Year2">[6]Variables!$D$19</definedName>
    <definedName name="Method">[10]Inputs!$C$6</definedName>
    <definedName name="MTR_YR1">[8]Variables!$C$19</definedName>
    <definedName name="MTR_YR2">[8]Variables!$D$19</definedName>
    <definedName name="MTR_YR3">[11]Variables!$E$14</definedName>
    <definedName name="NetToGross">[7]Variables!$D$23</definedName>
    <definedName name="NUM" localSheetId="2">#REF!</definedName>
    <definedName name="NUM">#REF!</definedName>
    <definedName name="OH">[2]Inputs!$D$24</definedName>
    <definedName name="OperatingIncome" localSheetId="2">#REF!</definedName>
    <definedName name="OperatingIncome">#REF!</definedName>
    <definedName name="option">'[12]Dist Misc'!$F$120</definedName>
    <definedName name="P" localSheetId="2">#REF!</definedName>
    <definedName name="P">#REF!</definedName>
    <definedName name="Page160" localSheetId="2">#REF!</definedName>
    <definedName name="Page160">#REF!</definedName>
    <definedName name="Page161" localSheetId="2">#REF!</definedName>
    <definedName name="Page161">#REF!</definedName>
    <definedName name="Page162" localSheetId="2">#REF!</definedName>
    <definedName name="Page162">#REF!</definedName>
    <definedName name="Page163" localSheetId="2">#REF!</definedName>
    <definedName name="Page163">#REF!</definedName>
    <definedName name="Page164" localSheetId="2">#REF!</definedName>
    <definedName name="Page164">#REF!</definedName>
    <definedName name="Page165" localSheetId="2">#REF!</definedName>
    <definedName name="Page165">#REF!</definedName>
    <definedName name="Page166" localSheetId="2">#REF!</definedName>
    <definedName name="Page166">#REF!</definedName>
    <definedName name="Page167" localSheetId="2">#REF!</definedName>
    <definedName name="Page167">#REF!</definedName>
    <definedName name="Page168" localSheetId="2">#REF!</definedName>
    <definedName name="Page168">#REF!</definedName>
    <definedName name="Page169" localSheetId="2">#REF!</definedName>
    <definedName name="Page169">#REF!</definedName>
    <definedName name="Page170" localSheetId="2">#REF!</definedName>
    <definedName name="Page170">#REF!</definedName>
    <definedName name="Page171" localSheetId="2">#REF!</definedName>
    <definedName name="Page171">#REF!</definedName>
    <definedName name="Page172" localSheetId="2">#REF!</definedName>
    <definedName name="Page172">#REF!</definedName>
    <definedName name="Page173" localSheetId="2">#REF!</definedName>
    <definedName name="Page173">#REF!</definedName>
    <definedName name="Page174" localSheetId="2">#REF!</definedName>
    <definedName name="Page174">#REF!</definedName>
    <definedName name="Page175" localSheetId="2">#REF!</definedName>
    <definedName name="Page175">#REF!</definedName>
    <definedName name="Page176" localSheetId="2">#REF!</definedName>
    <definedName name="Page176">#REF!</definedName>
    <definedName name="Page177" localSheetId="2">#REF!</definedName>
    <definedName name="Page177">#REF!</definedName>
    <definedName name="Page178" localSheetId="2">#REF!</definedName>
    <definedName name="Page178">#REF!</definedName>
    <definedName name="page63" localSheetId="2">'[3]Energy Factor'!#REF!</definedName>
    <definedName name="page63">'[3]Energy Factor'!#REF!</definedName>
    <definedName name="page64" localSheetId="2">'[3]Energy Factor'!#REF!</definedName>
    <definedName name="page64">'[3]Energy Factor'!#REF!</definedName>
    <definedName name="Page7" localSheetId="2">#REF!</definedName>
    <definedName name="Page7">#REF!</definedName>
    <definedName name="page8" localSheetId="2">#REF!</definedName>
    <definedName name="page8">#REF!</definedName>
    <definedName name="PC_Year1">[6]Variables!$C$21</definedName>
    <definedName name="PC_Year2">[6]Variables!$D$21</definedName>
    <definedName name="PC_YR1">[8]Variables!$C$21</definedName>
    <definedName name="PC_YR2">[8]Variables!$D$21</definedName>
    <definedName name="PeakMethod">[10]Inputs!$T$5</definedName>
    <definedName name="PLUG" localSheetId="2">#REF!</definedName>
    <definedName name="PLUG">#REF!</definedName>
    <definedName name="Pref_">[5]Inputs!$K$20</definedName>
    <definedName name="_xlnm.Print_Area" localSheetId="0">'Exhibit RMP(WRG-1)'!$A$1:$S$52</definedName>
    <definedName name="_xlnm.Print_Area" localSheetId="2">'OCS Sch 1 bill impacts'!$A$1:$W$35</definedName>
    <definedName name="_xlnm.Print_Area" localSheetId="4">RateSpread!$A$1:$S$65</definedName>
    <definedName name="_xlnm.Print_Area" localSheetId="1">'Resid Rate Calc (rev WRG-3)'!$B$1:$Q$811</definedName>
    <definedName name="_xlnm.Print_Area" localSheetId="3">'Sch 1 bill impacts (WRG-4) '!$A$1:$W$35</definedName>
    <definedName name="_xlnm.Print_Area">#REF!</definedName>
    <definedName name="_xlnm.Print_Titles" localSheetId="0">'Exhibit RMP(WRG-1)'!$A:$K,'Exhibit RMP(WRG-1)'!$8:$13</definedName>
    <definedName name="_xlnm.Print_Titles" localSheetId="4">RateSpread!$A:$K,RateSpread!$9:$13</definedName>
    <definedName name="_xlnm.Print_Titles" localSheetId="1">'Resid Rate Calc (rev WRG-3)'!$1:$17</definedName>
    <definedName name="Print_Titles_MI" localSheetId="1">'Resid Rate Calc (rev WRG-3)'!$1:$17</definedName>
    <definedName name="ResourceSupplier">[7]Variables!$D$28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venue1">'[8]PPL_905_Pg1 (RR by Class)'!$C$37</definedName>
    <definedName name="Service_Year1">[6]Variables!$C$18</definedName>
    <definedName name="Service_Year2">[6]Variables!$D$18</definedName>
    <definedName name="solver_adj" localSheetId="1" hidden="1">'Resid Rate Calc (rev WRG-3)'!#REF!</definedName>
    <definedName name="solver_cvg" localSheetId="1" hidden="1">0.001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'Resid Rate Calc (rev WRG-3)'!#REF!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RV_YR1">[8]Variables!$C$18</definedName>
    <definedName name="SRV_YR2">[8]Variables!$D$18</definedName>
    <definedName name="Start" localSheetId="2">'[6]Circuit Model Intro'!#REF!</definedName>
    <definedName name="Start">'[6]Circuit Model Intro'!#REF!</definedName>
    <definedName name="State">[6]Variables!$C$10</definedName>
    <definedName name="Streetlight_Year1">[6]Variables!$C$24</definedName>
    <definedName name="Streetlight_Year2">[6]Variables!$D$24</definedName>
    <definedName name="TargetROR">[5]Inputs!$L$9</definedName>
    <definedName name="Test_COS">'[2]Hot Sheet'!$F$120</definedName>
    <definedName name="TestPeriod">[2]Inputs!$C$6</definedName>
    <definedName name="TESTYEAR">[8]Variables!$C$11</definedName>
    <definedName name="TotalRateBase">'[3]G+T+D+R+M'!$H$58</definedName>
    <definedName name="TotTaxRate">[3]Inputs!$H$17</definedName>
    <definedName name="Trans_Year1">[6]Variables!$C$22</definedName>
    <definedName name="Trans_Year2">[6]Variables!$D$22</definedName>
    <definedName name="TRANS_YR1">[8]Variables!$C$22</definedName>
    <definedName name="TRANS_YR2">[8]Variables!$D$22</definedName>
    <definedName name="UAACT550SGW">[3]FuncStudy!$Y$405</definedName>
    <definedName name="UAACT554SGW">[3]FuncStudy!$Y$427</definedName>
    <definedName name="UAcct103">'[2]Func Study'!$AB$1645</definedName>
    <definedName name="UAcct105S">'[2]Func Study'!$AB$2033</definedName>
    <definedName name="UAcct105SEU">'[2]Func Study'!$AB$2037</definedName>
    <definedName name="UAcct105SGG">'[2]Func Study'!$AB$2038</definedName>
    <definedName name="UAcct105SGP1">'[2]Func Study'!$AB$2034</definedName>
    <definedName name="UAcct105SGP2">'[2]Func Study'!$AB$2036</definedName>
    <definedName name="UAcct105SGT">'[2]Func Study'!$AB$2035</definedName>
    <definedName name="UAcct1081390">'[2]Func Study'!$AB$2487</definedName>
    <definedName name="UAcct1081390Rcl">'[2]Func Study'!$AB$2486</definedName>
    <definedName name="UAcct1081399">'[2]Func Study'!$AB$2495</definedName>
    <definedName name="UAcct1081399Rcl">'[2]Func Study'!$AB$2494</definedName>
    <definedName name="UAcct108360">'[2]Func Study'!$AB$2389</definedName>
    <definedName name="UAcct108361">'[2]Func Study'!$AB$2393</definedName>
    <definedName name="UAcct108362">'[2]Func Study'!$AB$2397</definedName>
    <definedName name="UAcct108364">'[2]Func Study'!$AB$2401</definedName>
    <definedName name="UAcct108365">'[2]Func Study'!$AB$2405</definedName>
    <definedName name="UAcct108366">'[2]Func Study'!$AB$2409</definedName>
    <definedName name="UAcct108367">'[2]Func Study'!$AB$2413</definedName>
    <definedName name="UAcct108368">'[2]Func Study'!$AB$2417</definedName>
    <definedName name="UAcct108369">'[2]Func Study'!$AB$2421</definedName>
    <definedName name="UAcct108370">'[2]Func Study'!$AB$2425</definedName>
    <definedName name="UAcct108371">'[2]Func Study'!$AB$2429</definedName>
    <definedName name="UAcct108372">'[2]Func Study'!$AB$2433</definedName>
    <definedName name="UAcct108373">'[2]Func Study'!$AB$2437</definedName>
    <definedName name="UAcct108D">'[2]Func Study'!$AB$2449</definedName>
    <definedName name="UAcct108D00">'[2]Func Study'!$AB$2441</definedName>
    <definedName name="UAcct108Ds">'[2]Func Study'!$AB$2445</definedName>
    <definedName name="UAcct108Ep">'[2]Func Study'!$AB$2362</definedName>
    <definedName name="UAcct108Gpcn">'[2]Func Study'!$AB$2463</definedName>
    <definedName name="uacct108gpdeu">'[2]Func Study'!$AB$2466</definedName>
    <definedName name="UAcct108Gps">'[2]Func Study'!$AB$2459</definedName>
    <definedName name="UAcct108Gpse">'[2]Func Study'!$AB$2465</definedName>
    <definedName name="UAcct108Gpsg">'[2]Func Study'!$AB$2462</definedName>
    <definedName name="UAcct108Gpsgp">'[2]Func Study'!$AB$2460</definedName>
    <definedName name="UAcct108Gpsgu">'[2]Func Study'!$AB$2461</definedName>
    <definedName name="UAcct108Gpso">'[2]Func Study'!$AB$2464</definedName>
    <definedName name="UACCT108GPSSGCH">'[2]Func Study'!$AB$2468</definedName>
    <definedName name="UACCT108GPSSGCT">'[2]Func Study'!$AB$2467</definedName>
    <definedName name="UAcct108Hp">'[2]Func Study'!$AB$2349</definedName>
    <definedName name="UAcct108Mp">'[2]Func Study'!$AB$2480</definedName>
    <definedName name="UAcct108Np">'[2]Func Study'!$AB$2342</definedName>
    <definedName name="UAcct108Op">'[2]Func Study'!$AB$2357</definedName>
    <definedName name="UAcct108Opsgw">[3]FuncStudy!$Y$1980</definedName>
    <definedName name="UAcct108OPSSGCT">'[2]Func Study'!$AB$2356</definedName>
    <definedName name="UAcct108Sp">'[2]Func Study'!$AB$2336</definedName>
    <definedName name="uacct108spssgch">'[2]Func Study'!$AB$2335</definedName>
    <definedName name="UAcct108Tp">'[2]Func Study'!$AB$2380</definedName>
    <definedName name="UAcct111390">'[2]Func Study'!$AB$2554</definedName>
    <definedName name="UAcct111Clg">'[2]Func Study'!$AB$2523</definedName>
    <definedName name="UAcct111Clgcn">'[2]Func Study'!$AB$2519</definedName>
    <definedName name="UAcct111Clgsop">'[2]Func Study'!$AB$2522</definedName>
    <definedName name="UAcct111Clgsou">'[2]Func Study'!$AB$2521</definedName>
    <definedName name="UAcct111Clh">'[2]Func Study'!$AB$2529</definedName>
    <definedName name="UAcct111Cls">'[2]Func Study'!$AB$2514</definedName>
    <definedName name="UAcct111Ipcn">'[2]Func Study'!$AB$2538</definedName>
    <definedName name="UAcct111Ips">'[2]Func Study'!$AB$2533</definedName>
    <definedName name="UAcct111Ipse">'[2]Func Study'!$AB$2536</definedName>
    <definedName name="UAcct111Ipsg">'[2]Func Study'!$AB$2537</definedName>
    <definedName name="UAcct111Ipsgp">'[2]Func Study'!$AB$2534</definedName>
    <definedName name="UAcct111Ipsgu">'[2]Func Study'!$AB$2535</definedName>
    <definedName name="uacct111ipso">'[2]Func Study'!$AB$2541</definedName>
    <definedName name="UACCT111IPSSGCH">'[2]Func Study'!$AB$2540</definedName>
    <definedName name="UACCT111IPSSGCT">'[2]Func Study'!$AB$2539</definedName>
    <definedName name="UAcct114">'[2]Func Study'!$AB$2045</definedName>
    <definedName name="UAcct120">'[2]Func Study'!$AB$2049</definedName>
    <definedName name="UAcct124">'[2]Func Study'!$AB$2054</definedName>
    <definedName name="UAcct141">'[2]Func Study'!$AB$2199</definedName>
    <definedName name="UAcct151">'[2]Func Study'!$AB$2076</definedName>
    <definedName name="UAcct151Se" localSheetId="2">'[2]Func Study'!#REF!</definedName>
    <definedName name="UAcct151Se">'[2]Func Study'!#REF!</definedName>
    <definedName name="uacct151ssech">'[2]Func Study'!$AB$2075</definedName>
    <definedName name="UAcct154">'[2]Func Study'!$AB$2110</definedName>
    <definedName name="uacct154ssgch">'[2]Func Study'!$AB$2109</definedName>
    <definedName name="UAcct163">'[2]Func Study'!$AB$2120</definedName>
    <definedName name="UAcct165">'[2]Func Study'!$AB$2135</definedName>
    <definedName name="UAcct165Se">'[2]Func Study'!$AB$2133</definedName>
    <definedName name="UAcct182">'[2]Func Study'!$AB$2061</definedName>
    <definedName name="UAcct18222">'[2]Func Study'!$AB$2189</definedName>
    <definedName name="UAcct182M">'[2]Func Study'!$AB$2145</definedName>
    <definedName name="UAcct182MSSGCT">[3]FuncStudy!$Y$1778</definedName>
    <definedName name="uacct182ssgch">'[2]Func Study'!$AB$2142</definedName>
    <definedName name="UAcct186">'[2]Func Study'!$AB$2069</definedName>
    <definedName name="UAcct1869">'[2]Func Study'!$AB$2194</definedName>
    <definedName name="UAcct186M">'[2]Func Study'!$AB$2156</definedName>
    <definedName name="UAcct186Mse">'[2]Func Study'!$AB$2153</definedName>
    <definedName name="UAcct190">'[2]Func Study'!$AB$2271</definedName>
    <definedName name="UAcct190CN">'[2]Func Study'!$AB$2260</definedName>
    <definedName name="UAcct190Dop">'[2]Func Study'!$AB$2261</definedName>
    <definedName name="UACCT190IBT">'[2]Func Study'!$AB$2263</definedName>
    <definedName name="UACCT190SSGCT">'[2]Func Study'!$AB$2270</definedName>
    <definedName name="UACCT2281">'[2]Func Study'!$AB$2216</definedName>
    <definedName name="UAcct2282">'[2]Func Study'!$AB$2220</definedName>
    <definedName name="UAcct2283">'[2]Func Study'!$AB$2224</definedName>
    <definedName name="UAcct2283S">'[2]Func Study'!$AB$2228</definedName>
    <definedName name="UAcct22842">'[2]Func Study'!$AB$2237</definedName>
    <definedName name="UAcct235">'[2]Func Study'!$AB$2212</definedName>
    <definedName name="UAcct252">'[2]Func Study'!$AB$2245</definedName>
    <definedName name="UAcct25316">'[2]Func Study'!$AB$2084</definedName>
    <definedName name="UAcct25317">'[2]Func Study'!$AB$2088</definedName>
    <definedName name="UAcct25318">'[2]Func Study'!$AB$2125</definedName>
    <definedName name="UAcct25319">'[2]Func Study'!$AB$2092</definedName>
    <definedName name="UACCT25398">'[2]Func Study'!$AB$2249</definedName>
    <definedName name="UAcct25399">'[2]Func Study'!$AB$2256</definedName>
    <definedName name="UAcct254">'[2]Func Study'!$AB$2233</definedName>
    <definedName name="UACCT254SO">'[2]Func Study'!$AB$2232</definedName>
    <definedName name="UAcct255">'[2]Func Study'!$AB$2321</definedName>
    <definedName name="UAcct281">'[2]Func Study'!$AB$2277</definedName>
    <definedName name="UAcct282">'[2]Func Study'!$AB$2295</definedName>
    <definedName name="UAcct282So">'[2]Func Study'!$AB$2283</definedName>
    <definedName name="UAcct283">'[2]Func Study'!$AB$2308</definedName>
    <definedName name="UAcct283So">'[2]Func Study'!$AB$2301</definedName>
    <definedName name="UACCT283SSGCH">'[2]Func Study'!$AB$2307</definedName>
    <definedName name="UAcct301S">'[2]Func Study'!$AB$1993</definedName>
    <definedName name="UAcct301Sg">'[2]Func Study'!$AB$1995</definedName>
    <definedName name="UAcct301So">'[2]Func Study'!$AB$1994</definedName>
    <definedName name="UAcct302S">'[2]Func Study'!$AB$1998</definedName>
    <definedName name="UAcct302Sg">'[2]Func Study'!$AB$1999</definedName>
    <definedName name="UAcct302Sgp">'[2]Func Study'!$AB$2000</definedName>
    <definedName name="UAcct302Sgu">'[2]Func Study'!$AB$2001</definedName>
    <definedName name="UAcct303Cn">'[2]Func Study'!$AB$2009</definedName>
    <definedName name="UAcct303S">'[2]Func Study'!$AB$2005</definedName>
    <definedName name="UAcct303Se">'[2]Func Study'!$AB$2008</definedName>
    <definedName name="UAcct303Sg">'[2]Func Study'!$AB$2006</definedName>
    <definedName name="UAcct303So">'[2]Func Study'!$AB$2007</definedName>
    <definedName name="UACCT303SSGCT">'[2]Func Study'!$AB$2011</definedName>
    <definedName name="UAcct310">'[2]Func Study'!$AB$1441</definedName>
    <definedName name="uacct310ssgch">'[2]Func Study'!$AB$1440</definedName>
    <definedName name="UAcct311">'[2]Func Study'!$AB$1448</definedName>
    <definedName name="uacct311ssgch">'[2]Func Study'!$AB$1447</definedName>
    <definedName name="UAcct312">'[2]Func Study'!$AB$1455</definedName>
    <definedName name="uacct312ssgch">'[2]Func Study'!$AB$1454</definedName>
    <definedName name="UAcct314">'[2]Func Study'!$AB$1462</definedName>
    <definedName name="uacct314ssgch">'[2]Func Study'!$AB$1461</definedName>
    <definedName name="UAcct315">'[2]Func Study'!$AB$1469</definedName>
    <definedName name="uacct315ssgch">'[2]Func Study'!$AB$1468</definedName>
    <definedName name="UAcct316">'[2]Func Study'!$AB$1476</definedName>
    <definedName name="uacct316ssgch">'[2]Func Study'!$AB$1475</definedName>
    <definedName name="UAcct320">'[2]Func Study'!$AB$1492</definedName>
    <definedName name="UAcct321">'[2]Func Study'!$AB$1497</definedName>
    <definedName name="UAcct322">'[2]Func Study'!$AB$1502</definedName>
    <definedName name="UAcct323">'[2]Func Study'!$AB$1507</definedName>
    <definedName name="UAcct324">'[2]Func Study'!$AB$1512</definedName>
    <definedName name="UAcct325">'[2]Func Study'!$AB$1517</definedName>
    <definedName name="UAcct33">'[2]Func Study'!$AB$290</definedName>
    <definedName name="UAcct330">'[2]Func Study'!$AB$1535</definedName>
    <definedName name="UAcct331">'[2]Func Study'!$AB$1541</definedName>
    <definedName name="UAcct332">'[2]Func Study'!$AB$1547</definedName>
    <definedName name="UAcct333">'[2]Func Study'!$AB$1553</definedName>
    <definedName name="UAcct334">'[2]Func Study'!$AB$1559</definedName>
    <definedName name="UAcct335">'[2]Func Study'!$AB$1565</definedName>
    <definedName name="UAcct336">'[2]Func Study'!$AB$1571</definedName>
    <definedName name="UAcct340">'[2]Func Study'!$AB$1600</definedName>
    <definedName name="UAcct340Sgw">[3]FuncStudy!$Y$1264</definedName>
    <definedName name="UAcct341">'[2]Func Study'!$AB$1605</definedName>
    <definedName name="UACCT341SGW">[3]FuncStudy!$Y$1270</definedName>
    <definedName name="uacct341ssgct">'[2]Func Study'!$AB$1604</definedName>
    <definedName name="UAcct342">'[2]Func Study'!$AB$1610</definedName>
    <definedName name="uacct342ssgct">'[2]Func Study'!$AB$1609</definedName>
    <definedName name="UAcct343">'[2]Func Study'!$AB$1617</definedName>
    <definedName name="UAcct343Sgw">[3]FuncStudy!$Y$1282</definedName>
    <definedName name="uacct343sscct">'[2]Func Study'!$AB$1616</definedName>
    <definedName name="UAcct344">'[2]Func Study'!$AB$1623</definedName>
    <definedName name="UACCT344SGW">[3]FuncStudy!$Y$1289</definedName>
    <definedName name="uacct344ssgct">'[2]Func Study'!$AB$1622</definedName>
    <definedName name="UAcct345">'[2]Func Study'!$AB$1628</definedName>
    <definedName name="UACCT345SGW">[3]FuncStudy!$Y$1295</definedName>
    <definedName name="uacct345ssgct">'[2]Func Study'!$AB$1627</definedName>
    <definedName name="UAcct346">'[2]Func Study'!$AB$1633</definedName>
    <definedName name="UAcct346SGW">[3]FuncStudy!$Y$1301</definedName>
    <definedName name="UAcct350">'[2]Func Study'!$AB$1660</definedName>
    <definedName name="UAcct352">'[2]Func Study'!$AB$1667</definedName>
    <definedName name="UAcct353">'[2]Func Study'!$AB$1673</definedName>
    <definedName name="UAcct354">'[2]Func Study'!$AB$1679</definedName>
    <definedName name="UAcct355">'[2]Func Study'!$AB$1685</definedName>
    <definedName name="UAcct356">'[2]Func Study'!$AB$1691</definedName>
    <definedName name="UAcct357">'[2]Func Study'!$AB$1697</definedName>
    <definedName name="UAcct358">'[2]Func Study'!$AB$1703</definedName>
    <definedName name="UAcct359">'[2]Func Study'!$AB$1709</definedName>
    <definedName name="UAcct360">'[2]Func Study'!$AB$1729</definedName>
    <definedName name="UAcct361">'[2]Func Study'!$AB$1735</definedName>
    <definedName name="UAcct362">'[2]Func Study'!$AB$1741</definedName>
    <definedName name="UAcct368">'[2]Func Study'!$AB$1775</definedName>
    <definedName name="UAcct369">'[2]Func Study'!$AB$1782</definedName>
    <definedName name="UAcct370">'[2]Func Study'!$AB$1793</definedName>
    <definedName name="UAcct372A">'[2]Func Study'!$AB$1806</definedName>
    <definedName name="UAcct372Dp">'[2]Func Study'!$AB$1804</definedName>
    <definedName name="UAcct372Ds">'[2]Func Study'!$AB$1805</definedName>
    <definedName name="UAcct373">'[2]Func Study'!$AB$1813</definedName>
    <definedName name="UAcct389Cn">'[2]Func Study'!$AB$1831</definedName>
    <definedName name="UAcct389S">'[2]Func Study'!$AB$1830</definedName>
    <definedName name="UAcct389Sg">'[2]Func Study'!$AB$1833</definedName>
    <definedName name="UAcct389Sgu">'[2]Func Study'!$AB$1832</definedName>
    <definedName name="UAcct389So">'[2]Func Study'!$AB$1834</definedName>
    <definedName name="UAcct390Cn">'[2]Func Study'!$AB$1841</definedName>
    <definedName name="UACCT390LS">'[2]Func Study'!$AB$1954</definedName>
    <definedName name="UAcct390LSG">'[2]Func Study'!$AB$1955</definedName>
    <definedName name="UAcct390LSO">'[2]Func Study'!$AB$1956</definedName>
    <definedName name="UAcct390S">'[2]Func Study'!$AB$1838</definedName>
    <definedName name="UAcct390Sgp">'[2]Func Study'!$AB$1839</definedName>
    <definedName name="UAcct390Sgu">'[2]Func Study'!$AB$1840</definedName>
    <definedName name="UAcct390Sop">'[2]Func Study'!$AB$1842</definedName>
    <definedName name="UAcct390Sou">'[2]Func Study'!$AB$1843</definedName>
    <definedName name="UAcct391Cn">'[2]Func Study'!$AB$1851</definedName>
    <definedName name="UAcct391S">'[2]Func Study'!$AB$1848</definedName>
    <definedName name="UAcct391Se">'[2]Func Study'!$AB$1853</definedName>
    <definedName name="UAcct391Sg">'[2]Func Study'!$AB$1852</definedName>
    <definedName name="UAcct391Sgp">'[2]Func Study'!$AB$1849</definedName>
    <definedName name="UAcct391Sgu">'[2]Func Study'!$AB$1850</definedName>
    <definedName name="UAcct391So">'[2]Func Study'!$AB$1854</definedName>
    <definedName name="uacct391ssgch">'[2]Func Study'!$AB$1855</definedName>
    <definedName name="UACCT391SSGCT">'[2]Func Study'!$AB$1856</definedName>
    <definedName name="UAcct392Cn">'[2]Func Study'!$AB$1863</definedName>
    <definedName name="UAcct392L">'[2]Func Study'!$AB$1964</definedName>
    <definedName name="UACCT392LRCL">'[2]Func Study'!$H$1967</definedName>
    <definedName name="UAcct392S">'[2]Func Study'!$AB$1860</definedName>
    <definedName name="UAcct392Se">'[2]Func Study'!$AB$1865</definedName>
    <definedName name="UAcct392Sg">'[2]Func Study'!$AB$1862</definedName>
    <definedName name="UAcct392Sgp">'[2]Func Study'!$AB$1866</definedName>
    <definedName name="UAcct392Sgu">'[2]Func Study'!$AB$1864</definedName>
    <definedName name="UAcct392So">'[2]Func Study'!$AB$1861</definedName>
    <definedName name="uacct392ssgch">'[2]Func Study'!$AB$1867</definedName>
    <definedName name="uacct392ssgct">'[2]Func Study'!$AB$1868</definedName>
    <definedName name="UAcct393S">'[2]Func Study'!$AB$1872</definedName>
    <definedName name="UAcct393Sg">'[2]Func Study'!$AB$1876</definedName>
    <definedName name="UAcct393Sgp">'[2]Func Study'!$AB$1873</definedName>
    <definedName name="UAcct393Sgu">'[2]Func Study'!$AB$1874</definedName>
    <definedName name="UAcct393So">'[2]Func Study'!$AB$1875</definedName>
    <definedName name="uacct393ssgct">'[2]Func Study'!$AB$1877</definedName>
    <definedName name="UAcct394S">'[2]Func Study'!$AB$1881</definedName>
    <definedName name="UAcct394Se">'[2]Func Study'!$AB$1885</definedName>
    <definedName name="UAcct394Sg">'[2]Func Study'!$AB$1886</definedName>
    <definedName name="UAcct394Sgp">'[2]Func Study'!$AB$1882</definedName>
    <definedName name="UAcct394Sgu">'[2]Func Study'!$AB$1883</definedName>
    <definedName name="UAcct394So">'[2]Func Study'!$AB$1884</definedName>
    <definedName name="UACCT394SSGCH">'[2]Func Study'!$AB$1887</definedName>
    <definedName name="UACCT394SSGCT">'[2]Func Study'!$AB$1888</definedName>
    <definedName name="UAcct395S">'[2]Func Study'!$AB$1892</definedName>
    <definedName name="UAcct395Se">'[2]Func Study'!$AB$1896</definedName>
    <definedName name="UAcct395Sg">'[2]Func Study'!$AB$1897</definedName>
    <definedName name="UAcct395Sgp">'[2]Func Study'!$AB$1893</definedName>
    <definedName name="UAcct395Sgu">'[2]Func Study'!$AB$1894</definedName>
    <definedName name="UAcct395So">'[2]Func Study'!$AB$1895</definedName>
    <definedName name="UACCT395SSGCH">'[2]Func Study'!$AB$1898</definedName>
    <definedName name="UACCT395SSGCT">'[2]Func Study'!$AB$1899</definedName>
    <definedName name="UAcct396S">'[2]Func Study'!$AB$1903</definedName>
    <definedName name="UAcct396Se">'[2]Func Study'!$AB$1908</definedName>
    <definedName name="UAcct396Sg">'[2]Func Study'!$AB$1905</definedName>
    <definedName name="UAcct396Sgp">'[2]Func Study'!$AB$1904</definedName>
    <definedName name="UAcct396Sgu">'[2]Func Study'!$AB$1907</definedName>
    <definedName name="UAcct396So">'[2]Func Study'!$AB$1906</definedName>
    <definedName name="UACCT396SSGCH">'[2]Func Study'!$AB$1910</definedName>
    <definedName name="UACCT396SSGCT">'[2]Func Study'!$AB$1909</definedName>
    <definedName name="UAcct397Cn">'[2]Func Study'!$AB$1921</definedName>
    <definedName name="UAcct397S">'[2]Func Study'!$AB$1917</definedName>
    <definedName name="UAcct397Se">'[2]Func Study'!$AB$1923</definedName>
    <definedName name="UAcct397Sg">'[2]Func Study'!$AB$1922</definedName>
    <definedName name="UAcct397Sgp">'[2]Func Study'!$AB$1918</definedName>
    <definedName name="UAcct397Sgu">'[2]Func Study'!$AB$1919</definedName>
    <definedName name="UAcct397So">'[2]Func Study'!$AB$1920</definedName>
    <definedName name="UACCT397SSGCH">'[2]Func Study'!$AB$1924</definedName>
    <definedName name="UACCT397SSGCT">'[2]Func Study'!$AB$1925</definedName>
    <definedName name="UAcct398Cn">'[2]Func Study'!$AB$1932</definedName>
    <definedName name="UAcct398S">'[2]Func Study'!$AB$1929</definedName>
    <definedName name="UAcct398Se">'[2]Func Study'!$AB$1934</definedName>
    <definedName name="UAcct398Sg">'[2]Func Study'!$AB$1935</definedName>
    <definedName name="UAcct398Sgp">'[2]Func Study'!$AB$1930</definedName>
    <definedName name="UAcct398Sgu">'[2]Func Study'!$AB$1931</definedName>
    <definedName name="UAcct398So">'[2]Func Study'!$AB$1933</definedName>
    <definedName name="UACCT398SSGCT">'[2]Func Study'!$AB$1936</definedName>
    <definedName name="UAcct399">'[2]Func Study'!$AB$1943</definedName>
    <definedName name="UAcct399G">'[2]Func Study'!$AB$1984</definedName>
    <definedName name="UAcct399L">'[2]Func Study'!$AB$1947</definedName>
    <definedName name="UAcct399Lrcl">'[2]Func Study'!$AB$1949</definedName>
    <definedName name="UAcct403360">'[2]Func Study'!$AB$1045</definedName>
    <definedName name="UAcct403361">'[2]Func Study'!$AB$1046</definedName>
    <definedName name="UAcct403362">'[2]Func Study'!$AB$1047</definedName>
    <definedName name="UAcct403364">'[2]Func Study'!$AB$1048</definedName>
    <definedName name="UAcct403365">'[2]Func Study'!$AB$1049</definedName>
    <definedName name="UAcct403366">'[2]Func Study'!$AB$1050</definedName>
    <definedName name="UAcct403367">'[2]Func Study'!$AB$1051</definedName>
    <definedName name="UAcct403368">'[2]Func Study'!$AB$1052</definedName>
    <definedName name="UAcct403369">'[2]Func Study'!$AB$1053</definedName>
    <definedName name="UAcct403370">'[2]Func Study'!$AB$1054</definedName>
    <definedName name="UAcct403371">'[2]Func Study'!$AB$1055</definedName>
    <definedName name="UAcct403372">'[2]Func Study'!$AB$1056</definedName>
    <definedName name="UAcct403373">'[2]Func Study'!$AB$1057</definedName>
    <definedName name="uacct403dgu">'[2]Func Study'!$AB$1068</definedName>
    <definedName name="UAcct403Ep">'[2]Func Study'!$AB$1084</definedName>
    <definedName name="UAcct403Gpcn">'[2]Func Study'!$AB$1065</definedName>
    <definedName name="UAcct403Gps">'[2]Func Study'!$AB$1061</definedName>
    <definedName name="UAcct403Gpseu">'[2]Func Study'!$AB$1064</definedName>
    <definedName name="UAcct403Gpsg">'[2]Func Study'!$AB$1066</definedName>
    <definedName name="UAcct403Gpsgp">'[2]Func Study'!$AB$1062</definedName>
    <definedName name="UAcct403Gpsgu">'[2]Func Study'!$AB$1063</definedName>
    <definedName name="UAcct403Gpso">'[2]Func Study'!$AB$1067</definedName>
    <definedName name="uacct403gpssgch">'[2]Func Study'!$AB$1070</definedName>
    <definedName name="UACCT403GPSSGCT">'[2]Func Study'!$AB$1069</definedName>
    <definedName name="UAcct403Gv0">'[2]Func Study'!$AB$1075</definedName>
    <definedName name="UAcct403Hp">'[2]Func Study'!$AB$1029</definedName>
    <definedName name="UAcct403Mp">'[2]Func Study'!$AB$1079</definedName>
    <definedName name="UAcct403Np">'[2]Func Study'!$AB$1024</definedName>
    <definedName name="UAcct403Op">'[2]Func Study'!$AB$1036</definedName>
    <definedName name="UAcct403Opsgu">[3]FuncStudy!$Y$796</definedName>
    <definedName name="uacct403opssg">'[2]Func Study'!$AB$1035</definedName>
    <definedName name="uacct403opssgct">'[2]Func Study'!$AB$1034</definedName>
    <definedName name="uacct403sgw">[3]FuncStudy!$Y$798</definedName>
    <definedName name="uacct403spdgp">'[2]Func Study'!$AB$1016</definedName>
    <definedName name="uacct403spdgu">'[2]Func Study'!$AB$1017</definedName>
    <definedName name="uacct403spsg">'[2]Func Study'!$AB$1018</definedName>
    <definedName name="uacct403ssgch">'[2]Func Study'!$AB$1019</definedName>
    <definedName name="UAcct403Tp">'[2]Func Study'!$AB$1042</definedName>
    <definedName name="UAcct404330">'[2]Func Study'!$AB$1126</definedName>
    <definedName name="UAcct404Clg">'[2]Func Study'!$AB$1099</definedName>
    <definedName name="UAcct404Clgsop">'[2]Func Study'!$AB$1097</definedName>
    <definedName name="UAcct404Clgsou">'[2]Func Study'!$AB$1095</definedName>
    <definedName name="UAcct404Cls">'[2]Func Study'!$AB$1104</definedName>
    <definedName name="UAcct404Ipcn">'[2]Func Study'!$AB$1111</definedName>
    <definedName name="UACCT404IPDGU">'[2]Func Study'!$AB$1114</definedName>
    <definedName name="UAcct404Ips">'[2]Func Study'!$AB$1107</definedName>
    <definedName name="UAcct404Ipse">'[2]Func Study'!$AB$1108</definedName>
    <definedName name="UACCT404IPSG">'[2]Func Study'!$AB$1109</definedName>
    <definedName name="UACCT404IPSGCT">'[2]Func Study'!$AB$1113</definedName>
    <definedName name="UACCT404IPSGP">'[2]Func Study'!$AB$1112</definedName>
    <definedName name="UAcct404Ipso">'[2]Func Study'!$AB$1110</definedName>
    <definedName name="UACCT404IPSSGCH">'[2]Func Study'!$AB$1115</definedName>
    <definedName name="UAcct404O">'[2]Func Study'!$AB$1120</definedName>
    <definedName name="UAcct405">'[2]Func Study'!$AB$1134</definedName>
    <definedName name="UAcct406">'[2]Func Study'!$AB$1142</definedName>
    <definedName name="UAcct407">'[2]Func Study'!$AB$1151</definedName>
    <definedName name="UAcct408">'[2]Func Study'!$AB$1170</definedName>
    <definedName name="UAcct408S">'[2]Func Study'!$AB$1162</definedName>
    <definedName name="UAcct40910FITOther">[3]FuncStudy!$Y$1135</definedName>
    <definedName name="UAcct40910Fitpmi">'[2]Func Study'!$AB$1415</definedName>
    <definedName name="UAcct40910FITPTC">[3]FuncStudy!$Y$1134</definedName>
    <definedName name="UAcct40910FITSitus">[3]FuncStudy!$Y$1136</definedName>
    <definedName name="UAcct40911Dgu">'[2]Func Study'!$AB$1378</definedName>
    <definedName name="UAcct40911S">'[2]Func Study'!$AB$1376</definedName>
    <definedName name="UAcct41010">'[2]Func Study'!$AB$1248</definedName>
    <definedName name="UAcct41020">'[2]Func Study'!$AB$1263</definedName>
    <definedName name="UAcct41111">'[2]Func Study'!$AB$1297</definedName>
    <definedName name="UAcct41120">'[2]Func Study'!$AB$1282</definedName>
    <definedName name="UAcct41140">'[2]Func Study'!$AB$1181</definedName>
    <definedName name="UAcct41141">'[2]Func Study'!$AB$1186</definedName>
    <definedName name="UAcct41160">'[2]Func Study'!$AB$355</definedName>
    <definedName name="UAcct41170">'[2]Func Study'!$AB$360</definedName>
    <definedName name="UAcct4118">'[2]Func Study'!$AB$364</definedName>
    <definedName name="UAcct41181">'[2]Func Study'!$AB$367</definedName>
    <definedName name="UAcct4194">'[2]Func Study'!$AB$371</definedName>
    <definedName name="UAcct419Doth">'[2]Func Study'!$AB$1223</definedName>
    <definedName name="UAcct421">'[2]Func Study'!$AB$380</definedName>
    <definedName name="UAcct4311">'[2]Func Study'!$AB$387</definedName>
    <definedName name="UAcct442Se">'[2]Func Study'!$AB$259</definedName>
    <definedName name="UAcct442Sg">'[2]Func Study'!$AB$260</definedName>
    <definedName name="UAcct447">'[2]Func Study'!$AB$284</definedName>
    <definedName name="UAcct447S">'[2]Func Study'!$AB$280</definedName>
    <definedName name="UAcct447Se">'[2]Func Study'!$AB$283</definedName>
    <definedName name="UAcct448S">'[2]Func Study'!$AB$273</definedName>
    <definedName name="UAcct448So">'[2]Func Study'!$AB$274</definedName>
    <definedName name="UAcct449">'[2]Func Study'!$AB$289</definedName>
    <definedName name="UAcct450">'[2]Func Study'!$AB$299</definedName>
    <definedName name="UAcct450S">'[2]Func Study'!$AB$297</definedName>
    <definedName name="UAcct450So">'[2]Func Study'!$AB$298</definedName>
    <definedName name="UAcct451S">'[2]Func Study'!$AB$302</definedName>
    <definedName name="UAcct451Sg">'[2]Func Study'!$AB$303</definedName>
    <definedName name="UAcct451So">'[2]Func Study'!$AB$304</definedName>
    <definedName name="UAcct453">'[2]Func Study'!$AB$309</definedName>
    <definedName name="UAcct454">'[2]Func Study'!$AB$315</definedName>
    <definedName name="UAcct454S">'[2]Func Study'!$AB$312</definedName>
    <definedName name="UAcct454Sg">'[2]Func Study'!$AB$313</definedName>
    <definedName name="UAcct454So">'[2]Func Study'!$AB$314</definedName>
    <definedName name="UAcct456">'[2]Func Study'!$AB$323</definedName>
    <definedName name="UAcct456Cn">'[2]Func Study'!$AB$319</definedName>
    <definedName name="UAcct456S">'[2]Func Study'!$AB$318</definedName>
    <definedName name="UAcct456Se">'[2]Func Study'!$AB$320</definedName>
    <definedName name="UAcct500">'[2]Func Study'!$AB$406</definedName>
    <definedName name="UACCT500SSGCH">'[2]Func Study'!$AB$405</definedName>
    <definedName name="UAcct501">'[2]Func Study'!$AB$414</definedName>
    <definedName name="UAcct501Se">'[2]Func Study'!$AB$409</definedName>
    <definedName name="UACCT501SENNPC">'[2]Func Study'!$AB$410</definedName>
    <definedName name="uacct501ssech">'[2]Func Study'!$AB$413</definedName>
    <definedName name="UACCT501SSECHNNPC">'[2]Func Study'!$AB$412</definedName>
    <definedName name="uacct501ssect">'[2]Func Study'!$AB$411</definedName>
    <definedName name="UAcct502">'[2]Func Study'!$AB$419</definedName>
    <definedName name="UAcct502Dnppsu" localSheetId="2">'[2]Func Study'!#REF!</definedName>
    <definedName name="UAcct502Dnppsu">'[2]Func Study'!#REF!</definedName>
    <definedName name="uacct502snpps">'[2]Func Study'!$AB$417</definedName>
    <definedName name="uacct502ssgch">'[2]Func Study'!$AB$418</definedName>
    <definedName name="UAcct503">'[2]Func Study'!$AB$424</definedName>
    <definedName name="UAcct503Se">'[2]Func Study'!$AB$422</definedName>
    <definedName name="UACCT503SENNPC">'[2]Func Study'!$AB$423</definedName>
    <definedName name="UAcct505">'[2]Func Study'!$AB$429</definedName>
    <definedName name="uacct505snpps">'[2]Func Study'!$AB$427</definedName>
    <definedName name="uacct505ssgch">'[2]Func Study'!$AB$428</definedName>
    <definedName name="UAcct506">'[2]Func Study'!$AB$435</definedName>
    <definedName name="UAcct506Se">'[2]Func Study'!$AB$433</definedName>
    <definedName name="uacct506snpps">'[2]Func Study'!$AB$432</definedName>
    <definedName name="uacct506ssgch">'[2]Func Study'!$AB$434</definedName>
    <definedName name="UAcct507">'[2]Func Study'!$AB$444</definedName>
    <definedName name="uacct507ssgch">'[2]Func Study'!$AB$443</definedName>
    <definedName name="UAcct510">'[2]Func Study'!$AB$449</definedName>
    <definedName name="uacct510ssgch">'[2]Func Study'!$AB$448</definedName>
    <definedName name="UAcct511">'[2]Func Study'!$AB$454</definedName>
    <definedName name="uacct511ssgch">'[2]Func Study'!$AB$453</definedName>
    <definedName name="UAcct512">'[2]Func Study'!$AB$459</definedName>
    <definedName name="uacct512ssgch">'[2]Func Study'!$AB$458</definedName>
    <definedName name="UAcct513">'[2]Func Study'!$AB$464</definedName>
    <definedName name="uacct513ssgch">'[2]Func Study'!$AB$463</definedName>
    <definedName name="UAcct514">'[2]Func Study'!$AB$469</definedName>
    <definedName name="uacct514ssgch">'[2]Func Study'!$AB$468</definedName>
    <definedName name="UAcct517">'[2]Func Study'!$AB$478</definedName>
    <definedName name="UAcct518">'[2]Func Study'!$AB$482</definedName>
    <definedName name="UAcct519">'[2]Func Study'!$AB$487</definedName>
    <definedName name="UAcct520">'[2]Func Study'!$AB$491</definedName>
    <definedName name="UAcct523">'[2]Func Study'!$AB$495</definedName>
    <definedName name="UAcct524">'[2]Func Study'!$AB$499</definedName>
    <definedName name="UAcct528">'[2]Func Study'!$AB$503</definedName>
    <definedName name="UAcct529">'[2]Func Study'!$AB$507</definedName>
    <definedName name="UAcct530">'[2]Func Study'!$AB$511</definedName>
    <definedName name="UAcct531">'[2]Func Study'!$AB$515</definedName>
    <definedName name="UAcct532">'[2]Func Study'!$AB$519</definedName>
    <definedName name="UAcct535">'[2]Func Study'!$AB$531</definedName>
    <definedName name="UAcct536">'[2]Func Study'!$AB$535</definedName>
    <definedName name="UAcct537">'[2]Func Study'!$AB$539</definedName>
    <definedName name="UAcct538">'[2]Func Study'!$AB$543</definedName>
    <definedName name="UAcct539">'[2]Func Study'!$AB$547</definedName>
    <definedName name="UAcct540">'[2]Func Study'!$AB$551</definedName>
    <definedName name="UAcct541">'[2]Func Study'!$AB$555</definedName>
    <definedName name="UAcct542">'[2]Func Study'!$AB$559</definedName>
    <definedName name="UAcct543">'[2]Func Study'!$AB$563</definedName>
    <definedName name="UAcct544">'[2]Func Study'!$AB$567</definedName>
    <definedName name="UAcct545">'[2]Func Study'!$AB$571</definedName>
    <definedName name="UAcct546">'[2]Func Study'!$AB$584</definedName>
    <definedName name="UAcct547Se">'[2]Func Study'!$AB$587</definedName>
    <definedName name="UACCT547SSECT">'[2]Func Study'!$AB$588</definedName>
    <definedName name="UAcct548">'[2]Func Study'!$AB$594</definedName>
    <definedName name="uacct548ssgct">'[2]Func Study'!$AB$593</definedName>
    <definedName name="UAcct549">'[2]Func Study'!$AB$599</definedName>
    <definedName name="UAcct549sg">[3]FuncStudy!$Y$398</definedName>
    <definedName name="uacct550">'[2]Func Study'!$AB$610</definedName>
    <definedName name="UACCT550sg">[3]FuncStudy!$Y$404</definedName>
    <definedName name="uacct550ssgct">'[2]Func Study'!$AB$609</definedName>
    <definedName name="UAcct551">'[2]Func Study'!$AB$614</definedName>
    <definedName name="UAcct552">'[2]Func Study'!$AB$619</definedName>
    <definedName name="UAcct553">'[2]Func Study'!$AB$625</definedName>
    <definedName name="UACCT553SSGCT">'[2]Func Study'!$AB$624</definedName>
    <definedName name="UAcct554">'[2]Func Study'!$AB$630</definedName>
    <definedName name="UAcct554SSCT">[3]FuncStudy!$Y$426</definedName>
    <definedName name="UACCT554SSGCT">'[2]Func Study'!$AB$629</definedName>
    <definedName name="uacct555dgp">'[2]Func Study'!$AB$645</definedName>
    <definedName name="UAcct555Dgu">'[2]Func Study'!$AB$642</definedName>
    <definedName name="UAcct555S">'[2]Func Study'!$AB$641</definedName>
    <definedName name="UAcct555Se">'[2]Func Study'!$AB$643</definedName>
    <definedName name="uacct555ssgp">'[2]Func Study'!$AB$644</definedName>
    <definedName name="UAcct556">'[2]Func Study'!$AB$650</definedName>
    <definedName name="UAcct557">'[2]Func Study'!$AB$659</definedName>
    <definedName name="UACCT557SSGCT">'[2]Func Study'!$AB$657</definedName>
    <definedName name="UAcct560">'[2]Func Study'!$AB$682</definedName>
    <definedName name="UAcct561">'[2]Func Study'!$AB$686</definedName>
    <definedName name="UAcct562">'[2]Func Study'!$AB$690</definedName>
    <definedName name="UAcct563">'[2]Func Study'!$AB$694</definedName>
    <definedName name="UAcct564">'[2]Func Study'!$AB$698</definedName>
    <definedName name="UAcct565">'[2]Func Study'!$AB$703</definedName>
    <definedName name="UAcct565Se">'[2]Func Study'!$AB$702</definedName>
    <definedName name="UAcct566">'[2]Func Study'!$AB$707</definedName>
    <definedName name="UAcct567">'[2]Func Study'!$AB$711</definedName>
    <definedName name="UAcct568">'[2]Func Study'!$AB$715</definedName>
    <definedName name="UAcct569">'[2]Func Study'!$AB$719</definedName>
    <definedName name="UAcct570">'[2]Func Study'!$AB$723</definedName>
    <definedName name="UAcct571">'[2]Func Study'!$AB$727</definedName>
    <definedName name="UAcct572">'[2]Func Study'!$AB$731</definedName>
    <definedName name="UAcct573">'[2]Func Study'!$AB$735</definedName>
    <definedName name="UAcct580">'[2]Func Study'!$AB$748</definedName>
    <definedName name="UAcct581">'[2]Func Study'!$AB$753</definedName>
    <definedName name="UAcct582">'[2]Func Study'!$AB$758</definedName>
    <definedName name="UAcct583">'[2]Func Study'!$AB$763</definedName>
    <definedName name="UAcct584">'[2]Func Study'!$AB$768</definedName>
    <definedName name="UAcct585">'[2]Func Study'!$AB$773</definedName>
    <definedName name="UAcct586">'[2]Func Study'!$AB$778</definedName>
    <definedName name="UAcct587">'[2]Func Study'!$AB$783</definedName>
    <definedName name="UAcct588">'[2]Func Study'!$AB$788</definedName>
    <definedName name="UAcct589">'[2]Func Study'!$AB$793</definedName>
    <definedName name="UAcct590">'[2]Func Study'!$AB$798</definedName>
    <definedName name="UAcct591">'[2]Func Study'!$AB$803</definedName>
    <definedName name="UAcct592">'[2]Func Study'!$AB$808</definedName>
    <definedName name="UAcct593">'[2]Func Study'!$AB$813</definedName>
    <definedName name="UAcct594">'[2]Func Study'!$AB$818</definedName>
    <definedName name="UAcct595">'[2]Func Study'!$AB$823</definedName>
    <definedName name="UAcct596">'[2]Func Study'!$AB$833</definedName>
    <definedName name="UAcct597">'[2]Func Study'!$AB$838</definedName>
    <definedName name="UAcct598">'[2]Func Study'!$AB$843</definedName>
    <definedName name="UAcct901">'[2]Func Study'!$AB$855</definedName>
    <definedName name="UAcct902">'[2]Func Study'!$AB$860</definedName>
    <definedName name="UAcct903">'[2]Func Study'!$AB$865</definedName>
    <definedName name="UAcct904">'[2]Func Study'!$AB$871</definedName>
    <definedName name="UAcct905">'[2]Func Study'!$AB$876</definedName>
    <definedName name="UAcct907">'[2]Func Study'!$AB$890</definedName>
    <definedName name="UAcct908">'[2]Func Study'!$AB$895</definedName>
    <definedName name="UAcct909">'[2]Func Study'!$AB$900</definedName>
    <definedName name="UAcct910">'[2]Func Study'!$AB$905</definedName>
    <definedName name="UAcct911">'[2]Func Study'!$AB$916</definedName>
    <definedName name="UAcct912">'[2]Func Study'!$AB$921</definedName>
    <definedName name="UAcct913">'[2]Func Study'!$AB$926</definedName>
    <definedName name="UAcct916">'[2]Func Study'!$AB$931</definedName>
    <definedName name="UAcct920">'[2]Func Study'!$AB$942</definedName>
    <definedName name="UAcct920Cn">'[2]Func Study'!$AB$940</definedName>
    <definedName name="UAcct921">'[2]Func Study'!$AB$948</definedName>
    <definedName name="UAcct921Cn">'[2]Func Study'!$AB$946</definedName>
    <definedName name="UAcct923">'[2]Func Study'!$AB$954</definedName>
    <definedName name="UAcct923Cn">'[2]Func Study'!$AB$952</definedName>
    <definedName name="UAcct924">'[2]Func Study'!$AB$959</definedName>
    <definedName name="UAcct924S">[3]FuncStudy!$Y$722</definedName>
    <definedName name="UACCT924SG">'[2]Func Study'!$AB$958</definedName>
    <definedName name="UAcct924SO">[3]FuncStudy!$Y$724</definedName>
    <definedName name="UAcct925">'[2]Func Study'!$AB$963</definedName>
    <definedName name="UAcct926">'[2]Func Study'!$AB$969</definedName>
    <definedName name="UAcct927">'[2]Func Study'!$AB$974</definedName>
    <definedName name="UAcct928">'[2]Func Study'!$AB$981</definedName>
    <definedName name="UAcct928RE">'[2]Func Study'!$AB$983</definedName>
    <definedName name="UAcct929">'[2]Func Study'!$AB$988</definedName>
    <definedName name="UACCT930cn">'[2]Func Study'!$AB$992</definedName>
    <definedName name="UAcct930S">'[2]Func Study'!$AB$991</definedName>
    <definedName name="UAcct930So">'[2]Func Study'!$AB$993</definedName>
    <definedName name="UAcct931">'[2]Func Study'!$AB$999</definedName>
    <definedName name="UAcct935">'[2]Func Study'!$AB$1005</definedName>
    <definedName name="UAcctAGA">'[2]Func Study'!$AB$291</definedName>
    <definedName name="UAcctcwc">'[2]Func Study'!$AB$2163</definedName>
    <definedName name="UAcctd00">'[2]Func Study'!$AB$1817</definedName>
    <definedName name="UAcctdfad">'[2]Func Study'!$AB$392</definedName>
    <definedName name="UAcctdfap">'[2]Func Study'!$AB$390</definedName>
    <definedName name="UAcctdfat">'[2]Func Study'!$AB$391</definedName>
    <definedName name="UAcctds0">'[2]Func Study'!$AB$1821</definedName>
    <definedName name="uacctecdcoh">'[2]Func Study'!$AB$663</definedName>
    <definedName name="uacctecddgp">'[2]Func Study'!$AB$662</definedName>
    <definedName name="uacctecdmc">'[2]Func Study'!$AB$664</definedName>
    <definedName name="uacctecdqfsg">'[2]Func Study'!$AB$667</definedName>
    <definedName name="uacctecds">'[2]Func Study'!$AB$666</definedName>
    <definedName name="uacctecdsg">'[2]Func Study'!$AB$665</definedName>
    <definedName name="UAcctfit">'[2]Func Study'!$AB$1422</definedName>
    <definedName name="UAcctg00">'[2]Func Study'!$AB$1976</definedName>
    <definedName name="UAccth00">'[2]Func Study'!$AB$1578</definedName>
    <definedName name="UAccti00">'[2]Func Study'!$AB$2021</definedName>
    <definedName name="UAcctn00">'[2]Func Study'!$AB$1522</definedName>
    <definedName name="UAccto00">'[2]Func Study'!$AB$1638</definedName>
    <definedName name="UAcctowc">'[2]Func Study'!$AB$2175</definedName>
    <definedName name="uacctowcssech">'[2]Func Study'!$AB$2174</definedName>
    <definedName name="UAccts00">'[2]Func Study'!$AB$1481</definedName>
    <definedName name="UAcctSchM">'[2]Func Study'!$AB$1401</definedName>
    <definedName name="UAcctsttax">'[2]Func Study'!$AB$1405</definedName>
    <definedName name="UAcctt00">'[2]Func Study'!$AB$1713</definedName>
    <definedName name="UACT553SGW">[3]FuncStudy!$Y$421</definedName>
    <definedName name="UncollectibleAccounts">[7]Variables!$D$25</definedName>
    <definedName name="USCHMAFS">'[2]Func Study'!$AB$1302</definedName>
    <definedName name="USCHMAFSE">'[2]Func Study'!$AB$1305</definedName>
    <definedName name="USCHMAFSG">'[2]Func Study'!$AB$1307</definedName>
    <definedName name="USCHMAFSNP">'[2]Func Study'!$AB$1303</definedName>
    <definedName name="USCHMAFSO">'[2]Func Study'!$AB$1304</definedName>
    <definedName name="USCHMAFTROJP">'[2]Func Study'!$AB$1306</definedName>
    <definedName name="USCHMAPBADDEBT">'[2]Func Study'!$AB$1316</definedName>
    <definedName name="USCHMAPS">'[2]Func Study'!$AB$1311</definedName>
    <definedName name="USCHMAPSE">'[2]Func Study'!$AB$1312</definedName>
    <definedName name="USCHMAPSG">'[2]Func Study'!$AB$1315</definedName>
    <definedName name="USCHMAPSNP">'[2]Func Study'!$AB$1313</definedName>
    <definedName name="USCHMAPSO">'[2]Func Study'!$AB$1314</definedName>
    <definedName name="USCHMATBADDEBT">'[2]Func Study'!$AB$1331</definedName>
    <definedName name="USCHMATCIAC">'[2]Func Study'!$AB$1322</definedName>
    <definedName name="USCHMATGPS">'[2]Func Study'!$AB$1328</definedName>
    <definedName name="USCHMATS">'[2]Func Study'!$AB$1320</definedName>
    <definedName name="USCHMATSCHMDEXP">'[2]Func Study'!$AB$1333</definedName>
    <definedName name="USCHMATSE">'[2]Func Study'!$AB$1326</definedName>
    <definedName name="USCHMATSG">'[2]Func Study'!$AB$1325</definedName>
    <definedName name="USCHMATSG2">'[2]Func Study'!$AB$1327</definedName>
    <definedName name="USCHMATSGCT">'[2]Func Study'!$AB$1321</definedName>
    <definedName name="USCHMATSNP">'[2]Func Study'!$AB$1323</definedName>
    <definedName name="USCHMATSNPD">'[2]Func Study'!$AB$1330</definedName>
    <definedName name="USCHMATSO">'[2]Func Study'!$AB$1329</definedName>
    <definedName name="USCHMATTAXDEPR">'[2]Func Study'!$AB$1332</definedName>
    <definedName name="USCHMATTROJD">'[2]Func Study'!$AB$1324</definedName>
    <definedName name="USCHMDFDGP">'[2]Func Study'!$AB$1340</definedName>
    <definedName name="USCHMDFDGU">'[2]Func Study'!$AB$1341</definedName>
    <definedName name="USCHMDFS">'[2]Func Study'!$AB$1339</definedName>
    <definedName name="USCHMDPIBT">'[2]Func Study'!$AB$1347</definedName>
    <definedName name="USCHMDPS">'[2]Func Study'!$AB$1344</definedName>
    <definedName name="USCHMDPSE">'[2]Func Study'!$AB$1345</definedName>
    <definedName name="USCHMDPSG">'[2]Func Study'!$AB$1348</definedName>
    <definedName name="USCHMDPSNP">'[2]Func Study'!$AB$1346</definedName>
    <definedName name="USCHMDPSO">'[2]Func Study'!$AB$1349</definedName>
    <definedName name="USCHMDTBADDEBT">'[2]Func Study'!$AB$1354</definedName>
    <definedName name="USCHMDTCN">'[2]Func Study'!$AB$1356</definedName>
    <definedName name="USCHMDTDGP">'[2]Func Study'!$AB$1358</definedName>
    <definedName name="USCHMDTGPS">'[2]Func Study'!$AB$1361</definedName>
    <definedName name="USCHMDTS">'[2]Func Study'!$AB$1353</definedName>
    <definedName name="USCHMDTSE">'[2]Func Study'!$AB$1359</definedName>
    <definedName name="USCHMDTSG">'[2]Func Study'!$AB$1360</definedName>
    <definedName name="USCHMDTSNP">'[2]Func Study'!$AB$1355</definedName>
    <definedName name="USCHMDTSNPD">'[2]Func Study'!$AB$1364</definedName>
    <definedName name="USCHMDTSO">'[2]Func Study'!$AB$1362</definedName>
    <definedName name="USCHMDTTAXDEPR">'[2]Func Study'!$AB$1363</definedName>
    <definedName name="USCHMDTTROJD">'[2]Func Study'!$AB$1357</definedName>
    <definedName name="UtGrossReceipts">[7]Variables!$D$29</definedName>
    <definedName name="ValidAccount">[4]Variables!$AK$43:$AK$369</definedName>
    <definedName name="WaRevenueTax">[7]Variables!$D$27</definedName>
    <definedName name="WinterPeak">'[13]Load Data'!$D$9:$H$12,'[13]Load Data'!$D$20:$H$22</definedName>
    <definedName name="WN" localSheetId="2">#REF!</definedName>
    <definedName name="WN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fmr_Year1">[6]Variables!$C$20</definedName>
    <definedName name="Xfmr_Year2">[6]Variables!$D$20</definedName>
    <definedName name="XFMR_YR1">[8]Variables!$C$20</definedName>
    <definedName name="XFMR_YR2">[8]Variables!$D$20</definedName>
    <definedName name="YEFactors">[4]Factors!$S$3:$AG$99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2"/>
  <c r="AA21" i="5"/>
  <c r="AA20"/>
  <c r="AA16"/>
  <c r="AA22" s="1"/>
  <c r="AA15"/>
  <c r="AA14"/>
  <c r="AA12"/>
  <c r="E13" s="1"/>
  <c r="AC44"/>
  <c r="AB44"/>
  <c r="AA44"/>
  <c r="Z44"/>
  <c r="AC43"/>
  <c r="AB43"/>
  <c r="AA43"/>
  <c r="Z43"/>
  <c r="Z39"/>
  <c r="A18" s="1"/>
  <c r="Z38"/>
  <c r="A17" s="1"/>
  <c r="AD17" s="1"/>
  <c r="Z37"/>
  <c r="A20" s="1"/>
  <c r="AE20" s="1"/>
  <c r="Z30"/>
  <c r="AA29"/>
  <c r="AB29" s="1"/>
  <c r="AA24"/>
  <c r="AB24" s="1"/>
  <c r="Z24"/>
  <c r="AA23"/>
  <c r="AB23" s="1"/>
  <c r="Z23"/>
  <c r="Z21"/>
  <c r="Q16" s="1"/>
  <c r="AE16" s="1"/>
  <c r="AB18"/>
  <c r="AA17"/>
  <c r="AB17" s="1"/>
  <c r="Z16"/>
  <c r="Z22" s="1"/>
  <c r="Z15"/>
  <c r="Z14"/>
  <c r="Z13"/>
  <c r="Q13"/>
  <c r="AE13" s="1"/>
  <c r="Z12"/>
  <c r="C11" s="1"/>
  <c r="Q12"/>
  <c r="E11"/>
  <c r="C10"/>
  <c r="G42" i="3"/>
  <c r="A16"/>
  <c r="A17"/>
  <c r="A18"/>
  <c r="A20" s="1"/>
  <c r="M49"/>
  <c r="O49" s="1"/>
  <c r="Q49" s="1"/>
  <c r="I48"/>
  <c r="G45"/>
  <c r="G44"/>
  <c r="G28"/>
  <c r="G29"/>
  <c r="M37"/>
  <c r="O37"/>
  <c r="Q37" s="1"/>
  <c r="I34"/>
  <c r="I31"/>
  <c r="I28"/>
  <c r="I29"/>
  <c r="G27"/>
  <c r="G23"/>
  <c r="I16"/>
  <c r="G18"/>
  <c r="M17"/>
  <c r="O17" s="1"/>
  <c r="Q17" s="1"/>
  <c r="E12"/>
  <c r="G12"/>
  <c r="I12" s="1"/>
  <c r="I15"/>
  <c r="S24" i="2"/>
  <c r="S26"/>
  <c r="S27"/>
  <c r="U27" s="1"/>
  <c r="S25"/>
  <c r="S23"/>
  <c r="S22"/>
  <c r="G19"/>
  <c r="Q19" s="1"/>
  <c r="O20"/>
  <c r="G20"/>
  <c r="U20" s="1"/>
  <c r="E28"/>
  <c r="E32" s="1"/>
  <c r="G25"/>
  <c r="M25" s="1"/>
  <c r="M27"/>
  <c r="G42"/>
  <c r="M42" s="1"/>
  <c r="G43"/>
  <c r="M43" s="1"/>
  <c r="E51"/>
  <c r="E55" s="1"/>
  <c r="G49"/>
  <c r="G50"/>
  <c r="M49"/>
  <c r="G59"/>
  <c r="M59" s="1"/>
  <c r="G60"/>
  <c r="M60" s="1"/>
  <c r="E70"/>
  <c r="E74" s="1"/>
  <c r="G61" s="1"/>
  <c r="M61" s="1"/>
  <c r="G68"/>
  <c r="G69"/>
  <c r="M68"/>
  <c r="M69"/>
  <c r="G77"/>
  <c r="M77" s="1"/>
  <c r="E98"/>
  <c r="G90" s="1"/>
  <c r="E105"/>
  <c r="E110" s="1"/>
  <c r="E117"/>
  <c r="E122" s="1"/>
  <c r="G105"/>
  <c r="G117"/>
  <c r="G96"/>
  <c r="G108"/>
  <c r="G120"/>
  <c r="G161"/>
  <c r="M161" s="1"/>
  <c r="E182"/>
  <c r="G174" s="1"/>
  <c r="E194"/>
  <c r="G186" s="1"/>
  <c r="G175"/>
  <c r="G178"/>
  <c r="M169"/>
  <c r="M137"/>
  <c r="E141"/>
  <c r="E146" s="1"/>
  <c r="G138" s="1"/>
  <c r="M138" s="1"/>
  <c r="G144"/>
  <c r="M144" s="1"/>
  <c r="M149"/>
  <c r="E153"/>
  <c r="E158" s="1"/>
  <c r="G150" s="1"/>
  <c r="M150" s="1"/>
  <c r="G156"/>
  <c r="M156" s="1"/>
  <c r="G198"/>
  <c r="M198" s="1"/>
  <c r="G199"/>
  <c r="M199" s="1"/>
  <c r="G200"/>
  <c r="M200" s="1"/>
  <c r="G201"/>
  <c r="M201" s="1"/>
  <c r="G203"/>
  <c r="M203" s="1"/>
  <c r="G204"/>
  <c r="M204" s="1"/>
  <c r="G205"/>
  <c r="M205" s="1"/>
  <c r="G206"/>
  <c r="M206" s="1"/>
  <c r="G207"/>
  <c r="M207" s="1"/>
  <c r="G208"/>
  <c r="M208" s="1"/>
  <c r="G209"/>
  <c r="M209" s="1"/>
  <c r="G210"/>
  <c r="M210" s="1"/>
  <c r="G211"/>
  <c r="M211" s="1"/>
  <c r="G212"/>
  <c r="M212" s="1"/>
  <c r="G213"/>
  <c r="M213" s="1"/>
  <c r="G215"/>
  <c r="M215" s="1"/>
  <c r="G216"/>
  <c r="M216" s="1"/>
  <c r="G217"/>
  <c r="M217" s="1"/>
  <c r="G218"/>
  <c r="M218" s="1"/>
  <c r="G219"/>
  <c r="M219" s="1"/>
  <c r="G220"/>
  <c r="M220" s="1"/>
  <c r="G222"/>
  <c r="M222" s="1"/>
  <c r="G223"/>
  <c r="M223" s="1"/>
  <c r="G224"/>
  <c r="M224" s="1"/>
  <c r="G225"/>
  <c r="M225" s="1"/>
  <c r="G226"/>
  <c r="M226" s="1"/>
  <c r="G227"/>
  <c r="M227" s="1"/>
  <c r="G228"/>
  <c r="M228" s="1"/>
  <c r="G229"/>
  <c r="M229" s="1"/>
  <c r="G237"/>
  <c r="M237" s="1"/>
  <c r="E258"/>
  <c r="G250" s="1"/>
  <c r="E270"/>
  <c r="G251"/>
  <c r="M245"/>
  <c r="G273"/>
  <c r="M273" s="1"/>
  <c r="E292"/>
  <c r="G285" s="1"/>
  <c r="E314"/>
  <c r="G307" s="1"/>
  <c r="E303"/>
  <c r="G296" s="1"/>
  <c r="G288"/>
  <c r="G311"/>
  <c r="M280"/>
  <c r="M325"/>
  <c r="E330"/>
  <c r="G326" s="1"/>
  <c r="M326" s="1"/>
  <c r="M333"/>
  <c r="E338"/>
  <c r="G334" s="1"/>
  <c r="M334" s="1"/>
  <c r="G350"/>
  <c r="M350" s="1"/>
  <c r="E348"/>
  <c r="E354" s="1"/>
  <c r="G344" s="1"/>
  <c r="M344" s="1"/>
  <c r="E352"/>
  <c r="M341"/>
  <c r="M342"/>
  <c r="G343"/>
  <c r="M343" s="1"/>
  <c r="G366"/>
  <c r="M366" s="1"/>
  <c r="E364"/>
  <c r="E370" s="1"/>
  <c r="G360" s="1"/>
  <c r="M360" s="1"/>
  <c r="E368"/>
  <c r="M357"/>
  <c r="M358"/>
  <c r="G359"/>
  <c r="M359" s="1"/>
  <c r="G374"/>
  <c r="M374" s="1"/>
  <c r="G375"/>
  <c r="M375" s="1"/>
  <c r="G376"/>
  <c r="M376" s="1"/>
  <c r="G377"/>
  <c r="M377" s="1"/>
  <c r="G378"/>
  <c r="M378" s="1"/>
  <c r="G379"/>
  <c r="M379" s="1"/>
  <c r="G380"/>
  <c r="M380" s="1"/>
  <c r="G381"/>
  <c r="M381" s="1"/>
  <c r="G382"/>
  <c r="M382" s="1"/>
  <c r="G383"/>
  <c r="M383" s="1"/>
  <c r="G384"/>
  <c r="M384" s="1"/>
  <c r="G385"/>
  <c r="M385" s="1"/>
  <c r="G386"/>
  <c r="M386" s="1"/>
  <c r="G387"/>
  <c r="M387" s="1"/>
  <c r="G388"/>
  <c r="M388" s="1"/>
  <c r="G390"/>
  <c r="M390" s="1"/>
  <c r="G391"/>
  <c r="M391" s="1"/>
  <c r="G392"/>
  <c r="M392" s="1"/>
  <c r="G393"/>
  <c r="M393" s="1"/>
  <c r="G394"/>
  <c r="M394" s="1"/>
  <c r="G395"/>
  <c r="M395" s="1"/>
  <c r="G396"/>
  <c r="M396" s="1"/>
  <c r="G397"/>
  <c r="M397" s="1"/>
  <c r="G398"/>
  <c r="M398" s="1"/>
  <c r="G399"/>
  <c r="M399" s="1"/>
  <c r="G400"/>
  <c r="M400" s="1"/>
  <c r="G402"/>
  <c r="M402" s="1"/>
  <c r="G403"/>
  <c r="M403" s="1"/>
  <c r="G404"/>
  <c r="M404" s="1"/>
  <c r="G405"/>
  <c r="M405" s="1"/>
  <c r="G406"/>
  <c r="M406" s="1"/>
  <c r="G408"/>
  <c r="M408" s="1"/>
  <c r="G409"/>
  <c r="M409" s="1"/>
  <c r="G410"/>
  <c r="M410" s="1"/>
  <c r="G411"/>
  <c r="M411" s="1"/>
  <c r="G412"/>
  <c r="M412" s="1"/>
  <c r="G413"/>
  <c r="M413" s="1"/>
  <c r="G415"/>
  <c r="M415" s="1"/>
  <c r="G417"/>
  <c r="M417" s="1"/>
  <c r="G438"/>
  <c r="G427" s="1"/>
  <c r="M427" s="1"/>
  <c r="G435"/>
  <c r="M435" s="1"/>
  <c r="G481"/>
  <c r="G444" s="1"/>
  <c r="M444" s="1"/>
  <c r="G448"/>
  <c r="M448" s="1"/>
  <c r="G452"/>
  <c r="M452" s="1"/>
  <c r="G457"/>
  <c r="M457" s="1"/>
  <c r="G461"/>
  <c r="M461" s="1"/>
  <c r="G465"/>
  <c r="M465" s="1"/>
  <c r="G470"/>
  <c r="M470" s="1"/>
  <c r="G474"/>
  <c r="M474" s="1"/>
  <c r="G479"/>
  <c r="M479" s="1"/>
  <c r="G508"/>
  <c r="G491" s="1"/>
  <c r="M491" s="1"/>
  <c r="G519"/>
  <c r="M519" s="1"/>
  <c r="G520"/>
  <c r="M520" s="1"/>
  <c r="G521"/>
  <c r="M521" s="1"/>
  <c r="M522"/>
  <c r="M523"/>
  <c r="M528"/>
  <c r="M529"/>
  <c r="M542"/>
  <c r="E540"/>
  <c r="E547"/>
  <c r="M535"/>
  <c r="G551"/>
  <c r="M551" s="1"/>
  <c r="E574"/>
  <c r="G565" s="1"/>
  <c r="E587"/>
  <c r="G581" s="1"/>
  <c r="M581" s="1"/>
  <c r="E600"/>
  <c r="G595" s="1"/>
  <c r="M595" s="1"/>
  <c r="G593"/>
  <c r="G568"/>
  <c r="G569"/>
  <c r="G570"/>
  <c r="G572"/>
  <c r="G585"/>
  <c r="G598"/>
  <c r="M560"/>
  <c r="M647"/>
  <c r="E686"/>
  <c r="G650" s="1"/>
  <c r="M654"/>
  <c r="G658"/>
  <c r="M658" s="1"/>
  <c r="M661"/>
  <c r="G662"/>
  <c r="M662" s="1"/>
  <c r="M690"/>
  <c r="M691"/>
  <c r="M693"/>
  <c r="M694"/>
  <c r="M695"/>
  <c r="M697"/>
  <c r="M698"/>
  <c r="M700"/>
  <c r="M701"/>
  <c r="M702"/>
  <c r="M704"/>
  <c r="E729"/>
  <c r="M713"/>
  <c r="M714"/>
  <c r="M715"/>
  <c r="M716"/>
  <c r="M717"/>
  <c r="M718"/>
  <c r="M719"/>
  <c r="G723"/>
  <c r="M723" s="1"/>
  <c r="G724"/>
  <c r="M724" s="1"/>
  <c r="G725"/>
  <c r="M725" s="1"/>
  <c r="G726"/>
  <c r="M726" s="1"/>
  <c r="M732"/>
  <c r="E737"/>
  <c r="M733" s="1"/>
  <c r="M741"/>
  <c r="G745"/>
  <c r="M745" s="1"/>
  <c r="E774"/>
  <c r="G762" s="1"/>
  <c r="E784"/>
  <c r="G779" s="1"/>
  <c r="M779" s="1"/>
  <c r="G772"/>
  <c r="G788"/>
  <c r="M788" s="1"/>
  <c r="M791" s="1"/>
  <c r="K48" i="3" s="1"/>
  <c r="G794" i="2"/>
  <c r="M794" s="1"/>
  <c r="G795"/>
  <c r="M795" s="1"/>
  <c r="M803"/>
  <c r="M804"/>
  <c r="M805"/>
  <c r="M806"/>
  <c r="M807"/>
  <c r="M808"/>
  <c r="K19"/>
  <c r="K20"/>
  <c r="K21"/>
  <c r="K22"/>
  <c r="K23"/>
  <c r="K24"/>
  <c r="K25"/>
  <c r="K26"/>
  <c r="K27"/>
  <c r="K42"/>
  <c r="K43"/>
  <c r="K44"/>
  <c r="K45"/>
  <c r="K46"/>
  <c r="K47"/>
  <c r="K48"/>
  <c r="K49"/>
  <c r="K50"/>
  <c r="K59"/>
  <c r="K60"/>
  <c r="K61"/>
  <c r="K62"/>
  <c r="K63"/>
  <c r="K64"/>
  <c r="K65"/>
  <c r="K66"/>
  <c r="K67"/>
  <c r="K68"/>
  <c r="K69"/>
  <c r="E77"/>
  <c r="K77" s="1"/>
  <c r="E78"/>
  <c r="K78" s="1"/>
  <c r="E79"/>
  <c r="K79" s="1"/>
  <c r="E80"/>
  <c r="K80" s="1"/>
  <c r="E82"/>
  <c r="K82" s="1"/>
  <c r="E83"/>
  <c r="K83" s="1"/>
  <c r="E84"/>
  <c r="K84" s="1"/>
  <c r="K85"/>
  <c r="E161"/>
  <c r="K161" s="1"/>
  <c r="E162"/>
  <c r="K162" s="1"/>
  <c r="E163"/>
  <c r="K163" s="1"/>
  <c r="E164"/>
  <c r="K164" s="1"/>
  <c r="E165"/>
  <c r="K165" s="1"/>
  <c r="E166"/>
  <c r="K166" s="1"/>
  <c r="E167"/>
  <c r="K167" s="1"/>
  <c r="E168"/>
  <c r="K168" s="1"/>
  <c r="K169"/>
  <c r="K137"/>
  <c r="K138"/>
  <c r="K139"/>
  <c r="K140"/>
  <c r="K142"/>
  <c r="K143"/>
  <c r="K144"/>
  <c r="K149"/>
  <c r="K150"/>
  <c r="K151"/>
  <c r="K152"/>
  <c r="K154"/>
  <c r="K155"/>
  <c r="K156"/>
  <c r="K198"/>
  <c r="K199"/>
  <c r="K200"/>
  <c r="K201"/>
  <c r="K203"/>
  <c r="K204"/>
  <c r="K205"/>
  <c r="K206"/>
  <c r="K207"/>
  <c r="K208"/>
  <c r="K209"/>
  <c r="K210"/>
  <c r="K211"/>
  <c r="K212"/>
  <c r="K213"/>
  <c r="K215"/>
  <c r="K216"/>
  <c r="K217"/>
  <c r="K218"/>
  <c r="K219"/>
  <c r="K220"/>
  <c r="K222"/>
  <c r="K223"/>
  <c r="K224"/>
  <c r="K225"/>
  <c r="K226"/>
  <c r="K227"/>
  <c r="K228"/>
  <c r="K229"/>
  <c r="E237"/>
  <c r="K237" s="1"/>
  <c r="E238"/>
  <c r="K238" s="1"/>
  <c r="E239"/>
  <c r="K239" s="1"/>
  <c r="E240"/>
  <c r="K240" s="1"/>
  <c r="E241"/>
  <c r="K241" s="1"/>
  <c r="E242"/>
  <c r="K242" s="1"/>
  <c r="E243"/>
  <c r="K243" s="1"/>
  <c r="E244"/>
  <c r="K244" s="1"/>
  <c r="K245"/>
  <c r="E273"/>
  <c r="K273" s="1"/>
  <c r="E274"/>
  <c r="K274" s="1"/>
  <c r="E275"/>
  <c r="K275" s="1"/>
  <c r="E276"/>
  <c r="K276" s="1"/>
  <c r="E277"/>
  <c r="K277" s="1"/>
  <c r="E278"/>
  <c r="K278" s="1"/>
  <c r="E279"/>
  <c r="K279" s="1"/>
  <c r="K280"/>
  <c r="K325"/>
  <c r="K326"/>
  <c r="K327"/>
  <c r="K328"/>
  <c r="K333"/>
  <c r="K334"/>
  <c r="K335"/>
  <c r="K336"/>
  <c r="K350"/>
  <c r="K351"/>
  <c r="K341"/>
  <c r="K342"/>
  <c r="K343"/>
  <c r="K344"/>
  <c r="K345"/>
  <c r="K346"/>
  <c r="K347"/>
  <c r="K366"/>
  <c r="K367"/>
  <c r="K357"/>
  <c r="K358"/>
  <c r="K359"/>
  <c r="K360"/>
  <c r="K361"/>
  <c r="K362"/>
  <c r="K363"/>
  <c r="K374"/>
  <c r="K375"/>
  <c r="K376"/>
  <c r="K377"/>
  <c r="K378"/>
  <c r="K379"/>
  <c r="K380"/>
  <c r="K381"/>
  <c r="K382"/>
  <c r="K383"/>
  <c r="K384"/>
  <c r="K385"/>
  <c r="K386"/>
  <c r="K387"/>
  <c r="K388"/>
  <c r="K390"/>
  <c r="K391"/>
  <c r="K392"/>
  <c r="K393"/>
  <c r="K394"/>
  <c r="K395"/>
  <c r="K396"/>
  <c r="K397"/>
  <c r="K398"/>
  <c r="K399"/>
  <c r="K400"/>
  <c r="K402"/>
  <c r="K403"/>
  <c r="K404"/>
  <c r="K405"/>
  <c r="K406"/>
  <c r="K408"/>
  <c r="K409"/>
  <c r="K410"/>
  <c r="K411"/>
  <c r="K412"/>
  <c r="K413"/>
  <c r="K415"/>
  <c r="K417"/>
  <c r="K515"/>
  <c r="K427"/>
  <c r="K428"/>
  <c r="K429"/>
  <c r="K430"/>
  <c r="K431"/>
  <c r="K433"/>
  <c r="K434"/>
  <c r="K435"/>
  <c r="K436"/>
  <c r="K437"/>
  <c r="K444"/>
  <c r="K445"/>
  <c r="K446"/>
  <c r="K448"/>
  <c r="K449"/>
  <c r="K450"/>
  <c r="K451"/>
  <c r="K452"/>
  <c r="K454"/>
  <c r="K455"/>
  <c r="K456"/>
  <c r="K457"/>
  <c r="K458"/>
  <c r="K459"/>
  <c r="K460"/>
  <c r="K461"/>
  <c r="K462"/>
  <c r="K463"/>
  <c r="K464"/>
  <c r="K465"/>
  <c r="K466"/>
  <c r="K467"/>
  <c r="K468"/>
  <c r="K470"/>
  <c r="K471"/>
  <c r="K472"/>
  <c r="K473"/>
  <c r="K474"/>
  <c r="K475"/>
  <c r="K476"/>
  <c r="K477"/>
  <c r="K479"/>
  <c r="K480"/>
  <c r="K487"/>
  <c r="K488"/>
  <c r="K490"/>
  <c r="K491"/>
  <c r="K492"/>
  <c r="K494"/>
  <c r="K495"/>
  <c r="K496"/>
  <c r="K497"/>
  <c r="K498"/>
  <c r="K499"/>
  <c r="K500"/>
  <c r="K501"/>
  <c r="K502"/>
  <c r="K504"/>
  <c r="K505"/>
  <c r="K506"/>
  <c r="K507"/>
  <c r="K519"/>
  <c r="K520"/>
  <c r="K521"/>
  <c r="K522"/>
  <c r="K523"/>
  <c r="K528"/>
  <c r="K529"/>
  <c r="K542"/>
  <c r="K543"/>
  <c r="K544"/>
  <c r="K545"/>
  <c r="K535"/>
  <c r="K536"/>
  <c r="K537"/>
  <c r="K538"/>
  <c r="E551"/>
  <c r="K551" s="1"/>
  <c r="E552"/>
  <c r="K552" s="1"/>
  <c r="E553"/>
  <c r="K553" s="1"/>
  <c r="E554"/>
  <c r="K554" s="1"/>
  <c r="E555"/>
  <c r="K555" s="1"/>
  <c r="E556"/>
  <c r="K556" s="1"/>
  <c r="E557"/>
  <c r="K557" s="1"/>
  <c r="E558"/>
  <c r="K558" s="1"/>
  <c r="E559"/>
  <c r="K559" s="1"/>
  <c r="K560"/>
  <c r="K647"/>
  <c r="K648"/>
  <c r="K650"/>
  <c r="K651"/>
  <c r="K652"/>
  <c r="K654"/>
  <c r="K655"/>
  <c r="K657"/>
  <c r="K658"/>
  <c r="K659"/>
  <c r="K661"/>
  <c r="K662"/>
  <c r="K664"/>
  <c r="K665"/>
  <c r="K666"/>
  <c r="K670"/>
  <c r="K671"/>
  <c r="K672"/>
  <c r="K673"/>
  <c r="K674"/>
  <c r="K675"/>
  <c r="K676"/>
  <c r="K678"/>
  <c r="K679"/>
  <c r="K680"/>
  <c r="K681"/>
  <c r="K682"/>
  <c r="K683"/>
  <c r="K690"/>
  <c r="K691"/>
  <c r="K693"/>
  <c r="K694"/>
  <c r="K695"/>
  <c r="K697"/>
  <c r="K698"/>
  <c r="K700"/>
  <c r="K701"/>
  <c r="K702"/>
  <c r="K704"/>
  <c r="K705"/>
  <c r="K707"/>
  <c r="K708"/>
  <c r="K709"/>
  <c r="K713"/>
  <c r="K714"/>
  <c r="K715"/>
  <c r="K716"/>
  <c r="K717"/>
  <c r="K718"/>
  <c r="K719"/>
  <c r="K721"/>
  <c r="K722"/>
  <c r="K723"/>
  <c r="K724"/>
  <c r="K725"/>
  <c r="K726"/>
  <c r="K737"/>
  <c r="E745"/>
  <c r="K745" s="1"/>
  <c r="E746"/>
  <c r="K746" s="1"/>
  <c r="E748"/>
  <c r="K748" s="1"/>
  <c r="E749"/>
  <c r="K749" s="1"/>
  <c r="E750"/>
  <c r="K750" s="1"/>
  <c r="E752"/>
  <c r="K752" s="1"/>
  <c r="E753"/>
  <c r="K753" s="1"/>
  <c r="E755"/>
  <c r="K755" s="1"/>
  <c r="E756"/>
  <c r="K756" s="1"/>
  <c r="E757"/>
  <c r="K757" s="1"/>
  <c r="K788"/>
  <c r="K791" s="1"/>
  <c r="K794"/>
  <c r="K795"/>
  <c r="K809"/>
  <c r="G86"/>
  <c r="I20" i="3" s="1"/>
  <c r="G170" i="2"/>
  <c r="I21" i="3" s="1"/>
  <c r="G234" i="2"/>
  <c r="I41" i="3" s="1"/>
  <c r="G246" i="2"/>
  <c r="I24" i="3" s="1"/>
  <c r="G281" i="2"/>
  <c r="I25" i="3" s="1"/>
  <c r="G422" i="2"/>
  <c r="I42" i="3" s="1"/>
  <c r="G516" i="2"/>
  <c r="I43" i="3" s="1"/>
  <c r="G525" i="2"/>
  <c r="I44" i="3" s="1"/>
  <c r="G531" i="2"/>
  <c r="I45" i="3" s="1"/>
  <c r="G561" i="2"/>
  <c r="I32" i="3" s="1"/>
  <c r="G800" i="2"/>
  <c r="I47" i="3" s="1"/>
  <c r="E86" i="2"/>
  <c r="E170"/>
  <c r="E234"/>
  <c r="E246"/>
  <c r="E281"/>
  <c r="E422"/>
  <c r="E515"/>
  <c r="E513"/>
  <c r="E525"/>
  <c r="E531"/>
  <c r="E561"/>
  <c r="E791"/>
  <c r="E800"/>
  <c r="Q803"/>
  <c r="Q804"/>
  <c r="Q805"/>
  <c r="Q806"/>
  <c r="Q807"/>
  <c r="Q808"/>
  <c r="Q794"/>
  <c r="Q795"/>
  <c r="G796"/>
  <c r="E796"/>
  <c r="AF795"/>
  <c r="AF794"/>
  <c r="Q788"/>
  <c r="Q791" s="1"/>
  <c r="M48" i="3" s="1"/>
  <c r="G789" i="2"/>
  <c r="AF788"/>
  <c r="K779"/>
  <c r="K780"/>
  <c r="K781"/>
  <c r="K782"/>
  <c r="K783"/>
  <c r="AF778"/>
  <c r="G778"/>
  <c r="M761"/>
  <c r="M772"/>
  <c r="K761"/>
  <c r="K762"/>
  <c r="K764"/>
  <c r="K765"/>
  <c r="K766"/>
  <c r="K768"/>
  <c r="K769"/>
  <c r="K771"/>
  <c r="K772"/>
  <c r="K773"/>
  <c r="Q741"/>
  <c r="Q742" s="1"/>
  <c r="M35" i="3" s="1"/>
  <c r="M742" i="2"/>
  <c r="K35" i="3" s="1"/>
  <c r="K742" i="2"/>
  <c r="G742"/>
  <c r="I35" i="3" s="1"/>
  <c r="E742" i="2"/>
  <c r="Q732"/>
  <c r="G735"/>
  <c r="G736" s="1"/>
  <c r="G734"/>
  <c r="G733"/>
  <c r="N710"/>
  <c r="G604"/>
  <c r="M604" s="1"/>
  <c r="G611"/>
  <c r="M611" s="1"/>
  <c r="G615"/>
  <c r="M615" s="1"/>
  <c r="G618"/>
  <c r="M618" s="1"/>
  <c r="E604"/>
  <c r="K604" s="1"/>
  <c r="E605"/>
  <c r="K605" s="1"/>
  <c r="E607"/>
  <c r="K607" s="1"/>
  <c r="E608"/>
  <c r="K608" s="1"/>
  <c r="E609"/>
  <c r="K609" s="1"/>
  <c r="E611"/>
  <c r="K611" s="1"/>
  <c r="E612"/>
  <c r="K612" s="1"/>
  <c r="E614"/>
  <c r="K614" s="1"/>
  <c r="E615"/>
  <c r="K615" s="1"/>
  <c r="E616"/>
  <c r="K616" s="1"/>
  <c r="E618"/>
  <c r="K618" s="1"/>
  <c r="E619"/>
  <c r="K619" s="1"/>
  <c r="E621"/>
  <c r="K621" s="1"/>
  <c r="E622"/>
  <c r="K622" s="1"/>
  <c r="E623"/>
  <c r="K623" s="1"/>
  <c r="E627"/>
  <c r="K627" s="1"/>
  <c r="E628"/>
  <c r="K628" s="1"/>
  <c r="E629"/>
  <c r="K629" s="1"/>
  <c r="E630"/>
  <c r="K630" s="1"/>
  <c r="E631"/>
  <c r="K631" s="1"/>
  <c r="E632"/>
  <c r="K632" s="1"/>
  <c r="E633"/>
  <c r="K633" s="1"/>
  <c r="E635"/>
  <c r="K635" s="1"/>
  <c r="E636"/>
  <c r="K636" s="1"/>
  <c r="E637"/>
  <c r="K637" s="1"/>
  <c r="E638"/>
  <c r="K638" s="1"/>
  <c r="E639"/>
  <c r="K639" s="1"/>
  <c r="E640"/>
  <c r="K640" s="1"/>
  <c r="K642"/>
  <c r="G642"/>
  <c r="E642"/>
  <c r="O590"/>
  <c r="Q590" s="1"/>
  <c r="M590"/>
  <c r="M593"/>
  <c r="M598"/>
  <c r="K590"/>
  <c r="K591"/>
  <c r="K592"/>
  <c r="K593"/>
  <c r="K594"/>
  <c r="K595"/>
  <c r="K596"/>
  <c r="K597"/>
  <c r="K598"/>
  <c r="O559"/>
  <c r="O598" s="1"/>
  <c r="AF598" s="1"/>
  <c r="O577"/>
  <c r="Q577" s="1"/>
  <c r="M577"/>
  <c r="M585"/>
  <c r="K577"/>
  <c r="K578"/>
  <c r="K579"/>
  <c r="K580"/>
  <c r="K581"/>
  <c r="K582"/>
  <c r="K583"/>
  <c r="K584"/>
  <c r="K585"/>
  <c r="O564"/>
  <c r="Q564" s="1"/>
  <c r="M564"/>
  <c r="M565"/>
  <c r="M568"/>
  <c r="M569"/>
  <c r="M570"/>
  <c r="M572"/>
  <c r="K564"/>
  <c r="K565"/>
  <c r="K566"/>
  <c r="K567"/>
  <c r="K568"/>
  <c r="K569"/>
  <c r="K570"/>
  <c r="K571"/>
  <c r="K572"/>
  <c r="Q551"/>
  <c r="Q560"/>
  <c r="G560"/>
  <c r="E560"/>
  <c r="AF559"/>
  <c r="AD557"/>
  <c r="AF551"/>
  <c r="G514"/>
  <c r="G43" i="3" s="1"/>
  <c r="E514" i="2"/>
  <c r="G513"/>
  <c r="E510"/>
  <c r="E483"/>
  <c r="E440"/>
  <c r="G418"/>
  <c r="E418"/>
  <c r="G317"/>
  <c r="M317" s="1"/>
  <c r="G318"/>
  <c r="M318" s="1"/>
  <c r="E317"/>
  <c r="K317" s="1"/>
  <c r="E318"/>
  <c r="K318" s="1"/>
  <c r="E319"/>
  <c r="K319" s="1"/>
  <c r="E320"/>
  <c r="K320" s="1"/>
  <c r="K321"/>
  <c r="G321"/>
  <c r="E321"/>
  <c r="E322"/>
  <c r="M306"/>
  <c r="M307"/>
  <c r="M311"/>
  <c r="K306"/>
  <c r="K307"/>
  <c r="K308"/>
  <c r="K309"/>
  <c r="K310"/>
  <c r="K311"/>
  <c r="K312"/>
  <c r="M295"/>
  <c r="M296"/>
  <c r="K295"/>
  <c r="K296"/>
  <c r="K297"/>
  <c r="K298"/>
  <c r="K299"/>
  <c r="K300"/>
  <c r="K301"/>
  <c r="M284"/>
  <c r="M285"/>
  <c r="M288"/>
  <c r="K284"/>
  <c r="K285"/>
  <c r="K286"/>
  <c r="K287"/>
  <c r="K288"/>
  <c r="K289"/>
  <c r="K290"/>
  <c r="G280"/>
  <c r="E280"/>
  <c r="M261"/>
  <c r="K261"/>
  <c r="K262"/>
  <c r="K263"/>
  <c r="K264"/>
  <c r="K265"/>
  <c r="K266"/>
  <c r="K267"/>
  <c r="K268"/>
  <c r="M249"/>
  <c r="M250"/>
  <c r="M251"/>
  <c r="K249"/>
  <c r="K250"/>
  <c r="K251"/>
  <c r="K252"/>
  <c r="K253"/>
  <c r="K254"/>
  <c r="K255"/>
  <c r="K256"/>
  <c r="AD246"/>
  <c r="G245"/>
  <c r="E245"/>
  <c r="G230"/>
  <c r="E230"/>
  <c r="M185"/>
  <c r="M186"/>
  <c r="K185"/>
  <c r="K186"/>
  <c r="K187"/>
  <c r="K188"/>
  <c r="K189"/>
  <c r="K190"/>
  <c r="K191"/>
  <c r="K192"/>
  <c r="M173"/>
  <c r="M174"/>
  <c r="M175"/>
  <c r="M178"/>
  <c r="K173"/>
  <c r="K174"/>
  <c r="K175"/>
  <c r="K176"/>
  <c r="K177"/>
  <c r="K178"/>
  <c r="K179"/>
  <c r="K180"/>
  <c r="AD170"/>
  <c r="G169"/>
  <c r="E169"/>
  <c r="G125"/>
  <c r="M125" s="1"/>
  <c r="G126"/>
  <c r="M126" s="1"/>
  <c r="G132"/>
  <c r="M132" s="1"/>
  <c r="E125"/>
  <c r="K125" s="1"/>
  <c r="E126"/>
  <c r="K126" s="1"/>
  <c r="E127"/>
  <c r="K127" s="1"/>
  <c r="E128"/>
  <c r="K128" s="1"/>
  <c r="E130"/>
  <c r="K130" s="1"/>
  <c r="E131"/>
  <c r="K131" s="1"/>
  <c r="E132"/>
  <c r="K132" s="1"/>
  <c r="K133"/>
  <c r="G133"/>
  <c r="E129"/>
  <c r="E133"/>
  <c r="M113"/>
  <c r="M120"/>
  <c r="K113"/>
  <c r="K114"/>
  <c r="K115"/>
  <c r="K116"/>
  <c r="K118"/>
  <c r="K119"/>
  <c r="K120"/>
  <c r="M101"/>
  <c r="M108"/>
  <c r="K101"/>
  <c r="K102"/>
  <c r="K103"/>
  <c r="K104"/>
  <c r="K106"/>
  <c r="K107"/>
  <c r="K108"/>
  <c r="M89"/>
  <c r="M90"/>
  <c r="M96"/>
  <c r="K89"/>
  <c r="K90"/>
  <c r="K91"/>
  <c r="K92"/>
  <c r="K94"/>
  <c r="K95"/>
  <c r="K96"/>
  <c r="E93"/>
  <c r="E81" s="1"/>
  <c r="G85"/>
  <c r="E85"/>
  <c r="AD74"/>
  <c r="O59"/>
  <c r="Q59" s="1"/>
  <c r="O60"/>
  <c r="Q60" s="1"/>
  <c r="AC61"/>
  <c r="O61" s="1"/>
  <c r="Q61" s="1"/>
  <c r="AC62"/>
  <c r="O62" s="1"/>
  <c r="G71"/>
  <c r="O25"/>
  <c r="O27" s="1"/>
  <c r="O26"/>
  <c r="AF60"/>
  <c r="G52"/>
  <c r="O42"/>
  <c r="Q42" s="1"/>
  <c r="O43"/>
  <c r="Q43" s="1"/>
  <c r="AD53"/>
  <c r="O49"/>
  <c r="AF49" s="1"/>
  <c r="AF42"/>
  <c r="Q25"/>
  <c r="AF20"/>
  <c r="AF19"/>
  <c r="AD27"/>
  <c r="Z39" i="4" s="1"/>
  <c r="A18" s="1"/>
  <c r="G29" i="2"/>
  <c r="G21"/>
  <c r="M21" s="1"/>
  <c r="G22"/>
  <c r="M22" s="1"/>
  <c r="G23"/>
  <c r="M23" s="1"/>
  <c r="G24"/>
  <c r="M24" s="1"/>
  <c r="AC43" i="4"/>
  <c r="AB44"/>
  <c r="AB43"/>
  <c r="Z21"/>
  <c r="Q31" s="1"/>
  <c r="AE33" s="1"/>
  <c r="AA44"/>
  <c r="AA43"/>
  <c r="Z44"/>
  <c r="Z43"/>
  <c r="Z13"/>
  <c r="Z14"/>
  <c r="Z15"/>
  <c r="Z30"/>
  <c r="Z24"/>
  <c r="Z23"/>
  <c r="AA12"/>
  <c r="E31" s="1"/>
  <c r="Z12"/>
  <c r="C31" s="1"/>
  <c r="AA29"/>
  <c r="AA30"/>
  <c r="AB30" s="1"/>
  <c r="AB29"/>
  <c r="AA23"/>
  <c r="AB23" s="1"/>
  <c r="AA16"/>
  <c r="AA22" s="1"/>
  <c r="Z16"/>
  <c r="Z22" s="1"/>
  <c r="AB18"/>
  <c r="AA17"/>
  <c r="AB17"/>
  <c r="K35" i="1"/>
  <c r="O35" s="1"/>
  <c r="V35" s="1"/>
  <c r="K48"/>
  <c r="O48" s="1"/>
  <c r="V48" s="1"/>
  <c r="Q41"/>
  <c r="Q42"/>
  <c r="Q43"/>
  <c r="Q44"/>
  <c r="O37"/>
  <c r="V37" s="1"/>
  <c r="O17"/>
  <c r="M17"/>
  <c r="I41"/>
  <c r="I42"/>
  <c r="I43"/>
  <c r="I44"/>
  <c r="I45"/>
  <c r="I20"/>
  <c r="I21"/>
  <c r="I24"/>
  <c r="I25"/>
  <c r="I28"/>
  <c r="I29"/>
  <c r="I31"/>
  <c r="I32"/>
  <c r="I34"/>
  <c r="I35"/>
  <c r="I16"/>
  <c r="G42"/>
  <c r="G43"/>
  <c r="G44"/>
  <c r="G45"/>
  <c r="G28"/>
  <c r="G29"/>
  <c r="G18"/>
  <c r="A16"/>
  <c r="A17" s="1"/>
  <c r="O49"/>
  <c r="M49"/>
  <c r="U49" s="1"/>
  <c r="I47"/>
  <c r="I48"/>
  <c r="V49"/>
  <c r="N38"/>
  <c r="N39" s="1"/>
  <c r="L38"/>
  <c r="L39" s="1"/>
  <c r="G27"/>
  <c r="G23"/>
  <c r="V17"/>
  <c r="U17"/>
  <c r="E12"/>
  <c r="G12"/>
  <c r="I12" s="1"/>
  <c r="I15"/>
  <c r="AB15" i="5" l="1"/>
  <c r="Q19"/>
  <c r="AE19" s="1"/>
  <c r="G38" i="3"/>
  <c r="G39" s="1"/>
  <c r="E30" i="4"/>
  <c r="E10" i="5"/>
  <c r="G10" s="1"/>
  <c r="E19" i="4"/>
  <c r="E27"/>
  <c r="AB21" i="5"/>
  <c r="G30" i="3"/>
  <c r="G11" i="5"/>
  <c r="I22"/>
  <c r="I30" i="3"/>
  <c r="I12" i="5"/>
  <c r="AC12" s="1"/>
  <c r="AB14"/>
  <c r="Q10" i="4"/>
  <c r="AE10" s="1"/>
  <c r="E18"/>
  <c r="E29"/>
  <c r="G46" i="3"/>
  <c r="Q10" i="5"/>
  <c r="AE10" s="1"/>
  <c r="Q11"/>
  <c r="AE11" s="1"/>
  <c r="I13"/>
  <c r="AC13" s="1"/>
  <c r="Q14"/>
  <c r="AE14" s="1"/>
  <c r="Q21"/>
  <c r="AE21" s="1"/>
  <c r="E15" i="4"/>
  <c r="C28"/>
  <c r="I10" i="5"/>
  <c r="AC10" s="1"/>
  <c r="I11"/>
  <c r="AC11" s="1"/>
  <c r="Q15"/>
  <c r="AE15" s="1"/>
  <c r="AB22"/>
  <c r="E12"/>
  <c r="AC22"/>
  <c r="AE12"/>
  <c r="C29"/>
  <c r="C27"/>
  <c r="C26"/>
  <c r="C31"/>
  <c r="C30"/>
  <c r="C28"/>
  <c r="C25"/>
  <c r="C24"/>
  <c r="C23"/>
  <c r="C22"/>
  <c r="C21"/>
  <c r="C20"/>
  <c r="C19"/>
  <c r="C18"/>
  <c r="C17"/>
  <c r="AB12"/>
  <c r="Z20"/>
  <c r="AB20" s="1"/>
  <c r="C16"/>
  <c r="C15"/>
  <c r="C14"/>
  <c r="C13"/>
  <c r="G13" s="1"/>
  <c r="C12"/>
  <c r="G12" s="1"/>
  <c r="E31"/>
  <c r="G31" s="1"/>
  <c r="E30"/>
  <c r="E28"/>
  <c r="G28" s="1"/>
  <c r="E25"/>
  <c r="E24"/>
  <c r="G24" s="1"/>
  <c r="E23"/>
  <c r="E29"/>
  <c r="G29" s="1"/>
  <c r="E27"/>
  <c r="E26"/>
  <c r="G26" s="1"/>
  <c r="E17"/>
  <c r="Q17"/>
  <c r="AC17"/>
  <c r="E18"/>
  <c r="I18"/>
  <c r="Q18"/>
  <c r="E19"/>
  <c r="I19"/>
  <c r="E20"/>
  <c r="G20" s="1"/>
  <c r="I20"/>
  <c r="AF20"/>
  <c r="E21"/>
  <c r="I21"/>
  <c r="Q31"/>
  <c r="Q30"/>
  <c r="Q28"/>
  <c r="Q25"/>
  <c r="Q24"/>
  <c r="Q23"/>
  <c r="Q29"/>
  <c r="Q27"/>
  <c r="Q26"/>
  <c r="E22"/>
  <c r="Q22"/>
  <c r="Z46"/>
  <c r="AB46"/>
  <c r="I31"/>
  <c r="I30"/>
  <c r="I28"/>
  <c r="I25"/>
  <c r="I24"/>
  <c r="I23"/>
  <c r="I29"/>
  <c r="I27"/>
  <c r="I26"/>
  <c r="E14"/>
  <c r="G14" s="1"/>
  <c r="I14"/>
  <c r="E15"/>
  <c r="G15" s="1"/>
  <c r="I15"/>
  <c r="E16"/>
  <c r="I16"/>
  <c r="AB16"/>
  <c r="AA46"/>
  <c r="AC46"/>
  <c r="AA30"/>
  <c r="Z45"/>
  <c r="AB45"/>
  <c r="I16" i="4"/>
  <c r="AC16" s="1"/>
  <c r="K292" i="2"/>
  <c r="K727"/>
  <c r="K540"/>
  <c r="I13" i="4"/>
  <c r="AC13" s="1"/>
  <c r="E23"/>
  <c r="E25"/>
  <c r="I31"/>
  <c r="AC33" s="1"/>
  <c r="AF59" i="2"/>
  <c r="K270"/>
  <c r="O585"/>
  <c r="AF585" s="1"/>
  <c r="K600"/>
  <c r="K710"/>
  <c r="G592"/>
  <c r="M592" s="1"/>
  <c r="G505"/>
  <c r="M505" s="1"/>
  <c r="G335"/>
  <c r="M335" s="1"/>
  <c r="G297"/>
  <c r="M297" s="1"/>
  <c r="G255"/>
  <c r="M255" s="1"/>
  <c r="I18" i="4"/>
  <c r="K314" i="2"/>
  <c r="M37" i="1"/>
  <c r="U37" s="1"/>
  <c r="I12" i="4"/>
  <c r="AC12" s="1"/>
  <c r="C14"/>
  <c r="C16"/>
  <c r="C17"/>
  <c r="C20"/>
  <c r="O572" i="2"/>
  <c r="AF572" s="1"/>
  <c r="E516"/>
  <c r="K796"/>
  <c r="K800" s="1"/>
  <c r="K368"/>
  <c r="G682"/>
  <c r="G496"/>
  <c r="M496" s="1"/>
  <c r="G430"/>
  <c r="M430" s="1"/>
  <c r="G179"/>
  <c r="M179" s="1"/>
  <c r="G177"/>
  <c r="M177" s="1"/>
  <c r="G94"/>
  <c r="M94" s="1"/>
  <c r="C21" i="4"/>
  <c r="K230" i="2"/>
  <c r="K234" s="1"/>
  <c r="K146"/>
  <c r="K74"/>
  <c r="K32"/>
  <c r="G180"/>
  <c r="M180" s="1"/>
  <c r="I18" i="1"/>
  <c r="E10" i="4"/>
  <c r="E12"/>
  <c r="E13"/>
  <c r="I15"/>
  <c r="AC15" s="1"/>
  <c r="AB16"/>
  <c r="I19"/>
  <c r="AC19" s="1"/>
  <c r="AA20"/>
  <c r="E22"/>
  <c r="I24"/>
  <c r="AC25" s="1"/>
  <c r="I29"/>
  <c r="AC31" s="1"/>
  <c r="K303" i="2"/>
  <c r="AF590"/>
  <c r="E643"/>
  <c r="K364"/>
  <c r="K330"/>
  <c r="K158"/>
  <c r="K55"/>
  <c r="M809"/>
  <c r="G769"/>
  <c r="M769" s="1"/>
  <c r="G766"/>
  <c r="M736"/>
  <c r="Q736" s="1"/>
  <c r="G679"/>
  <c r="M679" s="1"/>
  <c r="G665"/>
  <c r="M665" s="1"/>
  <c r="G655"/>
  <c r="G652"/>
  <c r="G567"/>
  <c r="M567" s="1"/>
  <c r="G566"/>
  <c r="M566" s="1"/>
  <c r="E548"/>
  <c r="G476"/>
  <c r="M476" s="1"/>
  <c r="G472"/>
  <c r="M472" s="1"/>
  <c r="G467"/>
  <c r="M467" s="1"/>
  <c r="G463"/>
  <c r="M463" s="1"/>
  <c r="G459"/>
  <c r="M459" s="1"/>
  <c r="G455"/>
  <c r="M455" s="1"/>
  <c r="G450"/>
  <c r="M450" s="1"/>
  <c r="G445"/>
  <c r="M445" s="1"/>
  <c r="G437"/>
  <c r="M437" s="1"/>
  <c r="G433"/>
  <c r="M433" s="1"/>
  <c r="G428"/>
  <c r="M428" s="1"/>
  <c r="G253"/>
  <c r="M253" s="1"/>
  <c r="G91"/>
  <c r="M91" s="1"/>
  <c r="C24" i="4"/>
  <c r="I26"/>
  <c r="AC27" s="1"/>
  <c r="O68" i="2"/>
  <c r="AC44" i="4"/>
  <c r="M650" i="2"/>
  <c r="G607"/>
  <c r="M607" s="1"/>
  <c r="G38" i="1"/>
  <c r="G39" s="1"/>
  <c r="I46"/>
  <c r="C26" i="4"/>
  <c r="I28"/>
  <c r="AC30" s="1"/>
  <c r="I30"/>
  <c r="AC32" s="1"/>
  <c r="Z45"/>
  <c r="K170" i="2"/>
  <c r="K86"/>
  <c r="AB46" i="4"/>
  <c r="G30" i="2"/>
  <c r="G28" s="1"/>
  <c r="K258"/>
  <c r="Q585"/>
  <c r="K531"/>
  <c r="K438"/>
  <c r="K440" s="1"/>
  <c r="K352"/>
  <c r="M734"/>
  <c r="Q734" s="1"/>
  <c r="G680"/>
  <c r="G678"/>
  <c r="M678" s="1"/>
  <c r="G683"/>
  <c r="G681"/>
  <c r="G675"/>
  <c r="G674"/>
  <c r="G673"/>
  <c r="G672"/>
  <c r="G671"/>
  <c r="G670"/>
  <c r="G666"/>
  <c r="M666" s="1"/>
  <c r="G664"/>
  <c r="M664" s="1"/>
  <c r="G659"/>
  <c r="G657"/>
  <c r="G559"/>
  <c r="G583"/>
  <c r="G591"/>
  <c r="M591" s="1"/>
  <c r="G594"/>
  <c r="G596"/>
  <c r="M596" s="1"/>
  <c r="G500"/>
  <c r="M500" s="1"/>
  <c r="G114"/>
  <c r="M114" s="1"/>
  <c r="G115"/>
  <c r="M115" s="1"/>
  <c r="G118"/>
  <c r="M118" s="1"/>
  <c r="K481"/>
  <c r="K483" s="1"/>
  <c r="K348"/>
  <c r="G648"/>
  <c r="G651"/>
  <c r="G578"/>
  <c r="M578" s="1"/>
  <c r="G579"/>
  <c r="M579" s="1"/>
  <c r="G580"/>
  <c r="M580" s="1"/>
  <c r="G582"/>
  <c r="M582" s="1"/>
  <c r="G487"/>
  <c r="M487" s="1"/>
  <c r="G488"/>
  <c r="M488" s="1"/>
  <c r="G494"/>
  <c r="M494" s="1"/>
  <c r="G498"/>
  <c r="M498" s="1"/>
  <c r="G502"/>
  <c r="M502" s="1"/>
  <c r="G507"/>
  <c r="M507" s="1"/>
  <c r="G176"/>
  <c r="M176" s="1"/>
  <c r="M182" s="1"/>
  <c r="G119"/>
  <c r="M119" s="1"/>
  <c r="G555"/>
  <c r="M555" s="1"/>
  <c r="M531"/>
  <c r="G436"/>
  <c r="M436" s="1"/>
  <c r="G434"/>
  <c r="M434" s="1"/>
  <c r="G431"/>
  <c r="M431" s="1"/>
  <c r="G429"/>
  <c r="M429" s="1"/>
  <c r="G364"/>
  <c r="G348"/>
  <c r="G336"/>
  <c r="M336" s="1"/>
  <c r="G309"/>
  <c r="M309" s="1"/>
  <c r="G48"/>
  <c r="M48" s="1"/>
  <c r="M20"/>
  <c r="I18" i="3"/>
  <c r="K322" i="2"/>
  <c r="AF68"/>
  <c r="Q68"/>
  <c r="AB22" i="4"/>
  <c r="K122" i="2"/>
  <c r="K587"/>
  <c r="K624"/>
  <c r="K774"/>
  <c r="K784"/>
  <c r="Q809"/>
  <c r="E758"/>
  <c r="E811"/>
  <c r="G46" i="1"/>
  <c r="G52" s="1"/>
  <c r="G30"/>
  <c r="I30"/>
  <c r="M48"/>
  <c r="U48" s="1"/>
  <c r="Q18" i="4"/>
  <c r="AE18" s="1"/>
  <c r="I10"/>
  <c r="AC10" s="1"/>
  <c r="C11"/>
  <c r="I11"/>
  <c r="AC11" s="1"/>
  <c r="Q11"/>
  <c r="AE11" s="1"/>
  <c r="Q13"/>
  <c r="AE13" s="1"/>
  <c r="Q15"/>
  <c r="AE15" s="1"/>
  <c r="Q16"/>
  <c r="AE16" s="1"/>
  <c r="Q19"/>
  <c r="AE19" s="1"/>
  <c r="Q24"/>
  <c r="AE25" s="1"/>
  <c r="Q26"/>
  <c r="AE27" s="1"/>
  <c r="Q29"/>
  <c r="AE31" s="1"/>
  <c r="Q30"/>
  <c r="AE32" s="1"/>
  <c r="Q28"/>
  <c r="AE30" s="1"/>
  <c r="I14"/>
  <c r="AC14" s="1"/>
  <c r="Z46"/>
  <c r="AB45"/>
  <c r="AF26" i="2"/>
  <c r="AF43"/>
  <c r="Q49"/>
  <c r="O48"/>
  <c r="K98"/>
  <c r="K110"/>
  <c r="E134"/>
  <c r="Q572"/>
  <c r="K574"/>
  <c r="Q598"/>
  <c r="K758"/>
  <c r="K729"/>
  <c r="K684"/>
  <c r="Q733"/>
  <c r="Q796"/>
  <c r="Q800" s="1"/>
  <c r="M47" i="3" s="1"/>
  <c r="S47" s="1"/>
  <c r="K667" i="2"/>
  <c r="K547"/>
  <c r="K548" s="1"/>
  <c r="K508"/>
  <c r="K418"/>
  <c r="K422" s="1"/>
  <c r="G771"/>
  <c r="G764"/>
  <c r="M735"/>
  <c r="Q735" s="1"/>
  <c r="G571"/>
  <c r="M571" s="1"/>
  <c r="M574" s="1"/>
  <c r="G506"/>
  <c r="M506" s="1"/>
  <c r="G504"/>
  <c r="M504" s="1"/>
  <c r="G501"/>
  <c r="M501" s="1"/>
  <c r="G499"/>
  <c r="M499" s="1"/>
  <c r="G497"/>
  <c r="M497" s="1"/>
  <c r="G495"/>
  <c r="M495" s="1"/>
  <c r="G492"/>
  <c r="M492" s="1"/>
  <c r="G490"/>
  <c r="M490" s="1"/>
  <c r="G480"/>
  <c r="M480" s="1"/>
  <c r="G477"/>
  <c r="M477" s="1"/>
  <c r="G475"/>
  <c r="M475" s="1"/>
  <c r="G473"/>
  <c r="M473" s="1"/>
  <c r="G471"/>
  <c r="M471" s="1"/>
  <c r="G468"/>
  <c r="M468" s="1"/>
  <c r="G466"/>
  <c r="M466" s="1"/>
  <c r="G464"/>
  <c r="M464" s="1"/>
  <c r="G462"/>
  <c r="M462" s="1"/>
  <c r="G460"/>
  <c r="M460" s="1"/>
  <c r="G458"/>
  <c r="M458" s="1"/>
  <c r="G456"/>
  <c r="M456" s="1"/>
  <c r="G454"/>
  <c r="M454" s="1"/>
  <c r="G451"/>
  <c r="M451" s="1"/>
  <c r="G449"/>
  <c r="M449" s="1"/>
  <c r="G446"/>
  <c r="M446" s="1"/>
  <c r="G299"/>
  <c r="M299" s="1"/>
  <c r="G286"/>
  <c r="M286" s="1"/>
  <c r="G254"/>
  <c r="G252"/>
  <c r="M252" s="1"/>
  <c r="G84"/>
  <c r="M84" s="1"/>
  <c r="G67"/>
  <c r="M67" s="1"/>
  <c r="M50"/>
  <c r="Q20"/>
  <c r="U25"/>
  <c r="K525"/>
  <c r="K370"/>
  <c r="K338"/>
  <c r="M418"/>
  <c r="M422" s="1"/>
  <c r="M230"/>
  <c r="M234" s="1"/>
  <c r="G50" i="1"/>
  <c r="G51" s="1"/>
  <c r="K12"/>
  <c r="G31" i="4"/>
  <c r="I50" i="1"/>
  <c r="AC18" i="4"/>
  <c r="AA39"/>
  <c r="AE39" s="1"/>
  <c r="A18" i="1"/>
  <c r="M12"/>
  <c r="A20"/>
  <c r="M35"/>
  <c r="C10" i="4"/>
  <c r="G10" s="1"/>
  <c r="E11"/>
  <c r="G11" s="1"/>
  <c r="C12"/>
  <c r="AB12"/>
  <c r="Q12"/>
  <c r="C13"/>
  <c r="E14"/>
  <c r="G14" s="1"/>
  <c r="Q14"/>
  <c r="C15"/>
  <c r="G15" s="1"/>
  <c r="E16"/>
  <c r="G16" s="1"/>
  <c r="E17"/>
  <c r="C18"/>
  <c r="G18" s="1"/>
  <c r="C19"/>
  <c r="G19" s="1"/>
  <c r="E20"/>
  <c r="Z20"/>
  <c r="AB20" s="1"/>
  <c r="E21"/>
  <c r="I21"/>
  <c r="Q21"/>
  <c r="C22"/>
  <c r="G22" s="1"/>
  <c r="I22"/>
  <c r="Q22"/>
  <c r="C23"/>
  <c r="E24"/>
  <c r="AA24"/>
  <c r="AB24" s="1"/>
  <c r="I23"/>
  <c r="Q23"/>
  <c r="C25"/>
  <c r="G25" s="1"/>
  <c r="E26"/>
  <c r="I25"/>
  <c r="Q25"/>
  <c r="C27"/>
  <c r="G27" s="1"/>
  <c r="E28"/>
  <c r="I27"/>
  <c r="Q27"/>
  <c r="C29"/>
  <c r="C30"/>
  <c r="G30" s="1"/>
  <c r="O69" i="2"/>
  <c r="Q27"/>
  <c r="AF27"/>
  <c r="AF62"/>
  <c r="K134"/>
  <c r="AF25"/>
  <c r="AF48"/>
  <c r="AF61"/>
  <c r="O67"/>
  <c r="K182"/>
  <c r="K641"/>
  <c r="K643" s="1"/>
  <c r="K281"/>
  <c r="M796"/>
  <c r="M800" s="1"/>
  <c r="G746"/>
  <c r="M746" s="1"/>
  <c r="M762"/>
  <c r="K194"/>
  <c r="K561"/>
  <c r="K513"/>
  <c r="K516" s="1"/>
  <c r="K510"/>
  <c r="K246"/>
  <c r="AF564"/>
  <c r="AF577"/>
  <c r="G782"/>
  <c r="G781"/>
  <c r="G780"/>
  <c r="G768"/>
  <c r="G765"/>
  <c r="G584"/>
  <c r="M584" s="1"/>
  <c r="G540"/>
  <c r="M438"/>
  <c r="G362"/>
  <c r="M362" s="1"/>
  <c r="G368"/>
  <c r="G367" s="1"/>
  <c r="M367" s="1"/>
  <c r="M368" s="1"/>
  <c r="G346"/>
  <c r="M346" s="1"/>
  <c r="G352"/>
  <c r="G351" s="1"/>
  <c r="M351" s="1"/>
  <c r="M352" s="1"/>
  <c r="M338"/>
  <c r="G274"/>
  <c r="M274" s="1"/>
  <c r="G50" i="3"/>
  <c r="G51" s="1"/>
  <c r="G52"/>
  <c r="O35"/>
  <c r="Q35" s="1"/>
  <c r="S35"/>
  <c r="O48"/>
  <c r="Q48" s="1"/>
  <c r="S48"/>
  <c r="I46"/>
  <c r="G705" i="2"/>
  <c r="G707"/>
  <c r="G708"/>
  <c r="G709"/>
  <c r="G721"/>
  <c r="G722"/>
  <c r="G556"/>
  <c r="M556" s="1"/>
  <c r="G554"/>
  <c r="M554" s="1"/>
  <c r="G552"/>
  <c r="M552" s="1"/>
  <c r="M525"/>
  <c r="M508"/>
  <c r="M510" s="1"/>
  <c r="M481"/>
  <c r="M483" s="1"/>
  <c r="G262"/>
  <c r="G263"/>
  <c r="M263" s="1"/>
  <c r="G264"/>
  <c r="M264" s="1"/>
  <c r="G103"/>
  <c r="M103" s="1"/>
  <c r="G106"/>
  <c r="M106" s="1"/>
  <c r="G102"/>
  <c r="M102" s="1"/>
  <c r="G104"/>
  <c r="M104" s="1"/>
  <c r="G44"/>
  <c r="G45"/>
  <c r="M45" s="1"/>
  <c r="G46"/>
  <c r="M46" s="1"/>
  <c r="G47"/>
  <c r="U22"/>
  <c r="G361"/>
  <c r="M361" s="1"/>
  <c r="G345"/>
  <c r="M345" s="1"/>
  <c r="G327"/>
  <c r="G300"/>
  <c r="G289"/>
  <c r="G310"/>
  <c r="G277" s="1"/>
  <c r="M277" s="1"/>
  <c r="G298"/>
  <c r="M298" s="1"/>
  <c r="G287"/>
  <c r="G308"/>
  <c r="M308" s="1"/>
  <c r="G267"/>
  <c r="G266"/>
  <c r="G265"/>
  <c r="G162"/>
  <c r="M162" s="1"/>
  <c r="G82"/>
  <c r="M82" s="1"/>
  <c r="U23"/>
  <c r="U24"/>
  <c r="U19"/>
  <c r="A21" i="3"/>
  <c r="G154" i="2"/>
  <c r="G152"/>
  <c r="M152" s="1"/>
  <c r="G151"/>
  <c r="M151" s="1"/>
  <c r="G142"/>
  <c r="G140"/>
  <c r="G139"/>
  <c r="G191"/>
  <c r="G190"/>
  <c r="G189"/>
  <c r="G188"/>
  <c r="G187"/>
  <c r="G95"/>
  <c r="G116"/>
  <c r="M116" s="1"/>
  <c r="M122" s="1"/>
  <c r="G92"/>
  <c r="G66"/>
  <c r="M66" s="1"/>
  <c r="G65"/>
  <c r="M65" s="1"/>
  <c r="G64"/>
  <c r="M64" s="1"/>
  <c r="G63"/>
  <c r="G62"/>
  <c r="M62" s="1"/>
  <c r="G26"/>
  <c r="M19"/>
  <c r="K12" i="3"/>
  <c r="O12"/>
  <c r="Q13" s="1"/>
  <c r="M12"/>
  <c r="G22" i="5" l="1"/>
  <c r="G16"/>
  <c r="S48" i="1"/>
  <c r="G23" i="4"/>
  <c r="G20"/>
  <c r="G13"/>
  <c r="G29"/>
  <c r="G24"/>
  <c r="G17"/>
  <c r="G12"/>
  <c r="G28"/>
  <c r="G26"/>
  <c r="G21"/>
  <c r="G25" i="5"/>
  <c r="G21"/>
  <c r="G17"/>
  <c r="G23"/>
  <c r="G30"/>
  <c r="G19"/>
  <c r="G27"/>
  <c r="G18"/>
  <c r="S25"/>
  <c r="S30"/>
  <c r="W30" s="1"/>
  <c r="S26"/>
  <c r="W26" s="1"/>
  <c r="S29"/>
  <c r="W29" s="1"/>
  <c r="AC27"/>
  <c r="AC31"/>
  <c r="AC25"/>
  <c r="AC30"/>
  <c r="AC33"/>
  <c r="AE28"/>
  <c r="AE24"/>
  <c r="AE26"/>
  <c r="W25"/>
  <c r="AE32"/>
  <c r="AC21"/>
  <c r="AC19"/>
  <c r="AE18"/>
  <c r="AA38"/>
  <c r="AE38" s="1"/>
  <c r="AE17"/>
  <c r="AB30"/>
  <c r="S21"/>
  <c r="S19"/>
  <c r="S16"/>
  <c r="S15"/>
  <c r="S14"/>
  <c r="S13"/>
  <c r="S12"/>
  <c r="S11"/>
  <c r="S10"/>
  <c r="S23"/>
  <c r="S22"/>
  <c r="W22" s="1"/>
  <c r="S24"/>
  <c r="W24" s="1"/>
  <c r="S28"/>
  <c r="S31"/>
  <c r="S27"/>
  <c r="W27" s="1"/>
  <c r="S17"/>
  <c r="W17" s="1"/>
  <c r="AC16"/>
  <c r="AC15"/>
  <c r="AC14"/>
  <c r="AC28"/>
  <c r="AC24"/>
  <c r="AC26"/>
  <c r="AC32"/>
  <c r="AE22"/>
  <c r="AE27"/>
  <c r="AE31"/>
  <c r="AE25"/>
  <c r="AE30"/>
  <c r="W28"/>
  <c r="AE33"/>
  <c r="W31"/>
  <c r="AA37"/>
  <c r="AE37" s="1"/>
  <c r="AC20"/>
  <c r="AA39"/>
  <c r="AE39" s="1"/>
  <c r="AC18"/>
  <c r="S18"/>
  <c r="W18" s="1"/>
  <c r="G78" i="2"/>
  <c r="M78" s="1"/>
  <c r="M682"/>
  <c r="G639"/>
  <c r="M639" s="1"/>
  <c r="G79"/>
  <c r="M79" s="1"/>
  <c r="M655"/>
  <c r="G612"/>
  <c r="M612" s="1"/>
  <c r="G750"/>
  <c r="M750" s="1"/>
  <c r="M766"/>
  <c r="M652"/>
  <c r="G609"/>
  <c r="M609" s="1"/>
  <c r="M651"/>
  <c r="G608"/>
  <c r="M608" s="1"/>
  <c r="G597"/>
  <c r="M597" s="1"/>
  <c r="M594"/>
  <c r="G557"/>
  <c r="M557" s="1"/>
  <c r="M583"/>
  <c r="M657"/>
  <c r="G614"/>
  <c r="M614" s="1"/>
  <c r="M670"/>
  <c r="G627"/>
  <c r="M627" s="1"/>
  <c r="M672"/>
  <c r="G629"/>
  <c r="M629" s="1"/>
  <c r="M674"/>
  <c r="G676"/>
  <c r="G631"/>
  <c r="M681"/>
  <c r="G638"/>
  <c r="M638" s="1"/>
  <c r="M587"/>
  <c r="K686"/>
  <c r="Q737"/>
  <c r="M34" i="3" s="1"/>
  <c r="S34" s="1"/>
  <c r="K45"/>
  <c r="K45" i="1"/>
  <c r="G553" i="2"/>
  <c r="M553" s="1"/>
  <c r="M648"/>
  <c r="G605"/>
  <c r="M605" s="1"/>
  <c r="M600"/>
  <c r="M559"/>
  <c r="Q559"/>
  <c r="M659"/>
  <c r="G616"/>
  <c r="M616" s="1"/>
  <c r="M671"/>
  <c r="G628"/>
  <c r="M628" s="1"/>
  <c r="M673"/>
  <c r="G630"/>
  <c r="M630" s="1"/>
  <c r="M675"/>
  <c r="G632"/>
  <c r="M632" s="1"/>
  <c r="M683"/>
  <c r="G640"/>
  <c r="M640" s="1"/>
  <c r="M680"/>
  <c r="G637"/>
  <c r="M637" s="1"/>
  <c r="K354"/>
  <c r="K811" s="1"/>
  <c r="G107"/>
  <c r="M107" s="1"/>
  <c r="M110" s="1"/>
  <c r="G558"/>
  <c r="M558" s="1"/>
  <c r="K41" i="3"/>
  <c r="K41" i="1"/>
  <c r="O41" s="1"/>
  <c r="V41" s="1"/>
  <c r="G748" i="2"/>
  <c r="M748" s="1"/>
  <c r="M764"/>
  <c r="M737"/>
  <c r="O50"/>
  <c r="Q48"/>
  <c r="M561"/>
  <c r="K32" i="3" s="1"/>
  <c r="K42"/>
  <c r="K42" i="1"/>
  <c r="G256" i="2"/>
  <c r="M256" s="1"/>
  <c r="M254"/>
  <c r="G773"/>
  <c r="M773" s="1"/>
  <c r="M771"/>
  <c r="K32" i="1"/>
  <c r="O13" i="3"/>
  <c r="S13"/>
  <c r="M26" i="2"/>
  <c r="M32" s="1"/>
  <c r="Q26"/>
  <c r="M63"/>
  <c r="M74" s="1"/>
  <c r="G72"/>
  <c r="G70" s="1"/>
  <c r="G80"/>
  <c r="M80" s="1"/>
  <c r="M92"/>
  <c r="G83"/>
  <c r="M83" s="1"/>
  <c r="G93"/>
  <c r="G81" s="1"/>
  <c r="M95"/>
  <c r="G164"/>
  <c r="M164" s="1"/>
  <c r="M188"/>
  <c r="G166"/>
  <c r="M166" s="1"/>
  <c r="M190"/>
  <c r="M139"/>
  <c r="G127"/>
  <c r="M127" s="1"/>
  <c r="G143"/>
  <c r="G141" s="1"/>
  <c r="M142"/>
  <c r="G130"/>
  <c r="M130" s="1"/>
  <c r="A22" i="3"/>
  <c r="G268" i="2"/>
  <c r="G242"/>
  <c r="M242" s="1"/>
  <c r="M266"/>
  <c r="G278"/>
  <c r="M278" s="1"/>
  <c r="G290"/>
  <c r="M289"/>
  <c r="G328"/>
  <c r="M327"/>
  <c r="G319"/>
  <c r="M47"/>
  <c r="G240"/>
  <c r="M240" s="1"/>
  <c r="G275"/>
  <c r="M275" s="1"/>
  <c r="K44" i="3"/>
  <c r="K44" i="1"/>
  <c r="M721" i="2"/>
  <c r="G635"/>
  <c r="M635" s="1"/>
  <c r="G622"/>
  <c r="M622" s="1"/>
  <c r="M708"/>
  <c r="G619"/>
  <c r="M619" s="1"/>
  <c r="M705"/>
  <c r="G239"/>
  <c r="M239" s="1"/>
  <c r="G347"/>
  <c r="M347" s="1"/>
  <c r="M348" s="1"/>
  <c r="M354" s="1"/>
  <c r="G363"/>
  <c r="M363" s="1"/>
  <c r="M364" s="1"/>
  <c r="M370" s="1"/>
  <c r="M513"/>
  <c r="M516" s="1"/>
  <c r="M440"/>
  <c r="G752"/>
  <c r="M752" s="1"/>
  <c r="M768"/>
  <c r="G755"/>
  <c r="G783"/>
  <c r="M781"/>
  <c r="K47" i="3"/>
  <c r="O47" s="1"/>
  <c r="Q47" s="1"/>
  <c r="K47" i="1"/>
  <c r="Q62" i="2"/>
  <c r="AE28" i="4"/>
  <c r="AE26"/>
  <c r="AE24"/>
  <c r="AC22"/>
  <c r="AE21"/>
  <c r="AE14"/>
  <c r="O13" i="1"/>
  <c r="S13"/>
  <c r="A21"/>
  <c r="Q12" i="3"/>
  <c r="S12" s="1"/>
  <c r="G163" i="2"/>
  <c r="M163" s="1"/>
  <c r="M187"/>
  <c r="G192"/>
  <c r="G165"/>
  <c r="M189"/>
  <c r="G167"/>
  <c r="M191"/>
  <c r="M140"/>
  <c r="G128"/>
  <c r="M128" s="1"/>
  <c r="G155"/>
  <c r="M155" s="1"/>
  <c r="M154"/>
  <c r="M158" s="1"/>
  <c r="G153"/>
  <c r="G241"/>
  <c r="M241" s="1"/>
  <c r="M265"/>
  <c r="G243"/>
  <c r="M243" s="1"/>
  <c r="M267"/>
  <c r="G276"/>
  <c r="M276" s="1"/>
  <c r="M287"/>
  <c r="G312"/>
  <c r="M312" s="1"/>
  <c r="M310"/>
  <c r="G301"/>
  <c r="M301" s="1"/>
  <c r="M300"/>
  <c r="U26"/>
  <c r="M44"/>
  <c r="M55" s="1"/>
  <c r="AD28"/>
  <c r="Z37" i="4" s="1"/>
  <c r="A20" s="1"/>
  <c r="G53" i="2"/>
  <c r="G51" s="1"/>
  <c r="AD54"/>
  <c r="G238"/>
  <c r="M238" s="1"/>
  <c r="M262"/>
  <c r="M722"/>
  <c r="G636"/>
  <c r="M636" s="1"/>
  <c r="M709"/>
  <c r="G623"/>
  <c r="M623" s="1"/>
  <c r="M707"/>
  <c r="G621"/>
  <c r="M621" s="1"/>
  <c r="I50" i="3"/>
  <c r="G536" i="2"/>
  <c r="M536" s="1"/>
  <c r="G537"/>
  <c r="M537" s="1"/>
  <c r="G538"/>
  <c r="M538" s="1"/>
  <c r="G547"/>
  <c r="G749"/>
  <c r="M749" s="1"/>
  <c r="M765"/>
  <c r="M774" s="1"/>
  <c r="G753"/>
  <c r="M753" s="1"/>
  <c r="M780"/>
  <c r="G756"/>
  <c r="M756" s="1"/>
  <c r="M782"/>
  <c r="AF67"/>
  <c r="Q67"/>
  <c r="AD29"/>
  <c r="Z38" i="4" s="1"/>
  <c r="A17" s="1"/>
  <c r="Q69" i="2"/>
  <c r="AF69"/>
  <c r="AD24"/>
  <c r="AC28" i="4"/>
  <c r="AC26"/>
  <c r="AC24"/>
  <c r="AE22"/>
  <c r="AC21"/>
  <c r="AE12"/>
  <c r="S35" i="1"/>
  <c r="U35"/>
  <c r="A22"/>
  <c r="O12"/>
  <c r="Q13" s="1"/>
  <c r="M41" l="1"/>
  <c r="S41" s="1"/>
  <c r="U31" i="5"/>
  <c r="AF33"/>
  <c r="U24"/>
  <c r="AF25"/>
  <c r="AF24"/>
  <c r="U23"/>
  <c r="U10"/>
  <c r="AF10"/>
  <c r="W10"/>
  <c r="AF11"/>
  <c r="W11"/>
  <c r="U11"/>
  <c r="AF12"/>
  <c r="U12"/>
  <c r="W12"/>
  <c r="AF13"/>
  <c r="U13"/>
  <c r="W13"/>
  <c r="AF15"/>
  <c r="U15"/>
  <c r="W15"/>
  <c r="AF19"/>
  <c r="U19"/>
  <c r="W19"/>
  <c r="W23"/>
  <c r="AF27"/>
  <c r="U26"/>
  <c r="U25"/>
  <c r="AF26"/>
  <c r="AF18"/>
  <c r="U18"/>
  <c r="AB38"/>
  <c r="AF17"/>
  <c r="U17"/>
  <c r="AF28"/>
  <c r="U27"/>
  <c r="AF30"/>
  <c r="U28"/>
  <c r="AF22"/>
  <c r="U22"/>
  <c r="AF14"/>
  <c r="U14"/>
  <c r="W14"/>
  <c r="AF16"/>
  <c r="U16"/>
  <c r="W16"/>
  <c r="AF21"/>
  <c r="U21"/>
  <c r="W21"/>
  <c r="AF31"/>
  <c r="U29"/>
  <c r="U30"/>
  <c r="AF32"/>
  <c r="M258" i="2"/>
  <c r="M667"/>
  <c r="M676"/>
  <c r="G633"/>
  <c r="M633" s="1"/>
  <c r="M631"/>
  <c r="G643"/>
  <c r="M684"/>
  <c r="M686" s="1"/>
  <c r="M303"/>
  <c r="M314"/>
  <c r="M86"/>
  <c r="K34" i="3"/>
  <c r="O34" s="1"/>
  <c r="Q34" s="1"/>
  <c r="K34" i="1"/>
  <c r="O42"/>
  <c r="V42" s="1"/>
  <c r="AF50" i="2"/>
  <c r="Q50"/>
  <c r="K28" i="3"/>
  <c r="K28" i="1"/>
  <c r="K29" i="3"/>
  <c r="K29" i="1"/>
  <c r="K20" i="3"/>
  <c r="K20" i="1"/>
  <c r="K16" i="3"/>
  <c r="K16" i="1"/>
  <c r="K15" i="3"/>
  <c r="K15" i="1"/>
  <c r="Q17" i="4"/>
  <c r="AD17"/>
  <c r="AC17"/>
  <c r="M540" i="2"/>
  <c r="M167"/>
  <c r="M165"/>
  <c r="AD168"/>
  <c r="M755"/>
  <c r="K43" i="3"/>
  <c r="K46" s="1"/>
  <c r="K43" i="1"/>
  <c r="M710" i="2"/>
  <c r="M641"/>
  <c r="O44" i="1"/>
  <c r="V44" s="1"/>
  <c r="AD55" i="2"/>
  <c r="M319"/>
  <c r="M328"/>
  <c r="G320"/>
  <c r="M320" s="1"/>
  <c r="G279"/>
  <c r="M279" s="1"/>
  <c r="M281" s="1"/>
  <c r="M290"/>
  <c r="M292" s="1"/>
  <c r="A23" i="3"/>
  <c r="G129" i="2"/>
  <c r="G134" s="1"/>
  <c r="A23" i="1"/>
  <c r="G543" i="2"/>
  <c r="M543" s="1"/>
  <c r="G544"/>
  <c r="M544" s="1"/>
  <c r="AF20" i="4"/>
  <c r="I20"/>
  <c r="AE20"/>
  <c r="G168" i="2"/>
  <c r="M168" s="1"/>
  <c r="M170" s="1"/>
  <c r="M192"/>
  <c r="M194" s="1"/>
  <c r="AD227"/>
  <c r="O47" i="1"/>
  <c r="V47" s="1"/>
  <c r="G757" i="2"/>
  <c r="M757" s="1"/>
  <c r="M783"/>
  <c r="M784" s="1"/>
  <c r="M624"/>
  <c r="M643" s="1"/>
  <c r="M727"/>
  <c r="M330"/>
  <c r="G244"/>
  <c r="M244" s="1"/>
  <c r="M246" s="1"/>
  <c r="M268"/>
  <c r="M270" s="1"/>
  <c r="M143"/>
  <c r="G131"/>
  <c r="M131" s="1"/>
  <c r="M134" s="1"/>
  <c r="M146"/>
  <c r="M98"/>
  <c r="Q12" i="1"/>
  <c r="S12" s="1"/>
  <c r="A24" i="3"/>
  <c r="K18" l="1"/>
  <c r="AC38" i="5"/>
  <c r="AF38"/>
  <c r="AD38"/>
  <c r="M42" i="1"/>
  <c r="AD374" i="2" s="1"/>
  <c r="AD377" s="1"/>
  <c r="I33" i="3"/>
  <c r="I33" i="1"/>
  <c r="M47"/>
  <c r="U47" s="1"/>
  <c r="G545" i="2"/>
  <c r="M545" s="1"/>
  <c r="M44" i="1"/>
  <c r="S44" s="1"/>
  <c r="M758" i="2"/>
  <c r="K36" i="1" s="1"/>
  <c r="O34"/>
  <c r="V34" s="1"/>
  <c r="K24" i="3"/>
  <c r="K24" i="1"/>
  <c r="K21" i="3"/>
  <c r="K21" i="1"/>
  <c r="K36" i="3"/>
  <c r="K22"/>
  <c r="K22" i="1"/>
  <c r="K25" i="3"/>
  <c r="K25" i="1"/>
  <c r="I22" i="3"/>
  <c r="I22" i="1"/>
  <c r="A25" i="3"/>
  <c r="M322" i="2"/>
  <c r="M729"/>
  <c r="K50" i="3"/>
  <c r="G758" i="2"/>
  <c r="A24" i="1"/>
  <c r="AD169" i="2"/>
  <c r="K18" i="1"/>
  <c r="K30" i="3"/>
  <c r="K33"/>
  <c r="K33" i="1"/>
  <c r="S47"/>
  <c r="AD230" i="2"/>
  <c r="AC20" i="4"/>
  <c r="AA37"/>
  <c r="AE37" s="1"/>
  <c r="M547" i="2"/>
  <c r="M548" s="1"/>
  <c r="M811" s="1"/>
  <c r="G322"/>
  <c r="AD520"/>
  <c r="O43" i="1"/>
  <c r="M43" s="1"/>
  <c r="K46"/>
  <c r="AE17" i="4"/>
  <c r="AA38"/>
  <c r="AE38" s="1"/>
  <c r="K30" i="1"/>
  <c r="S42" l="1"/>
  <c r="K23"/>
  <c r="K23" i="3"/>
  <c r="O374" i="2"/>
  <c r="Q374" s="1"/>
  <c r="O376"/>
  <c r="AF376" s="1"/>
  <c r="O378"/>
  <c r="O380"/>
  <c r="AF380" s="1"/>
  <c r="O382"/>
  <c r="Q382" s="1"/>
  <c r="O384"/>
  <c r="AF384" s="1"/>
  <c r="O386"/>
  <c r="O388"/>
  <c r="Q388" s="1"/>
  <c r="O391"/>
  <c r="Q391" s="1"/>
  <c r="O393"/>
  <c r="AF393" s="1"/>
  <c r="O395"/>
  <c r="O397"/>
  <c r="AF397" s="1"/>
  <c r="O399"/>
  <c r="Q399" s="1"/>
  <c r="O402"/>
  <c r="AF402" s="1"/>
  <c r="O406"/>
  <c r="O411"/>
  <c r="Q411" s="1"/>
  <c r="O417"/>
  <c r="Q417" s="1"/>
  <c r="O405"/>
  <c r="AF405" s="1"/>
  <c r="O410"/>
  <c r="O415"/>
  <c r="AF415" s="1"/>
  <c r="O375"/>
  <c r="AF375" s="1"/>
  <c r="O377"/>
  <c r="Q377" s="1"/>
  <c r="O379"/>
  <c r="O381"/>
  <c r="Q381" s="1"/>
  <c r="O383"/>
  <c r="AF383" s="1"/>
  <c r="O385"/>
  <c r="Q385" s="1"/>
  <c r="O387"/>
  <c r="O390"/>
  <c r="AF390" s="1"/>
  <c r="O392"/>
  <c r="AF392" s="1"/>
  <c r="O394"/>
  <c r="Q394" s="1"/>
  <c r="O396"/>
  <c r="O398"/>
  <c r="AF398" s="1"/>
  <c r="O400"/>
  <c r="AF400" s="1"/>
  <c r="O404"/>
  <c r="Q404" s="1"/>
  <c r="O409"/>
  <c r="Q409" s="1"/>
  <c r="O413"/>
  <c r="AF413" s="1"/>
  <c r="O403"/>
  <c r="AF403" s="1"/>
  <c r="O408"/>
  <c r="Q408" s="1"/>
  <c r="O412"/>
  <c r="Q412" s="1"/>
  <c r="M34" i="1"/>
  <c r="AD428" i="2"/>
  <c r="S43" i="1"/>
  <c r="K50"/>
  <c r="I26" i="3"/>
  <c r="I27" s="1"/>
  <c r="I26" i="1"/>
  <c r="I27" s="1"/>
  <c r="Q413" i="2"/>
  <c r="AF409"/>
  <c r="Q396"/>
  <c r="AF396"/>
  <c r="AF394"/>
  <c r="Q387"/>
  <c r="AF387"/>
  <c r="Q379"/>
  <c r="AF379"/>
  <c r="A25" i="1"/>
  <c r="I23" i="3"/>
  <c r="V43" i="1"/>
  <c r="AD523" i="2"/>
  <c r="K31" i="3"/>
  <c r="K31" i="1"/>
  <c r="Q410" i="2"/>
  <c r="AF410"/>
  <c r="AF411"/>
  <c r="Q406"/>
  <c r="AF406"/>
  <c r="Q395"/>
  <c r="AF395"/>
  <c r="Q386"/>
  <c r="AF386"/>
  <c r="Q378"/>
  <c r="AF378"/>
  <c r="O198"/>
  <c r="O199"/>
  <c r="O200"/>
  <c r="O201"/>
  <c r="O203"/>
  <c r="O204"/>
  <c r="O205"/>
  <c r="O206"/>
  <c r="O207"/>
  <c r="O208"/>
  <c r="O209"/>
  <c r="O210"/>
  <c r="O211"/>
  <c r="O212"/>
  <c r="O213"/>
  <c r="O215"/>
  <c r="O216"/>
  <c r="O217"/>
  <c r="O218"/>
  <c r="O219"/>
  <c r="O220"/>
  <c r="O222"/>
  <c r="O223"/>
  <c r="O224"/>
  <c r="O225"/>
  <c r="O226"/>
  <c r="O227"/>
  <c r="O228"/>
  <c r="O229"/>
  <c r="I36" i="3"/>
  <c r="G811" i="2"/>
  <c r="I36" i="1"/>
  <c r="K26" i="3"/>
  <c r="K38" s="1"/>
  <c r="K39" s="1"/>
  <c r="K52" s="1"/>
  <c r="K26" i="1"/>
  <c r="A26" i="3"/>
  <c r="I23" i="1"/>
  <c r="Q393" i="2" l="1"/>
  <c r="Q402"/>
  <c r="Q405"/>
  <c r="AF385"/>
  <c r="AF412"/>
  <c r="AF388"/>
  <c r="I38" i="3"/>
  <c r="I39" s="1"/>
  <c r="I52" s="1"/>
  <c r="Q398" i="2"/>
  <c r="Q376"/>
  <c r="Q384"/>
  <c r="AF391"/>
  <c r="AF399"/>
  <c r="AF417"/>
  <c r="I38" i="1"/>
  <c r="I51" s="1"/>
  <c r="AF374" i="2"/>
  <c r="AF382"/>
  <c r="AF377"/>
  <c r="AF381"/>
  <c r="Q380"/>
  <c r="Q397"/>
  <c r="Q415"/>
  <c r="Q390"/>
  <c r="AF404"/>
  <c r="AF408"/>
  <c r="Q383"/>
  <c r="Q403"/>
  <c r="Q375"/>
  <c r="Q392"/>
  <c r="Q400"/>
  <c r="K27" i="3"/>
  <c r="S34" i="1"/>
  <c r="U34"/>
  <c r="Q229" i="2"/>
  <c r="AF229"/>
  <c r="Q227"/>
  <c r="AF227"/>
  <c r="Q225"/>
  <c r="AF225"/>
  <c r="Q223"/>
  <c r="AF223"/>
  <c r="Q220"/>
  <c r="AF220"/>
  <c r="Q218"/>
  <c r="AF218"/>
  <c r="Q216"/>
  <c r="AF216"/>
  <c r="Q213"/>
  <c r="AF213"/>
  <c r="Q211"/>
  <c r="AF211"/>
  <c r="Q209"/>
  <c r="AF209"/>
  <c r="Q207"/>
  <c r="AF207"/>
  <c r="Q205"/>
  <c r="AF205"/>
  <c r="Q203"/>
  <c r="AF203"/>
  <c r="Q200"/>
  <c r="AF200"/>
  <c r="Q198"/>
  <c r="AF198"/>
  <c r="O519"/>
  <c r="O520"/>
  <c r="O522"/>
  <c r="A27" i="3"/>
  <c r="K38" i="1"/>
  <c r="K39" s="1"/>
  <c r="K52" s="1"/>
  <c r="Q228" i="2"/>
  <c r="AF228"/>
  <c r="Q226"/>
  <c r="AF226"/>
  <c r="Q224"/>
  <c r="AF224"/>
  <c r="Q222"/>
  <c r="AF222"/>
  <c r="Q219"/>
  <c r="AF219"/>
  <c r="Q217"/>
  <c r="AF217"/>
  <c r="Q215"/>
  <c r="AF215"/>
  <c r="Q212"/>
  <c r="AF212"/>
  <c r="Q210"/>
  <c r="AF210"/>
  <c r="Q208"/>
  <c r="AF208"/>
  <c r="Q206"/>
  <c r="AF206"/>
  <c r="Q204"/>
  <c r="AF204"/>
  <c r="Q201"/>
  <c r="AF201"/>
  <c r="Q199"/>
  <c r="AF199"/>
  <c r="K27" i="1"/>
  <c r="K51" i="3"/>
  <c r="A26" i="1"/>
  <c r="AD431" i="2"/>
  <c r="I51" i="3" l="1"/>
  <c r="I39" i="1"/>
  <c r="I52" s="1"/>
  <c r="Q418" i="2"/>
  <c r="Q422" s="1"/>
  <c r="AD378" s="1"/>
  <c r="O444"/>
  <c r="O445"/>
  <c r="O446"/>
  <c r="O448"/>
  <c r="O449"/>
  <c r="O450"/>
  <c r="O451"/>
  <c r="O452"/>
  <c r="O454"/>
  <c r="O455"/>
  <c r="O456"/>
  <c r="O457"/>
  <c r="O458"/>
  <c r="O459"/>
  <c r="O460"/>
  <c r="O461"/>
  <c r="O462"/>
  <c r="O463"/>
  <c r="O464"/>
  <c r="O465"/>
  <c r="O466"/>
  <c r="O467"/>
  <c r="O468"/>
  <c r="O470"/>
  <c r="O471"/>
  <c r="O472"/>
  <c r="O473"/>
  <c r="O474"/>
  <c r="O475"/>
  <c r="O476"/>
  <c r="O477"/>
  <c r="O479"/>
  <c r="O480"/>
  <c r="O428"/>
  <c r="O430"/>
  <c r="O433"/>
  <c r="O435"/>
  <c r="O437"/>
  <c r="O488"/>
  <c r="O491"/>
  <c r="O494"/>
  <c r="O496"/>
  <c r="O498"/>
  <c r="O500"/>
  <c r="O502"/>
  <c r="O505"/>
  <c r="O507"/>
  <c r="O427"/>
  <c r="O429"/>
  <c r="O431"/>
  <c r="O434"/>
  <c r="O436"/>
  <c r="O487"/>
  <c r="O490"/>
  <c r="O492"/>
  <c r="O495"/>
  <c r="O497"/>
  <c r="O499"/>
  <c r="O501"/>
  <c r="O504"/>
  <c r="O506"/>
  <c r="K51" i="1"/>
  <c r="O55" s="1"/>
  <c r="A28" i="3"/>
  <c r="Q520" i="2"/>
  <c r="AF520"/>
  <c r="A27" i="1"/>
  <c r="A28" s="1"/>
  <c r="A29" s="1"/>
  <c r="A30" s="1"/>
  <c r="A31" s="1"/>
  <c r="A32" s="1"/>
  <c r="A33" s="1"/>
  <c r="A34" s="1"/>
  <c r="A35" s="1"/>
  <c r="A36" s="1"/>
  <c r="A37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O56"/>
  <c r="O57"/>
  <c r="O58" s="1"/>
  <c r="Q522" i="2"/>
  <c r="AF522"/>
  <c r="O521"/>
  <c r="Q519"/>
  <c r="AF519"/>
  <c r="Q230"/>
  <c r="Q234" s="1"/>
  <c r="M42" i="3" l="1"/>
  <c r="AD373" i="2"/>
  <c r="AC422"/>
  <c r="O61" i="1"/>
  <c r="Q15"/>
  <c r="O15" s="1"/>
  <c r="O62"/>
  <c r="Q28" s="1"/>
  <c r="Q16"/>
  <c r="O16" s="1"/>
  <c r="O60"/>
  <c r="O59"/>
  <c r="Q504" i="2"/>
  <c r="AF504"/>
  <c r="Q499"/>
  <c r="AF499"/>
  <c r="Q495"/>
  <c r="AF495"/>
  <c r="Q490"/>
  <c r="AF490"/>
  <c r="Q436"/>
  <c r="AF436"/>
  <c r="Q431"/>
  <c r="AF431"/>
  <c r="Q427"/>
  <c r="AF427"/>
  <c r="Q505"/>
  <c r="AF505"/>
  <c r="Q500"/>
  <c r="AF500"/>
  <c r="Q496"/>
  <c r="AF496"/>
  <c r="Q491"/>
  <c r="AF491"/>
  <c r="Q437"/>
  <c r="AF437"/>
  <c r="Q433"/>
  <c r="AF433"/>
  <c r="Q428"/>
  <c r="AF428"/>
  <c r="Q479"/>
  <c r="AF479"/>
  <c r="Q476"/>
  <c r="AF476"/>
  <c r="Q474"/>
  <c r="AF474"/>
  <c r="Q472"/>
  <c r="AF472"/>
  <c r="Q470"/>
  <c r="AF470"/>
  <c r="Q467"/>
  <c r="AF467"/>
  <c r="Q465"/>
  <c r="AF465"/>
  <c r="Q463"/>
  <c r="AF463"/>
  <c r="Q461"/>
  <c r="AF461"/>
  <c r="Q459"/>
  <c r="AF459"/>
  <c r="Q457"/>
  <c r="AF457"/>
  <c r="Q455"/>
  <c r="AF455"/>
  <c r="Q452"/>
  <c r="AF452"/>
  <c r="Q450"/>
  <c r="AF450"/>
  <c r="Q448"/>
  <c r="AF448"/>
  <c r="Q445"/>
  <c r="AF445"/>
  <c r="M41" i="3"/>
  <c r="AD232" i="2"/>
  <c r="AD231"/>
  <c r="AD226"/>
  <c r="Q521"/>
  <c r="AF521"/>
  <c r="A29" i="3"/>
  <c r="A30" s="1"/>
  <c r="A31" s="1"/>
  <c r="A32" s="1"/>
  <c r="A33" s="1"/>
  <c r="A34" s="1"/>
  <c r="A35" s="1"/>
  <c r="A36" s="1"/>
  <c r="A37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Q506" i="2"/>
  <c r="AF506"/>
  <c r="Q501"/>
  <c r="AF501"/>
  <c r="Q497"/>
  <c r="AF497"/>
  <c r="Q492"/>
  <c r="AF492"/>
  <c r="Q487"/>
  <c r="AF487"/>
  <c r="Q434"/>
  <c r="AF434"/>
  <c r="Q429"/>
  <c r="AF429"/>
  <c r="Q507"/>
  <c r="AF507"/>
  <c r="Q502"/>
  <c r="AF502"/>
  <c r="Q498"/>
  <c r="AF498"/>
  <c r="Q494"/>
  <c r="AF494"/>
  <c r="Q488"/>
  <c r="AF488"/>
  <c r="Q435"/>
  <c r="AF435"/>
  <c r="Q430"/>
  <c r="AF430"/>
  <c r="Q480"/>
  <c r="AF480"/>
  <c r="Q477"/>
  <c r="AF477"/>
  <c r="Q475"/>
  <c r="AF475"/>
  <c r="Q473"/>
  <c r="AF473"/>
  <c r="Q471"/>
  <c r="AF471"/>
  <c r="Q468"/>
  <c r="AF468"/>
  <c r="Q466"/>
  <c r="AF466"/>
  <c r="Q464"/>
  <c r="AF464"/>
  <c r="Q462"/>
  <c r="AF462"/>
  <c r="Q460"/>
  <c r="AF460"/>
  <c r="Q458"/>
  <c r="AF458"/>
  <c r="Q456"/>
  <c r="AF456"/>
  <c r="Q454"/>
  <c r="AF454"/>
  <c r="Q451"/>
  <c r="AF451"/>
  <c r="Q449"/>
  <c r="AF449"/>
  <c r="Q446"/>
  <c r="AF446"/>
  <c r="Q444"/>
  <c r="AF444"/>
  <c r="S42" i="3" l="1"/>
  <c r="O42"/>
  <c r="Q42" s="1"/>
  <c r="U42" i="1"/>
  <c r="AD375" i="2"/>
  <c r="AD376"/>
  <c r="Q481"/>
  <c r="Q483" s="1"/>
  <c r="Q508"/>
  <c r="Q510" s="1"/>
  <c r="AD229"/>
  <c r="AD228"/>
  <c r="Q20" i="1"/>
  <c r="Q32"/>
  <c r="O32" s="1"/>
  <c r="V16"/>
  <c r="M16"/>
  <c r="V15"/>
  <c r="O18"/>
  <c r="M15"/>
  <c r="O523" i="2"/>
  <c r="O41" i="3"/>
  <c r="S41"/>
  <c r="U41" i="1"/>
  <c r="Q438" i="2"/>
  <c r="Q24" i="1"/>
  <c r="O24" s="1"/>
  <c r="Q45"/>
  <c r="O45" s="1"/>
  <c r="Q29"/>
  <c r="O29" s="1"/>
  <c r="O28"/>
  <c r="Q31"/>
  <c r="O31" s="1"/>
  <c r="Q36"/>
  <c r="O36" s="1"/>
  <c r="Q33"/>
  <c r="O33" s="1"/>
  <c r="Q25"/>
  <c r="V31" l="1"/>
  <c r="M31"/>
  <c r="V29"/>
  <c r="M29"/>
  <c r="V24"/>
  <c r="M24"/>
  <c r="Q41" i="3"/>
  <c r="Q523" i="2"/>
  <c r="Q525" s="1"/>
  <c r="AF523"/>
  <c r="Q18" i="1"/>
  <c r="V18"/>
  <c r="S16"/>
  <c r="V32"/>
  <c r="M32"/>
  <c r="V33"/>
  <c r="M33"/>
  <c r="Q26"/>
  <c r="O26" s="1"/>
  <c r="O25"/>
  <c r="V36"/>
  <c r="M36"/>
  <c r="V28"/>
  <c r="O30"/>
  <c r="M28"/>
  <c r="V45"/>
  <c r="M45"/>
  <c r="O46"/>
  <c r="Q513" i="2"/>
  <c r="Q516" s="1"/>
  <c r="Q440"/>
  <c r="AD19"/>
  <c r="S15" i="1"/>
  <c r="M18"/>
  <c r="S18" s="1"/>
  <c r="Q22"/>
  <c r="O22" s="1"/>
  <c r="Q21"/>
  <c r="O21" s="1"/>
  <c r="O20"/>
  <c r="V22" l="1"/>
  <c r="M22"/>
  <c r="AD23" i="2"/>
  <c r="AD22"/>
  <c r="M43" i="3"/>
  <c r="AD427" i="2"/>
  <c r="AC516"/>
  <c r="AD432"/>
  <c r="AD528"/>
  <c r="S45" i="1"/>
  <c r="M46"/>
  <c r="S28"/>
  <c r="M30"/>
  <c r="V26"/>
  <c r="M26"/>
  <c r="M44" i="3"/>
  <c r="AD524" i="2"/>
  <c r="AD519"/>
  <c r="AD239"/>
  <c r="S24" i="1"/>
  <c r="S29"/>
  <c r="AD543" i="2"/>
  <c r="S31" i="1"/>
  <c r="O38"/>
  <c r="O23"/>
  <c r="V20"/>
  <c r="M20"/>
  <c r="V21"/>
  <c r="M21"/>
  <c r="V46"/>
  <c r="Q46"/>
  <c r="O50"/>
  <c r="Q30"/>
  <c r="V30"/>
  <c r="S36"/>
  <c r="V25"/>
  <c r="O27"/>
  <c r="M25"/>
  <c r="AD605" i="2"/>
  <c r="S33" i="1"/>
  <c r="AD552" i="2"/>
  <c r="S32" i="1"/>
  <c r="AD608" i="2" l="1"/>
  <c r="Q27" i="1"/>
  <c r="V27"/>
  <c r="AD162" i="2"/>
  <c r="S21" i="1"/>
  <c r="AD81" i="2"/>
  <c r="S20" i="1"/>
  <c r="M23"/>
  <c r="S23" s="1"/>
  <c r="M38"/>
  <c r="Q23"/>
  <c r="V23"/>
  <c r="AD546" i="2"/>
  <c r="O535" s="1"/>
  <c r="AD522"/>
  <c r="AD521"/>
  <c r="O44" i="3"/>
  <c r="Q44" s="1"/>
  <c r="S44"/>
  <c r="U44" i="1"/>
  <c r="AD348" i="2"/>
  <c r="S30" i="1"/>
  <c r="S46"/>
  <c r="M50"/>
  <c r="AD430" i="2"/>
  <c r="AD429"/>
  <c r="S22" i="1"/>
  <c r="AD556" i="2"/>
  <c r="AD555"/>
  <c r="AD274"/>
  <c r="M27" i="1"/>
  <c r="S27" s="1"/>
  <c r="S25"/>
  <c r="V50"/>
  <c r="Q50"/>
  <c r="O51"/>
  <c r="V38"/>
  <c r="Q38"/>
  <c r="O39"/>
  <c r="AD242" i="2"/>
  <c r="O237" s="1"/>
  <c r="AD317"/>
  <c r="S26" i="1"/>
  <c r="AD531" i="2"/>
  <c r="O528" s="1"/>
  <c r="O43" i="3"/>
  <c r="S43"/>
  <c r="U43" i="1"/>
  <c r="O21" i="2"/>
  <c r="O22"/>
  <c r="O23"/>
  <c r="Q22" l="1"/>
  <c r="O45"/>
  <c r="O64"/>
  <c r="AF22"/>
  <c r="AA14" i="4"/>
  <c r="AB14" s="1"/>
  <c r="Q528" i="2"/>
  <c r="AF528"/>
  <c r="Q237"/>
  <c r="O249"/>
  <c r="AD244"/>
  <c r="AF237"/>
  <c r="V39" i="1"/>
  <c r="Q39"/>
  <c r="O52"/>
  <c r="O552" i="2"/>
  <c r="O553"/>
  <c r="O554"/>
  <c r="O555"/>
  <c r="O556"/>
  <c r="O557"/>
  <c r="AD350"/>
  <c r="S38" i="1"/>
  <c r="M39"/>
  <c r="AD84" i="2"/>
  <c r="O77" s="1"/>
  <c r="Q23"/>
  <c r="O46"/>
  <c r="O65"/>
  <c r="AA15" i="4"/>
  <c r="AB15" s="1"/>
  <c r="AF23" i="2"/>
  <c r="Q21"/>
  <c r="O29"/>
  <c r="Q29" s="1"/>
  <c r="O44"/>
  <c r="O63"/>
  <c r="O71"/>
  <c r="Q71" s="1"/>
  <c r="AF21"/>
  <c r="AA13" i="4"/>
  <c r="Q43" i="3"/>
  <c r="AD320" i="2"/>
  <c r="AD561"/>
  <c r="Q51" i="1"/>
  <c r="V51"/>
  <c r="AD277" i="2"/>
  <c r="O273" s="1"/>
  <c r="S50" i="1"/>
  <c r="M51"/>
  <c r="S51" s="1"/>
  <c r="O542" i="2"/>
  <c r="Q535"/>
  <c r="AF535"/>
  <c r="AD165"/>
  <c r="O317" l="1"/>
  <c r="Q273"/>
  <c r="O295"/>
  <c r="AD279"/>
  <c r="O306"/>
  <c r="O284"/>
  <c r="AF273"/>
  <c r="AA45" i="4"/>
  <c r="K20"/>
  <c r="K16"/>
  <c r="K15"/>
  <c r="K13"/>
  <c r="AB13"/>
  <c r="AC45"/>
  <c r="K18"/>
  <c r="K31"/>
  <c r="K30"/>
  <c r="K29"/>
  <c r="K28"/>
  <c r="K27"/>
  <c r="K26"/>
  <c r="K25"/>
  <c r="K24"/>
  <c r="K23"/>
  <c r="K22"/>
  <c r="K21"/>
  <c r="K19"/>
  <c r="K14"/>
  <c r="K12"/>
  <c r="K11"/>
  <c r="K10"/>
  <c r="Q44" i="2"/>
  <c r="O52"/>
  <c r="Q52" s="1"/>
  <c r="AF44"/>
  <c r="Q46"/>
  <c r="AF46"/>
  <c r="S39" i="1"/>
  <c r="M52"/>
  <c r="S52" s="1"/>
  <c r="Q557" i="2"/>
  <c r="O583"/>
  <c r="AF557"/>
  <c r="O596"/>
  <c r="O570"/>
  <c r="Q555"/>
  <c r="O581"/>
  <c r="AF555"/>
  <c r="O594"/>
  <c r="O568"/>
  <c r="Q553"/>
  <c r="O579"/>
  <c r="O592"/>
  <c r="O566"/>
  <c r="AF553"/>
  <c r="Q52" i="1"/>
  <c r="V52"/>
  <c r="AD243" i="2"/>
  <c r="O529"/>
  <c r="Q45"/>
  <c r="AF45"/>
  <c r="Q542"/>
  <c r="AD547" s="1"/>
  <c r="AF542"/>
  <c r="Q63"/>
  <c r="AF63"/>
  <c r="Q65"/>
  <c r="AF65"/>
  <c r="Q77"/>
  <c r="O84"/>
  <c r="O137"/>
  <c r="O149"/>
  <c r="O161"/>
  <c r="O89"/>
  <c r="O101"/>
  <c r="O113"/>
  <c r="AD85"/>
  <c r="AF77"/>
  <c r="O341"/>
  <c r="O342"/>
  <c r="O343"/>
  <c r="O582"/>
  <c r="Q556"/>
  <c r="O595"/>
  <c r="O569"/>
  <c r="AF556"/>
  <c r="O580"/>
  <c r="AF554"/>
  <c r="Q554"/>
  <c r="O593"/>
  <c r="O567"/>
  <c r="O578"/>
  <c r="Q552"/>
  <c r="O591"/>
  <c r="O565"/>
  <c r="AF552"/>
  <c r="Q249"/>
  <c r="AF249"/>
  <c r="O261"/>
  <c r="Q64"/>
  <c r="AF64"/>
  <c r="O24" l="1"/>
  <c r="Q24" s="1"/>
  <c r="O544"/>
  <c r="O536"/>
  <c r="O538"/>
  <c r="O537"/>
  <c r="Q261"/>
  <c r="AF261"/>
  <c r="O558"/>
  <c r="Q569"/>
  <c r="AF569"/>
  <c r="Q341"/>
  <c r="O357"/>
  <c r="AF341"/>
  <c r="AF101"/>
  <c r="Q101"/>
  <c r="Q161"/>
  <c r="O173"/>
  <c r="O185"/>
  <c r="AF161"/>
  <c r="Q137"/>
  <c r="AF137"/>
  <c r="Q591"/>
  <c r="AF591"/>
  <c r="AF578"/>
  <c r="Q578"/>
  <c r="Q593"/>
  <c r="AF593"/>
  <c r="Q595"/>
  <c r="AF595"/>
  <c r="AF582"/>
  <c r="Q582"/>
  <c r="Q342"/>
  <c r="O358"/>
  <c r="AF342"/>
  <c r="Q113"/>
  <c r="AF113"/>
  <c r="AF89"/>
  <c r="O125"/>
  <c r="Q89"/>
  <c r="Q149"/>
  <c r="AF149"/>
  <c r="Q84"/>
  <c r="O144"/>
  <c r="O156"/>
  <c r="O96"/>
  <c r="AF84"/>
  <c r="Q529"/>
  <c r="Q531" s="1"/>
  <c r="AF529"/>
  <c r="Q566"/>
  <c r="AF566"/>
  <c r="Q579"/>
  <c r="AF579"/>
  <c r="Q568"/>
  <c r="AF568"/>
  <c r="Q596"/>
  <c r="AF596"/>
  <c r="Q583"/>
  <c r="AF583"/>
  <c r="AD11" i="4"/>
  <c r="M11"/>
  <c r="O11"/>
  <c r="AD14"/>
  <c r="M14"/>
  <c r="O14"/>
  <c r="AD21"/>
  <c r="M21"/>
  <c r="O21"/>
  <c r="AD24"/>
  <c r="M23"/>
  <c r="O23"/>
  <c r="AD26"/>
  <c r="M25"/>
  <c r="O25"/>
  <c r="AD28"/>
  <c r="M27"/>
  <c r="O27"/>
  <c r="AD31"/>
  <c r="M29"/>
  <c r="O29"/>
  <c r="AD33"/>
  <c r="M31"/>
  <c r="O31"/>
  <c r="M13"/>
  <c r="AD13"/>
  <c r="O13"/>
  <c r="O16"/>
  <c r="AD16"/>
  <c r="M16"/>
  <c r="Q284" i="2"/>
  <c r="AF284"/>
  <c r="AD278"/>
  <c r="Q565"/>
  <c r="AF565"/>
  <c r="Q567"/>
  <c r="AF567"/>
  <c r="AF580"/>
  <c r="Q580"/>
  <c r="O350"/>
  <c r="Q343"/>
  <c r="O359"/>
  <c r="AF343"/>
  <c r="O238"/>
  <c r="O239"/>
  <c r="O240"/>
  <c r="O241"/>
  <c r="O242"/>
  <c r="O243"/>
  <c r="Q592"/>
  <c r="AF592"/>
  <c r="Q594"/>
  <c r="AF594"/>
  <c r="Q581"/>
  <c r="AF581"/>
  <c r="Q570"/>
  <c r="AF570"/>
  <c r="AD10" i="4"/>
  <c r="M10"/>
  <c r="O10"/>
  <c r="AD12"/>
  <c r="M12"/>
  <c r="O12"/>
  <c r="AD19"/>
  <c r="M19"/>
  <c r="O19"/>
  <c r="AD22"/>
  <c r="M22"/>
  <c r="O22"/>
  <c r="AD25"/>
  <c r="M24"/>
  <c r="O24"/>
  <c r="AD27"/>
  <c r="M26"/>
  <c r="O26"/>
  <c r="AD30"/>
  <c r="M28"/>
  <c r="O28"/>
  <c r="AD32"/>
  <c r="M30"/>
  <c r="O30"/>
  <c r="AD18"/>
  <c r="M18"/>
  <c r="O18"/>
  <c r="M15"/>
  <c r="AD15"/>
  <c r="O15"/>
  <c r="AD20"/>
  <c r="M20"/>
  <c r="AB37"/>
  <c r="O20"/>
  <c r="Q306" i="2"/>
  <c r="AF306"/>
  <c r="AF295"/>
  <c r="Q295"/>
  <c r="O333"/>
  <c r="O325"/>
  <c r="Q325" s="1"/>
  <c r="Q317"/>
  <c r="AF317"/>
  <c r="O30" l="1"/>
  <c r="Q30" s="1"/>
  <c r="Q32" s="1"/>
  <c r="AF24"/>
  <c r="O66"/>
  <c r="AF66" s="1"/>
  <c r="AA21" i="4"/>
  <c r="S16" s="1"/>
  <c r="O47" i="2"/>
  <c r="O53" s="1"/>
  <c r="Q53" s="1"/>
  <c r="O72"/>
  <c r="Q72" s="1"/>
  <c r="Q242"/>
  <c r="O631"/>
  <c r="AF242"/>
  <c r="O254"/>
  <c r="Q240"/>
  <c r="O629"/>
  <c r="AF240"/>
  <c r="O252"/>
  <c r="Q238"/>
  <c r="O627"/>
  <c r="O250"/>
  <c r="AF238"/>
  <c r="O274"/>
  <c r="O275"/>
  <c r="O276"/>
  <c r="O277"/>
  <c r="O278"/>
  <c r="M45" i="3"/>
  <c r="AD527" i="2"/>
  <c r="O108"/>
  <c r="AF96"/>
  <c r="O132"/>
  <c r="O120"/>
  <c r="Q96"/>
  <c r="Q144"/>
  <c r="AF144"/>
  <c r="Q358"/>
  <c r="AF358"/>
  <c r="AF173"/>
  <c r="Q173"/>
  <c r="Q538"/>
  <c r="AF538"/>
  <c r="Q544"/>
  <c r="AF544"/>
  <c r="AD322"/>
  <c r="Q333"/>
  <c r="AF333"/>
  <c r="AF37" i="4"/>
  <c r="AC37"/>
  <c r="AD37"/>
  <c r="Q243" i="2"/>
  <c r="O632"/>
  <c r="O255"/>
  <c r="AF243"/>
  <c r="Q241"/>
  <c r="O630"/>
  <c r="O253"/>
  <c r="AF241"/>
  <c r="Q239"/>
  <c r="O628"/>
  <c r="O251"/>
  <c r="AF239"/>
  <c r="Q359"/>
  <c r="AF359"/>
  <c r="Q350"/>
  <c r="O366"/>
  <c r="AF350"/>
  <c r="Q156"/>
  <c r="AF156"/>
  <c r="Q125"/>
  <c r="AF125"/>
  <c r="Q185"/>
  <c r="AF185"/>
  <c r="AD166"/>
  <c r="Q357"/>
  <c r="AF357"/>
  <c r="O584"/>
  <c r="Q558"/>
  <c r="Q561" s="1"/>
  <c r="O597"/>
  <c r="O571"/>
  <c r="AF558"/>
  <c r="Q537"/>
  <c r="AF537"/>
  <c r="O543"/>
  <c r="Q536"/>
  <c r="AF536"/>
  <c r="AC46" i="4"/>
  <c r="S18"/>
  <c r="S29"/>
  <c r="S25"/>
  <c r="S24"/>
  <c r="S19"/>
  <c r="S11"/>
  <c r="S10"/>
  <c r="AF47" i="2" l="1"/>
  <c r="Q47"/>
  <c r="AB21" i="4"/>
  <c r="S31"/>
  <c r="S12"/>
  <c r="U12" s="1"/>
  <c r="S23"/>
  <c r="W23" s="1"/>
  <c r="S28"/>
  <c r="S13"/>
  <c r="U13" s="1"/>
  <c r="S21"/>
  <c r="U21" s="1"/>
  <c r="S27"/>
  <c r="AF28" s="1"/>
  <c r="AA46"/>
  <c r="S17"/>
  <c r="S14"/>
  <c r="AF14" s="1"/>
  <c r="S22"/>
  <c r="U22" s="1"/>
  <c r="S26"/>
  <c r="S30"/>
  <c r="S15"/>
  <c r="W15" s="1"/>
  <c r="Q66" i="2"/>
  <c r="Q74" s="1"/>
  <c r="AD72" s="1"/>
  <c r="U32"/>
  <c r="S21" s="1"/>
  <c r="AD25"/>
  <c r="AD26"/>
  <c r="Q55"/>
  <c r="AF10" i="4"/>
  <c r="U10"/>
  <c r="W10"/>
  <c r="AF19"/>
  <c r="U19"/>
  <c r="W19"/>
  <c r="AF26"/>
  <c r="U25"/>
  <c r="W25"/>
  <c r="AF31"/>
  <c r="U29"/>
  <c r="W29"/>
  <c r="AF33"/>
  <c r="U31"/>
  <c r="W31"/>
  <c r="AF13"/>
  <c r="W16"/>
  <c r="AF16"/>
  <c r="U16"/>
  <c r="Q540" i="2"/>
  <c r="Q597"/>
  <c r="Q600" s="1"/>
  <c r="AD600" s="1"/>
  <c r="AF597"/>
  <c r="AF584"/>
  <c r="Q584"/>
  <c r="Q587" s="1"/>
  <c r="AD587" s="1"/>
  <c r="Q366"/>
  <c r="AF366"/>
  <c r="Q628"/>
  <c r="O671"/>
  <c r="O714"/>
  <c r="AF628"/>
  <c r="Q630"/>
  <c r="O673"/>
  <c r="O716"/>
  <c r="AF630"/>
  <c r="Q632"/>
  <c r="O675"/>
  <c r="O718"/>
  <c r="AF632"/>
  <c r="Q132"/>
  <c r="AF132"/>
  <c r="AF108"/>
  <c r="Q108"/>
  <c r="O45" i="3"/>
  <c r="S45"/>
  <c r="U45" i="1"/>
  <c r="U46" s="1"/>
  <c r="U50" s="1"/>
  <c r="M46" i="3"/>
  <c r="Q277" i="2"/>
  <c r="O755"/>
  <c r="O771"/>
  <c r="O299"/>
  <c r="AF277"/>
  <c r="O638"/>
  <c r="O781"/>
  <c r="O288"/>
  <c r="O310"/>
  <c r="Q275"/>
  <c r="O752"/>
  <c r="O768"/>
  <c r="O297"/>
  <c r="O636"/>
  <c r="O779"/>
  <c r="O308"/>
  <c r="O286"/>
  <c r="AF275"/>
  <c r="Q627"/>
  <c r="O670"/>
  <c r="AF627"/>
  <c r="O713"/>
  <c r="O264"/>
  <c r="Q252"/>
  <c r="AF252"/>
  <c r="Q629"/>
  <c r="O672"/>
  <c r="AF629"/>
  <c r="O715"/>
  <c r="AB38" i="4"/>
  <c r="AF17"/>
  <c r="U17"/>
  <c r="W17"/>
  <c r="AF11"/>
  <c r="U11"/>
  <c r="W11"/>
  <c r="U14"/>
  <c r="W22"/>
  <c r="AF25"/>
  <c r="U24"/>
  <c r="W24"/>
  <c r="AF27"/>
  <c r="U26"/>
  <c r="W26"/>
  <c r="AF30"/>
  <c r="U28"/>
  <c r="W28"/>
  <c r="AF32"/>
  <c r="U30"/>
  <c r="W30"/>
  <c r="U18"/>
  <c r="AF18"/>
  <c r="W18"/>
  <c r="AB39"/>
  <c r="AF543" i="2"/>
  <c r="Q543"/>
  <c r="Q571"/>
  <c r="Q574" s="1"/>
  <c r="AD574" s="1"/>
  <c r="AF571"/>
  <c r="M32" i="3"/>
  <c r="AD551" i="2"/>
  <c r="O162"/>
  <c r="O163"/>
  <c r="O164"/>
  <c r="O165"/>
  <c r="O166"/>
  <c r="O167"/>
  <c r="Q251"/>
  <c r="AF251"/>
  <c r="O263"/>
  <c r="Q253"/>
  <c r="AF253"/>
  <c r="O265"/>
  <c r="Q255"/>
  <c r="AF255"/>
  <c r="O267"/>
  <c r="AD86"/>
  <c r="Q120"/>
  <c r="AF120"/>
  <c r="AD530"/>
  <c r="AD529"/>
  <c r="Q278"/>
  <c r="O756"/>
  <c r="O772"/>
  <c r="O300"/>
  <c r="O639"/>
  <c r="O782"/>
  <c r="O311"/>
  <c r="AF278"/>
  <c r="O289"/>
  <c r="Q276"/>
  <c r="O753"/>
  <c r="O769"/>
  <c r="O298"/>
  <c r="O637"/>
  <c r="O780"/>
  <c r="O309"/>
  <c r="O287"/>
  <c r="AF276"/>
  <c r="Q274"/>
  <c r="O318"/>
  <c r="O296"/>
  <c r="O635"/>
  <c r="O307"/>
  <c r="O285"/>
  <c r="AF274"/>
  <c r="O262"/>
  <c r="Q250"/>
  <c r="AF250"/>
  <c r="O244"/>
  <c r="O266"/>
  <c r="Q254"/>
  <c r="AF254"/>
  <c r="Q631"/>
  <c r="O674"/>
  <c r="AF631"/>
  <c r="O717"/>
  <c r="U15" i="4" l="1"/>
  <c r="AF15"/>
  <c r="AF22"/>
  <c r="M16" i="3"/>
  <c r="W14" i="4"/>
  <c r="W21"/>
  <c r="AF12"/>
  <c r="W13"/>
  <c r="U27"/>
  <c r="U23"/>
  <c r="W27"/>
  <c r="AF21"/>
  <c r="W12"/>
  <c r="AF24"/>
  <c r="AD73" i="2"/>
  <c r="U21"/>
  <c r="AA13" i="5"/>
  <c r="Q244" i="2"/>
  <c r="Q246" s="1"/>
  <c r="O633"/>
  <c r="O256"/>
  <c r="AF244"/>
  <c r="AF246"/>
  <c r="Q262"/>
  <c r="AF262"/>
  <c r="Q285"/>
  <c r="AF285"/>
  <c r="Q635"/>
  <c r="O678"/>
  <c r="O721"/>
  <c r="AF635"/>
  <c r="O326"/>
  <c r="Q326" s="1"/>
  <c r="Q318"/>
  <c r="O334"/>
  <c r="AF318"/>
  <c r="Q309"/>
  <c r="AF309"/>
  <c r="Q637"/>
  <c r="O680"/>
  <c r="O723"/>
  <c r="AF637"/>
  <c r="Q769"/>
  <c r="AF769"/>
  <c r="Q782"/>
  <c r="AF782"/>
  <c r="Q300"/>
  <c r="AF300"/>
  <c r="Q756"/>
  <c r="AF756"/>
  <c r="O78"/>
  <c r="O79"/>
  <c r="O80"/>
  <c r="O82"/>
  <c r="Q265"/>
  <c r="AF265"/>
  <c r="Q166"/>
  <c r="O178"/>
  <c r="AF166"/>
  <c r="O190"/>
  <c r="Q164"/>
  <c r="O176"/>
  <c r="O188"/>
  <c r="AF164"/>
  <c r="Q162"/>
  <c r="O174"/>
  <c r="AF162"/>
  <c r="O186"/>
  <c r="O32" i="3"/>
  <c r="Q32" s="1"/>
  <c r="S32"/>
  <c r="U32" i="1"/>
  <c r="AD38" i="4"/>
  <c r="AF38"/>
  <c r="AC38"/>
  <c r="Q713" i="2"/>
  <c r="AF713"/>
  <c r="Q670"/>
  <c r="AF670"/>
  <c r="Q308"/>
  <c r="AF308"/>
  <c r="Q636"/>
  <c r="O679"/>
  <c r="AF636"/>
  <c r="O722"/>
  <c r="AF768"/>
  <c r="Q768"/>
  <c r="Q288"/>
  <c r="AF288"/>
  <c r="Q638"/>
  <c r="O681"/>
  <c r="AF638"/>
  <c r="O724"/>
  <c r="AF299"/>
  <c r="Q299"/>
  <c r="Q755"/>
  <c r="AF755"/>
  <c r="M50" i="3"/>
  <c r="S46"/>
  <c r="O16"/>
  <c r="Q16" s="1"/>
  <c r="S16"/>
  <c r="U16" i="1"/>
  <c r="Q718" i="2"/>
  <c r="AF718"/>
  <c r="Q716"/>
  <c r="AF716"/>
  <c r="Q714"/>
  <c r="AF714"/>
  <c r="O545"/>
  <c r="AD52"/>
  <c r="AD51"/>
  <c r="M15" i="3"/>
  <c r="AD18" i="2"/>
  <c r="Q717"/>
  <c r="AF717"/>
  <c r="Q674"/>
  <c r="AF674"/>
  <c r="Q266"/>
  <c r="AF266"/>
  <c r="Q307"/>
  <c r="AF307"/>
  <c r="Q296"/>
  <c r="AF296"/>
  <c r="Q287"/>
  <c r="AF287"/>
  <c r="Q780"/>
  <c r="AF780"/>
  <c r="Q298"/>
  <c r="AF298"/>
  <c r="Q753"/>
  <c r="AF753"/>
  <c r="Q289"/>
  <c r="AF289"/>
  <c r="Q311"/>
  <c r="AF311"/>
  <c r="Q639"/>
  <c r="O682"/>
  <c r="O725"/>
  <c r="AF639"/>
  <c r="Q772"/>
  <c r="AF772"/>
  <c r="Q267"/>
  <c r="AF267"/>
  <c r="Q263"/>
  <c r="AF263"/>
  <c r="Q167"/>
  <c r="O179"/>
  <c r="AF167"/>
  <c r="O191"/>
  <c r="Q165"/>
  <c r="O177"/>
  <c r="O189"/>
  <c r="AF165"/>
  <c r="Q163"/>
  <c r="O175"/>
  <c r="AF163"/>
  <c r="O187"/>
  <c r="AD554"/>
  <c r="AD553"/>
  <c r="AF39" i="4"/>
  <c r="AC39"/>
  <c r="AD39"/>
  <c r="Q715" i="2"/>
  <c r="AF715"/>
  <c r="Q672"/>
  <c r="AF672"/>
  <c r="Q264"/>
  <c r="AF264"/>
  <c r="Q286"/>
  <c r="AF286"/>
  <c r="Q779"/>
  <c r="AF779"/>
  <c r="AF297"/>
  <c r="Q297"/>
  <c r="Q752"/>
  <c r="AF752"/>
  <c r="Q310"/>
  <c r="AF310"/>
  <c r="Q781"/>
  <c r="AF781"/>
  <c r="AF771"/>
  <c r="Q771"/>
  <c r="Q45" i="3"/>
  <c r="O46"/>
  <c r="AF675" i="2"/>
  <c r="Q675"/>
  <c r="AF673"/>
  <c r="Q673"/>
  <c r="AF671"/>
  <c r="Q671"/>
  <c r="AD352"/>
  <c r="AB13" i="5" l="1"/>
  <c r="AA45"/>
  <c r="AC45"/>
  <c r="K27"/>
  <c r="K23"/>
  <c r="K21"/>
  <c r="K18"/>
  <c r="K14"/>
  <c r="K31"/>
  <c r="K13"/>
  <c r="K12"/>
  <c r="K11"/>
  <c r="K10"/>
  <c r="K25"/>
  <c r="K26"/>
  <c r="K24"/>
  <c r="K22"/>
  <c r="K20"/>
  <c r="K16"/>
  <c r="K28"/>
  <c r="K19"/>
  <c r="K15"/>
  <c r="K30"/>
  <c r="K29"/>
  <c r="O279" i="2"/>
  <c r="Q279" s="1"/>
  <c r="Q281" s="1"/>
  <c r="O50" i="3"/>
  <c r="Q46"/>
  <c r="Q189" i="2"/>
  <c r="AF189"/>
  <c r="Q725"/>
  <c r="AF725"/>
  <c r="S15" i="3"/>
  <c r="M18"/>
  <c r="S18" s="1"/>
  <c r="O15"/>
  <c r="U15" i="1"/>
  <c r="U18" s="1"/>
  <c r="O168" i="2"/>
  <c r="Q188"/>
  <c r="AF188"/>
  <c r="O140"/>
  <c r="O152"/>
  <c r="Q80"/>
  <c r="O104"/>
  <c r="AF80"/>
  <c r="O92"/>
  <c r="O116"/>
  <c r="O138"/>
  <c r="O150"/>
  <c r="Q78"/>
  <c r="O102"/>
  <c r="AF78"/>
  <c r="O90"/>
  <c r="O114"/>
  <c r="Q723"/>
  <c r="AF723"/>
  <c r="Q334"/>
  <c r="AF334"/>
  <c r="Q721"/>
  <c r="AF721"/>
  <c r="Q633"/>
  <c r="O676"/>
  <c r="AF633"/>
  <c r="O719"/>
  <c r="O351"/>
  <c r="O362"/>
  <c r="O344"/>
  <c r="O345"/>
  <c r="O346"/>
  <c r="O347"/>
  <c r="Q187"/>
  <c r="AF187"/>
  <c r="AF175"/>
  <c r="Q175"/>
  <c r="AF177"/>
  <c r="Q177"/>
  <c r="Q191"/>
  <c r="AF191"/>
  <c r="AF179"/>
  <c r="Q179"/>
  <c r="AF682"/>
  <c r="Q682"/>
  <c r="AD21"/>
  <c r="AD20"/>
  <c r="Q545"/>
  <c r="Q547" s="1"/>
  <c r="Q548" s="1"/>
  <c r="AF545"/>
  <c r="S50" i="3"/>
  <c r="Q724" i="2"/>
  <c r="AF724"/>
  <c r="Q681"/>
  <c r="AF681"/>
  <c r="Q722"/>
  <c r="AF722"/>
  <c r="Q679"/>
  <c r="AF679"/>
  <c r="Q186"/>
  <c r="AF186"/>
  <c r="Q174"/>
  <c r="AF174"/>
  <c r="Q176"/>
  <c r="AF176"/>
  <c r="Q190"/>
  <c r="AF190"/>
  <c r="Q178"/>
  <c r="AF178"/>
  <c r="O142"/>
  <c r="O154"/>
  <c r="Q82"/>
  <c r="O94"/>
  <c r="O106"/>
  <c r="AF82"/>
  <c r="O118"/>
  <c r="O139"/>
  <c r="O151"/>
  <c r="Q79"/>
  <c r="O91"/>
  <c r="O103"/>
  <c r="O115"/>
  <c r="AF79"/>
  <c r="AF680"/>
  <c r="Q680"/>
  <c r="AD321"/>
  <c r="O319" s="1"/>
  <c r="AF678"/>
  <c r="Q678"/>
  <c r="O268"/>
  <c r="AF256"/>
  <c r="Q256"/>
  <c r="Q258" s="1"/>
  <c r="AD256" s="1"/>
  <c r="M24" i="3"/>
  <c r="AD245" i="2"/>
  <c r="AD238"/>
  <c r="AD31" i="5" l="1"/>
  <c r="O29"/>
  <c r="M29"/>
  <c r="AD15"/>
  <c r="O15"/>
  <c r="M15"/>
  <c r="AD30"/>
  <c r="M28"/>
  <c r="O28"/>
  <c r="O20"/>
  <c r="AD20"/>
  <c r="AB37"/>
  <c r="M20"/>
  <c r="O24"/>
  <c r="AD25"/>
  <c r="M24"/>
  <c r="M25"/>
  <c r="AD26"/>
  <c r="O25"/>
  <c r="M11"/>
  <c r="AD11"/>
  <c r="O11"/>
  <c r="M13"/>
  <c r="AD13"/>
  <c r="O13"/>
  <c r="O14"/>
  <c r="M14"/>
  <c r="AD14"/>
  <c r="O21"/>
  <c r="AD21"/>
  <c r="M21"/>
  <c r="M27"/>
  <c r="O27"/>
  <c r="AD28"/>
  <c r="M30"/>
  <c r="O30"/>
  <c r="AD32"/>
  <c r="AD19"/>
  <c r="M19"/>
  <c r="O19"/>
  <c r="O16"/>
  <c r="AD16"/>
  <c r="M16"/>
  <c r="AD22"/>
  <c r="O22"/>
  <c r="M22"/>
  <c r="AD27"/>
  <c r="O26"/>
  <c r="M26"/>
  <c r="M10"/>
  <c r="O10"/>
  <c r="AD10"/>
  <c r="AD12"/>
  <c r="O12"/>
  <c r="M12"/>
  <c r="O31"/>
  <c r="AD33"/>
  <c r="M31"/>
  <c r="O18"/>
  <c r="AD18"/>
  <c r="AB39"/>
  <c r="M18"/>
  <c r="O23"/>
  <c r="AD24"/>
  <c r="M23"/>
  <c r="O290" i="2"/>
  <c r="Q290" s="1"/>
  <c r="Q292" s="1"/>
  <c r="AD290" s="1"/>
  <c r="O640"/>
  <c r="Q640" s="1"/>
  <c r="Q641" s="1"/>
  <c r="O783"/>
  <c r="O773"/>
  <c r="Q773" s="1"/>
  <c r="AF279"/>
  <c r="O312"/>
  <c r="AF312" s="1"/>
  <c r="O757"/>
  <c r="O301"/>
  <c r="Q301" s="1"/>
  <c r="Q303" s="1"/>
  <c r="AD301" s="1"/>
  <c r="S24" i="3"/>
  <c r="O24"/>
  <c r="Q24" s="1"/>
  <c r="U24" i="1"/>
  <c r="Q115" i="2"/>
  <c r="AF115"/>
  <c r="Q151"/>
  <c r="AF151"/>
  <c r="Q118"/>
  <c r="AF118"/>
  <c r="AF106"/>
  <c r="Q106"/>
  <c r="AF268"/>
  <c r="Q268"/>
  <c r="Q270" s="1"/>
  <c r="AD268" s="1"/>
  <c r="AF103"/>
  <c r="Q103"/>
  <c r="Q139"/>
  <c r="AF139"/>
  <c r="AF94"/>
  <c r="O130"/>
  <c r="Q94"/>
  <c r="Q154"/>
  <c r="AF154"/>
  <c r="Q346"/>
  <c r="AF346"/>
  <c r="Q344"/>
  <c r="O360"/>
  <c r="AF344"/>
  <c r="Q351"/>
  <c r="Q352" s="1"/>
  <c r="O367"/>
  <c r="AF351"/>
  <c r="Q114"/>
  <c r="AF114"/>
  <c r="Q138"/>
  <c r="AF138"/>
  <c r="O128"/>
  <c r="Q92"/>
  <c r="AF92"/>
  <c r="Q104"/>
  <c r="AF104"/>
  <c r="Q152"/>
  <c r="AF152"/>
  <c r="Q168"/>
  <c r="Q170" s="1"/>
  <c r="O180"/>
  <c r="O192"/>
  <c r="AF168"/>
  <c r="Q783"/>
  <c r="Q784" s="1"/>
  <c r="AD784" s="1"/>
  <c r="AF783"/>
  <c r="AF773"/>
  <c r="AD241"/>
  <c r="AD240"/>
  <c r="O335"/>
  <c r="O327"/>
  <c r="Q327" s="1"/>
  <c r="Q319"/>
  <c r="AF319"/>
  <c r="AF91"/>
  <c r="O127"/>
  <c r="Q91"/>
  <c r="Q142"/>
  <c r="AF142"/>
  <c r="M31" i="3"/>
  <c r="AD548" i="2"/>
  <c r="AD542"/>
  <c r="Q347"/>
  <c r="AF347"/>
  <c r="Q345"/>
  <c r="O361"/>
  <c r="AF345"/>
  <c r="Q362"/>
  <c r="AF362"/>
  <c r="Q719"/>
  <c r="AF719"/>
  <c r="Q676"/>
  <c r="AF676"/>
  <c r="O126"/>
  <c r="Q90"/>
  <c r="AF90"/>
  <c r="Q102"/>
  <c r="AF102"/>
  <c r="Q150"/>
  <c r="AF150"/>
  <c r="Q116"/>
  <c r="AF116"/>
  <c r="Q140"/>
  <c r="AF140"/>
  <c r="O18" i="3"/>
  <c r="Q18" s="1"/>
  <c r="Q15"/>
  <c r="Q50"/>
  <c r="Q757" i="2"/>
  <c r="AD273" s="1"/>
  <c r="AF757"/>
  <c r="M25" i="3"/>
  <c r="AD280" i="2"/>
  <c r="AF301" l="1"/>
  <c r="Q312"/>
  <c r="Q314" s="1"/>
  <c r="AD312" s="1"/>
  <c r="AF640"/>
  <c r="O726"/>
  <c r="AF726" s="1"/>
  <c r="O683"/>
  <c r="Q683" s="1"/>
  <c r="Q684" s="1"/>
  <c r="AD684" s="1"/>
  <c r="AA26" i="4"/>
  <c r="AA26" i="5"/>
  <c r="O83" i="2"/>
  <c r="O155" s="1"/>
  <c r="AF290"/>
  <c r="AF37" i="5"/>
  <c r="AC37"/>
  <c r="AD37"/>
  <c r="AF39"/>
  <c r="AD39"/>
  <c r="AC39"/>
  <c r="AD641" i="2"/>
  <c r="AD609"/>
  <c r="O25" i="3"/>
  <c r="S25"/>
  <c r="U25" i="1"/>
  <c r="Q126" i="2"/>
  <c r="AF126"/>
  <c r="Q127"/>
  <c r="AF127"/>
  <c r="Q192"/>
  <c r="Q194" s="1"/>
  <c r="AF192"/>
  <c r="M21" i="3"/>
  <c r="AD161" i="2"/>
  <c r="AD167"/>
  <c r="Q367"/>
  <c r="Q368" s="1"/>
  <c r="AF367"/>
  <c r="Q348"/>
  <c r="Q354" s="1"/>
  <c r="Q130"/>
  <c r="AF130"/>
  <c r="AD276"/>
  <c r="AD275"/>
  <c r="Q361"/>
  <c r="AF361"/>
  <c r="AD545"/>
  <c r="AD544"/>
  <c r="O31" i="3"/>
  <c r="Q31" s="1"/>
  <c r="S31"/>
  <c r="U31" i="1"/>
  <c r="O320" i="2"/>
  <c r="Q335"/>
  <c r="AF335"/>
  <c r="AF180"/>
  <c r="Q180"/>
  <c r="Q182" s="1"/>
  <c r="Q128"/>
  <c r="AF128"/>
  <c r="Q360"/>
  <c r="AF360"/>
  <c r="Q726" l="1"/>
  <c r="Q727" s="1"/>
  <c r="AD727" s="1"/>
  <c r="AF683"/>
  <c r="O107"/>
  <c r="Q107" s="1"/>
  <c r="Q110" s="1"/>
  <c r="AD110" s="1"/>
  <c r="O119"/>
  <c r="AF119" s="1"/>
  <c r="O143"/>
  <c r="AF143" s="1"/>
  <c r="O95"/>
  <c r="AF95" s="1"/>
  <c r="Q83"/>
  <c r="Q86" s="1"/>
  <c r="M20" i="3" s="1"/>
  <c r="AF83" i="2"/>
  <c r="AD181"/>
  <c r="AD180"/>
  <c r="O336"/>
  <c r="O328"/>
  <c r="Q328" s="1"/>
  <c r="Q330" s="1"/>
  <c r="Q320"/>
  <c r="Q322" s="1"/>
  <c r="AF320"/>
  <c r="AD164"/>
  <c r="AD163"/>
  <c r="Q25" i="3"/>
  <c r="M28"/>
  <c r="AD353" i="2"/>
  <c r="O363"/>
  <c r="O21" i="3"/>
  <c r="Q21" s="1"/>
  <c r="S21"/>
  <c r="U21" i="1"/>
  <c r="AD193" i="2"/>
  <c r="AD192"/>
  <c r="O605"/>
  <c r="O611"/>
  <c r="O604"/>
  <c r="O607"/>
  <c r="O609"/>
  <c r="O612"/>
  <c r="O616"/>
  <c r="O618"/>
  <c r="O619"/>
  <c r="O621"/>
  <c r="O623"/>
  <c r="Q155"/>
  <c r="Q158" s="1"/>
  <c r="AF155"/>
  <c r="Q143" l="1"/>
  <c r="Q146" s="1"/>
  <c r="AF107"/>
  <c r="Q95"/>
  <c r="Q98" s="1"/>
  <c r="AD98" s="1"/>
  <c r="O131"/>
  <c r="AF131" s="1"/>
  <c r="Q119"/>
  <c r="Q122" s="1"/>
  <c r="AD122" s="1"/>
  <c r="AD157"/>
  <c r="AD156"/>
  <c r="Q623"/>
  <c r="O709"/>
  <c r="AF623"/>
  <c r="O750"/>
  <c r="O666"/>
  <c r="Q616"/>
  <c r="O702"/>
  <c r="O659"/>
  <c r="AF616"/>
  <c r="O652"/>
  <c r="Q609"/>
  <c r="O695"/>
  <c r="AF609"/>
  <c r="O647"/>
  <c r="Q604"/>
  <c r="O690"/>
  <c r="AF604"/>
  <c r="O691"/>
  <c r="O648"/>
  <c r="Q605"/>
  <c r="AF605"/>
  <c r="Q363"/>
  <c r="Q364" s="1"/>
  <c r="Q370" s="1"/>
  <c r="AF363"/>
  <c r="O20" i="3"/>
  <c r="S20"/>
  <c r="U20" i="1"/>
  <c r="M26" i="3"/>
  <c r="AD316" i="2"/>
  <c r="Q336"/>
  <c r="Q338" s="1"/>
  <c r="AF336"/>
  <c r="AD145"/>
  <c r="AD144"/>
  <c r="Q619"/>
  <c r="O705"/>
  <c r="O746"/>
  <c r="O662"/>
  <c r="AF619"/>
  <c r="Q621"/>
  <c r="O707"/>
  <c r="AF621"/>
  <c r="O622"/>
  <c r="O748"/>
  <c r="O664"/>
  <c r="Q618"/>
  <c r="O704"/>
  <c r="AF618"/>
  <c r="O745"/>
  <c r="O661"/>
  <c r="O655"/>
  <c r="Q612"/>
  <c r="O698"/>
  <c r="AF612"/>
  <c r="O650"/>
  <c r="O608"/>
  <c r="Q607"/>
  <c r="O693"/>
  <c r="AF607"/>
  <c r="O697"/>
  <c r="O654"/>
  <c r="Q611"/>
  <c r="AF611"/>
  <c r="O28" i="3"/>
  <c r="S28"/>
  <c r="U28" i="1"/>
  <c r="AD80" i="2"/>
  <c r="Q131" l="1"/>
  <c r="Q134" s="1"/>
  <c r="M22" i="3" s="1"/>
  <c r="AD83" i="2"/>
  <c r="AD82"/>
  <c r="Q697"/>
  <c r="AF697"/>
  <c r="AF693"/>
  <c r="Q693"/>
  <c r="Q654"/>
  <c r="AF654"/>
  <c r="Q650"/>
  <c r="AF650"/>
  <c r="AF698"/>
  <c r="Q698"/>
  <c r="Q655"/>
  <c r="AF655"/>
  <c r="Q745"/>
  <c r="AF745"/>
  <c r="O761"/>
  <c r="AF704"/>
  <c r="Q704"/>
  <c r="Q664"/>
  <c r="AF664"/>
  <c r="Q622"/>
  <c r="O708"/>
  <c r="O749"/>
  <c r="O665"/>
  <c r="AF622"/>
  <c r="O764"/>
  <c r="AF707"/>
  <c r="Q707"/>
  <c r="Q746"/>
  <c r="AF746"/>
  <c r="O26" i="3"/>
  <c r="S26"/>
  <c r="U26" i="1"/>
  <c r="U27" s="1"/>
  <c r="M27" i="3"/>
  <c r="S27" s="1"/>
  <c r="Q648" i="2"/>
  <c r="AF648"/>
  <c r="Q702"/>
  <c r="AF702"/>
  <c r="Q666"/>
  <c r="AF666"/>
  <c r="Q28" i="3"/>
  <c r="O694" i="2"/>
  <c r="O651"/>
  <c r="Q608"/>
  <c r="AF608"/>
  <c r="Q661"/>
  <c r="AF661"/>
  <c r="Q748"/>
  <c r="AF748"/>
  <c r="AD133"/>
  <c r="Q662"/>
  <c r="AF662"/>
  <c r="O762"/>
  <c r="Q705"/>
  <c r="AF705"/>
  <c r="AD319"/>
  <c r="AD318"/>
  <c r="Q20" i="3"/>
  <c r="M29"/>
  <c r="AD369" i="2"/>
  <c r="AD347"/>
  <c r="Q691"/>
  <c r="AF691"/>
  <c r="AF690"/>
  <c r="Q690"/>
  <c r="Q647"/>
  <c r="AF647"/>
  <c r="AF695"/>
  <c r="Q695"/>
  <c r="Q652"/>
  <c r="AF652"/>
  <c r="Q659"/>
  <c r="AF659"/>
  <c r="Q750"/>
  <c r="AF750"/>
  <c r="O766"/>
  <c r="AF709"/>
  <c r="Q709"/>
  <c r="AD132" l="1"/>
  <c r="Q766"/>
  <c r="AF766"/>
  <c r="AD351"/>
  <c r="AD349"/>
  <c r="S29" i="3"/>
  <c r="O29"/>
  <c r="U29" i="1"/>
  <c r="U30" s="1"/>
  <c r="M30" i="3"/>
  <c r="S30" s="1"/>
  <c r="O22"/>
  <c r="S22"/>
  <c r="U22" i="1"/>
  <c r="U23" s="1"/>
  <c r="M23" i="3"/>
  <c r="S23" s="1"/>
  <c r="Q694" i="2"/>
  <c r="AF694"/>
  <c r="Q26" i="3"/>
  <c r="O27"/>
  <c r="Q27" s="1"/>
  <c r="Q749" i="2"/>
  <c r="O614" s="1"/>
  <c r="AF749"/>
  <c r="AF762"/>
  <c r="Q762"/>
  <c r="Q651"/>
  <c r="AF651"/>
  <c r="Q764"/>
  <c r="AF764"/>
  <c r="Q665"/>
  <c r="AF665"/>
  <c r="O765"/>
  <c r="Q708"/>
  <c r="AF708"/>
  <c r="Q761"/>
  <c r="AF761"/>
  <c r="Q758" l="1"/>
  <c r="M36" i="3" s="1"/>
  <c r="O657" i="2"/>
  <c r="O615"/>
  <c r="O700"/>
  <c r="Q614"/>
  <c r="AF614"/>
  <c r="AF765"/>
  <c r="Q765"/>
  <c r="Q774" s="1"/>
  <c r="AD774" s="1"/>
  <c r="Q29" i="3"/>
  <c r="O30"/>
  <c r="Q30" s="1"/>
  <c r="Q22"/>
  <c r="O23"/>
  <c r="Q23" s="1"/>
  <c r="AD758" i="2" l="1"/>
  <c r="O701"/>
  <c r="O710" s="1"/>
  <c r="AF615"/>
  <c r="O658"/>
  <c r="Q615"/>
  <c r="Q624" s="1"/>
  <c r="O36" i="3"/>
  <c r="Q36" s="1"/>
  <c r="S36"/>
  <c r="U36" i="1"/>
  <c r="Q700" i="2"/>
  <c r="AF700"/>
  <c r="AF657"/>
  <c r="Q657"/>
  <c r="Q643" l="1"/>
  <c r="AD624"/>
  <c r="Q658"/>
  <c r="Q667" s="1"/>
  <c r="AF658"/>
  <c r="AF701"/>
  <c r="Q701"/>
  <c r="Q710" s="1"/>
  <c r="Q729" l="1"/>
  <c r="AD729" s="1"/>
  <c r="AD710"/>
  <c r="AD667"/>
  <c r="Q686"/>
  <c r="M33" i="3"/>
  <c r="AD643" i="2"/>
  <c r="AD604"/>
  <c r="S33" i="3" l="1"/>
  <c r="O33"/>
  <c r="U33" i="1"/>
  <c r="U38" s="1"/>
  <c r="M38" i="3"/>
  <c r="AD686" i="2"/>
  <c r="Q811"/>
  <c r="AD607"/>
  <c r="AD606"/>
  <c r="M39" i="3" l="1"/>
  <c r="S38"/>
  <c r="M51"/>
  <c r="S51" s="1"/>
  <c r="Q33"/>
  <c r="O38"/>
  <c r="U39" i="1"/>
  <c r="U51"/>
  <c r="U52" s="1"/>
  <c r="O39" i="3" l="1"/>
  <c r="Q38"/>
  <c r="O51"/>
  <c r="S39"/>
  <c r="M52"/>
  <c r="S52" s="1"/>
  <c r="Q51" l="1"/>
  <c r="AD560" i="2"/>
  <c r="Q39" i="3"/>
  <c r="O52"/>
  <c r="Q52" s="1"/>
</calcChain>
</file>

<file path=xl/comments1.xml><?xml version="1.0" encoding="utf-8"?>
<comments xmlns="http://schemas.openxmlformats.org/spreadsheetml/2006/main">
  <authors>
    <author>James Zhang</author>
  </authors>
  <commentList>
    <comment ref="AC27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AC28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AC29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B392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B395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B398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AD558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  <comment ref="AD559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</commentList>
</comments>
</file>

<file path=xl/sharedStrings.xml><?xml version="1.0" encoding="utf-8"?>
<sst xmlns="http://schemas.openxmlformats.org/spreadsheetml/2006/main" count="1533" uniqueCount="450">
  <si>
    <r>
      <t xml:space="preserve">Summer Price </t>
    </r>
    <r>
      <rPr>
        <sz val="12"/>
        <color indexed="8"/>
        <rFont val="Symbol"/>
        <family val="1"/>
        <charset val="2"/>
      </rPr>
      <t>D</t>
    </r>
  </si>
  <si>
    <t>Summer Block #2</t>
    <phoneticPr fontId="39" type="noConversion"/>
  </si>
  <si>
    <t>Summer Tail Block</t>
    <phoneticPr fontId="39" type="noConversion"/>
  </si>
  <si>
    <t>Winter</t>
    <phoneticPr fontId="39" type="noConversion"/>
  </si>
  <si>
    <t>Current Price</t>
    <phoneticPr fontId="39" type="noConversion"/>
  </si>
  <si>
    <t>RMP Proposal</t>
    <phoneticPr fontId="39" type="noConversion"/>
  </si>
  <si>
    <t>Summer Block #1</t>
    <phoneticPr fontId="39" type="noConversion"/>
  </si>
  <si>
    <t>Customer Charge - 1 Phase</t>
    <phoneticPr fontId="39" type="noConversion"/>
  </si>
  <si>
    <t>OCS Proposal</t>
    <phoneticPr fontId="39" type="noConversion"/>
  </si>
  <si>
    <t>Customer Charge - 3 Phase</t>
    <phoneticPr fontId="39" type="noConversion"/>
  </si>
  <si>
    <t>Net</t>
  </si>
  <si>
    <r>
      <t>1</t>
    </r>
    <r>
      <rPr>
        <sz val="10"/>
        <rFont val="Times New Roman"/>
        <family val="1"/>
      </rPr>
      <t xml:space="preserve">  Including HELP, DSM, REC and applicable adjustment.</t>
    </r>
  </si>
  <si>
    <t>w: Winter average usage; a:  Annual average usage; s: Summer average usage.</t>
  </si>
  <si>
    <t xml:space="preserve">Proposed </t>
  </si>
  <si>
    <t>Annual</t>
  </si>
  <si>
    <t>Single Phase</t>
  </si>
  <si>
    <t>Three Phase</t>
  </si>
  <si>
    <t>Minimum Bill</t>
  </si>
  <si>
    <t>Pre</t>
  </si>
  <si>
    <t>Pro</t>
  </si>
  <si>
    <t>Min Rate</t>
  </si>
  <si>
    <t>Min kWh-Summer</t>
  </si>
  <si>
    <t>Min kWh-Winter</t>
  </si>
  <si>
    <t>Base Period 12 Months Ending June 2011</t>
  </si>
  <si>
    <t>Forecast Test Period 12 Months Ending May 2013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</si>
  <si>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</si>
  <si>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</si>
  <si>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</si>
  <si>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</si>
  <si>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</si>
  <si>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</si>
  <si>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Non-Sup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</si>
  <si>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</si>
  <si>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</si>
  <si>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</si>
  <si>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</si>
  <si>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</si>
  <si>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</si>
  <si>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>Schedule No.31 - Back-Up, Maintenance, and Supplementary Power - Commercial</t>
  </si>
  <si>
    <t>Schedule No. 31 - Back-Up, Maintenance, and Supplementary Power - Industrial</t>
  </si>
  <si>
    <t xml:space="preserve">  kW High Load Hours</t>
  </si>
  <si>
    <t xml:space="preserve">  kW Low Load Hours</t>
  </si>
  <si>
    <t xml:space="preserve">  kWh High Load Hours</t>
  </si>
  <si>
    <t xml:space="preserve">  kWh Low Load Hours</t>
  </si>
  <si>
    <t xml:space="preserve">  Interruptible kWh</t>
  </si>
  <si>
    <t>Contract 3 - Composite</t>
  </si>
  <si>
    <t xml:space="preserve">  Facilities Charge per kW - Back-Up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</si>
  <si>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</si>
  <si>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</si>
  <si>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</si>
  <si>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</si>
  <si>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</si>
  <si>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</si>
  <si>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</si>
  <si>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</si>
  <si>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</si>
  <si>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</si>
  <si>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Contract 3a</t>
  </si>
  <si>
    <t>Contract 3b</t>
  </si>
  <si>
    <t>Rate No. 77 - Security Lighting, 08THIK0077</t>
  </si>
  <si>
    <t xml:space="preserve">  Customer</t>
  </si>
  <si>
    <t xml:space="preserve">  20,000 Mercury Vapor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</si>
  <si>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</si>
  <si>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</si>
  <si>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</si>
  <si>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</si>
  <si>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</si>
  <si>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</si>
  <si>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</si>
  <si>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</si>
  <si>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</si>
  <si>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</si>
  <si>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</si>
  <si>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</si>
  <si>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</si>
  <si>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Table  A</t>
  </si>
  <si>
    <t>Present</t>
  </si>
  <si>
    <t>Monthly Average</t>
  </si>
  <si>
    <t>kWh</t>
  </si>
  <si>
    <t>$</t>
  </si>
  <si>
    <t>Monthly Billing Comparison</t>
  </si>
  <si>
    <t>Schedule 1 - State of Utah</t>
  </si>
  <si>
    <t>Residential Service</t>
  </si>
  <si>
    <r>
      <t>Monthly Energy Charge</t>
    </r>
    <r>
      <rPr>
        <b/>
        <vertAlign val="superscript"/>
        <sz val="10"/>
        <rFont val="Times New Roman"/>
        <family val="1"/>
      </rPr>
      <t>1</t>
    </r>
  </si>
  <si>
    <t>Average Rate</t>
  </si>
  <si>
    <t>Monthly Customer Charge</t>
  </si>
  <si>
    <t>Summer</t>
  </si>
  <si>
    <t>Winter</t>
  </si>
  <si>
    <r>
      <t xml:space="preserve">$ </t>
    </r>
    <r>
      <rPr>
        <sz val="10"/>
        <rFont val="Century Schoolbook"/>
        <family val="1"/>
      </rPr>
      <t>Δ</t>
    </r>
  </si>
  <si>
    <r>
      <t xml:space="preserve">% </t>
    </r>
    <r>
      <rPr>
        <sz val="10"/>
        <rFont val="Century Schoolbook"/>
        <family val="1"/>
      </rPr>
      <t>Δ</t>
    </r>
  </si>
  <si>
    <t>Basic</t>
  </si>
  <si>
    <t>kWh1</t>
  </si>
  <si>
    <t>kWh2</t>
  </si>
  <si>
    <t>kWh3</t>
  </si>
  <si>
    <t>Minimum</t>
  </si>
  <si>
    <t>w</t>
  </si>
  <si>
    <t>HELP</t>
  </si>
  <si>
    <t>a</t>
  </si>
  <si>
    <t>DSM</t>
  </si>
  <si>
    <t>s</t>
  </si>
  <si>
    <t>Table A Price Change</t>
  </si>
  <si>
    <t>Sch 40</t>
  </si>
  <si>
    <t>Sch 97</t>
  </si>
  <si>
    <t>Sch 98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</si>
  <si>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</si>
  <si>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</si>
  <si>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</si>
  <si>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</si>
  <si>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</si>
  <si>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</si>
  <si>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</si>
  <si>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</si>
  <si>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</si>
  <si>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</si>
  <si>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</si>
  <si>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</si>
  <si>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</si>
  <si>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</si>
  <si>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</si>
  <si>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</si>
  <si>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</si>
  <si>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</si>
  <si>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</si>
  <si>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</si>
  <si>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</si>
  <si>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</si>
  <si>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</si>
  <si>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</si>
  <si>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</si>
  <si>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</si>
  <si>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</si>
  <si>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</si>
  <si>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</si>
  <si>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</si>
  <si>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</si>
  <si>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</si>
  <si>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</si>
  <si>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</si>
  <si>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</si>
  <si>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</si>
  <si>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</si>
  <si>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</si>
  <si>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</si>
  <si>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</si>
  <si>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</si>
  <si>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</si>
  <si>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</si>
  <si>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</si>
  <si>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Distribution Voltage - Small Customer - Composite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</si>
  <si>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</si>
  <si>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</si>
  <si>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</si>
  <si>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</si>
  <si>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</si>
  <si>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</si>
  <si>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Adj (Sch 23)</t>
  </si>
  <si>
    <t>Adj (Sch 6)</t>
  </si>
  <si>
    <t>Schedule No. 23 - Distribution Voltage - Small Customer - Commercial</t>
  </si>
  <si>
    <t>Schedule No. 23 - Distribution Voltage - Small Customer - Industrial</t>
  </si>
  <si>
    <t>Schedule No. 23 - Distribution Voltage - Small Customer - OSPA</t>
  </si>
  <si>
    <t>Schedule No.31 - Back-Up, Maintenance, and Supplementary Power - Composite</t>
  </si>
  <si>
    <t>Secondary Voltage</t>
  </si>
  <si>
    <t>Sch 31/Contract 3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</si>
  <si>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</si>
  <si>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</si>
  <si>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</si>
  <si>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</si>
  <si>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</si>
  <si>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</si>
  <si>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</si>
  <si>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11 - Street Lighting - Company-Owned System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</si>
  <si>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</si>
  <si>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</si>
  <si>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</si>
  <si>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</si>
  <si>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</si>
  <si>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</si>
  <si>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</si>
  <si>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</si>
  <si>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</si>
  <si>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</si>
  <si>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</si>
  <si>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</si>
  <si>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</si>
  <si>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</si>
  <si>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</si>
  <si>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</si>
  <si>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</si>
  <si>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</si>
  <si>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</si>
  <si>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</si>
  <si>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</si>
  <si>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</si>
  <si>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</si>
  <si>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</si>
  <si>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</si>
  <si>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</si>
  <si>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</si>
  <si>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</si>
  <si>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</si>
  <si>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</si>
  <si>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</si>
  <si>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</si>
  <si>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</si>
  <si>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</si>
  <si>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</si>
  <si>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</si>
  <si>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</si>
  <si>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</si>
  <si>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</si>
  <si>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</si>
  <si>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</si>
  <si>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</si>
  <si>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</si>
  <si>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</si>
  <si>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</si>
  <si>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</si>
  <si>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</si>
  <si>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</si>
  <si>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</si>
  <si>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</si>
  <si>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</si>
  <si>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</si>
  <si>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</si>
  <si>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</si>
  <si>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</si>
  <si>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</si>
  <si>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</si>
  <si>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</si>
  <si>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</si>
  <si>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</si>
  <si>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</si>
  <si>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>Schedule No. 6A - Energy Time-of-Day Option - Commercial</t>
  </si>
  <si>
    <t>Schedule No. 6A - Energy Time-of-Day Option - Industrial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</si>
  <si>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</si>
  <si>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</si>
  <si>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</si>
  <si>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</si>
  <si>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</si>
  <si>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</si>
  <si>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</si>
  <si>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</si>
  <si>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</si>
  <si>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</si>
  <si>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</si>
  <si>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</si>
  <si>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</si>
  <si>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</si>
  <si>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</si>
  <si>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</si>
  <si>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</si>
  <si>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</si>
  <si>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</si>
  <si>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</si>
  <si>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</si>
  <si>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</si>
  <si>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</si>
  <si>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</si>
  <si>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</si>
  <si>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</si>
  <si>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</si>
  <si>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</si>
  <si>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</si>
  <si>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</si>
  <si>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</si>
  <si>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Rate Change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</si>
  <si>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</si>
  <si>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</si>
  <si>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</si>
  <si>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</si>
  <si>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</si>
  <si>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</si>
  <si>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8 - Commercial</t>
  </si>
  <si>
    <t>Schedule No. 8 - Industrial</t>
  </si>
  <si>
    <t>Schedule No. 9 - Composite</t>
  </si>
  <si>
    <t>Sch 9/Contracts 3</t>
  </si>
  <si>
    <t xml:space="preserve">  On-Peak kWh (May-Sept)</t>
  </si>
  <si>
    <t xml:space="preserve">  On-Peak kWh (Oct-Apr)</t>
  </si>
  <si>
    <t>Schedule No. 9 - Commercial</t>
  </si>
  <si>
    <t>Schedule No. 9 - Industrial</t>
  </si>
  <si>
    <t>Schedule No. 9 - OSPA</t>
  </si>
  <si>
    <t>Schedule No. 9A - Energy TOD - Composite</t>
  </si>
  <si>
    <t xml:space="preserve">  Facilities Charge per kW</t>
  </si>
  <si>
    <t xml:space="preserve">  On-Peak kWh</t>
  </si>
  <si>
    <t>Schedule No. 9A - Energy TOD - Commercial</t>
  </si>
  <si>
    <t>Schedule No. 9A - Energy TOD - Industrial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</si>
  <si>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</si>
  <si>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</si>
  <si>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</si>
  <si>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</si>
  <si>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</si>
  <si>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</si>
  <si>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>Sch 10, 10TOD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</si>
  <si>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</si>
  <si>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</si>
  <si>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</si>
  <si>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</si>
  <si>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</si>
  <si>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Blocking Based on Adjusted Actuals and Forecasted Loads</t>
  </si>
  <si>
    <t>Forecasted</t>
  </si>
  <si>
    <t>Adjusted</t>
  </si>
  <si>
    <t>Revenue</t>
  </si>
  <si>
    <t>Actual Units</t>
  </si>
  <si>
    <t>Units</t>
  </si>
  <si>
    <t>Price</t>
  </si>
  <si>
    <t>Dollars</t>
  </si>
  <si>
    <t>Schedule No. 1- Residential Service</t>
  </si>
  <si>
    <t xml:space="preserve">  Total Customer</t>
  </si>
  <si>
    <t>In Rate</t>
  </si>
  <si>
    <t xml:space="preserve">  Customer Charge - 1 Phase</t>
  </si>
  <si>
    <t>Target</t>
  </si>
  <si>
    <t xml:space="preserve">  Customer Charge - 3 Phase</t>
  </si>
  <si>
    <t>D</t>
  </si>
  <si>
    <t xml:space="preserve">  First 400 kWh (May-Sept)</t>
  </si>
  <si>
    <t>¢</t>
  </si>
  <si>
    <t>In Rate Change</t>
  </si>
  <si>
    <t xml:space="preserve">  Next 600 kWh (May-Sept)</t>
  </si>
  <si>
    <t>Target Change</t>
  </si>
  <si>
    <t xml:space="preserve">  All add'l kWh (May-Sept)</t>
  </si>
  <si>
    <t>Energy %</t>
  </si>
  <si>
    <t xml:space="preserve">  All kWh (Oct-Apr)</t>
  </si>
  <si>
    <t>Basic Charge</t>
  </si>
  <si>
    <t xml:space="preserve">  Minimum 1 Phase</t>
  </si>
  <si>
    <t>Sch 1</t>
  </si>
  <si>
    <t xml:space="preserve">  Minimum 3 Phase</t>
  </si>
  <si>
    <t>Sch 1 Net</t>
  </si>
  <si>
    <t xml:space="preserve">  Minimum Seasonal</t>
  </si>
  <si>
    <t xml:space="preserve">Annual Avg Usage </t>
  </si>
  <si>
    <t xml:space="preserve">  kWh in Minimum</t>
  </si>
  <si>
    <t xml:space="preserve">Summer Avg Usage </t>
  </si>
  <si>
    <t xml:space="preserve">      kWh in Minimum - Summer</t>
  </si>
  <si>
    <t xml:space="preserve">Winter Avg Usage </t>
  </si>
  <si>
    <t xml:space="preserve">      kWh in Minimum - Winter</t>
  </si>
  <si>
    <t xml:space="preserve">  Unbilled</t>
  </si>
  <si>
    <t xml:space="preserve">  Total</t>
  </si>
  <si>
    <t>Schedule No. 3- Residential Service</t>
  </si>
  <si>
    <t>Net Change</t>
  </si>
  <si>
    <t>Avg Usage - A</t>
  </si>
  <si>
    <t>Avg Usage - S</t>
  </si>
  <si>
    <t>Avg Usage - W</t>
  </si>
  <si>
    <t>Schedule No. 2 - Residential Service Optional Time-of-Day</t>
  </si>
  <si>
    <t xml:space="preserve">  On-Peak kWh (May - Sept)</t>
  </si>
  <si>
    <t xml:space="preserve">  Off-Peak kWh (May - Sept)</t>
  </si>
  <si>
    <t>Avg Usage</t>
  </si>
  <si>
    <t>Schedule No. 6 - Composite</t>
  </si>
  <si>
    <t xml:space="preserve">  Customer Charge</t>
  </si>
  <si>
    <t xml:space="preserve">  All kW (May - Sept)</t>
  </si>
  <si>
    <t xml:space="preserve">  All kW (Oct - Apr)</t>
  </si>
  <si>
    <t xml:space="preserve">  Voltage Discount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</si>
  <si>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</si>
  <si>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</si>
  <si>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</si>
  <si>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</si>
  <si>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>Non-Basic Change</t>
  </si>
  <si>
    <t>Schedule No. 6 - Commercial</t>
  </si>
  <si>
    <t xml:space="preserve">      kWh (May-Sept)</t>
  </si>
  <si>
    <t xml:space="preserve">      kWh (Oct-Apr)</t>
  </si>
  <si>
    <t>Schedule No. 6 - Industrial</t>
  </si>
  <si>
    <t>Schedule No. 6 - OSPA</t>
  </si>
  <si>
    <t>Schedule No. 6B - Demand Time-of-Day Option - Composite</t>
  </si>
  <si>
    <t xml:space="preserve">  All On-peak kW (May - Sept)</t>
  </si>
  <si>
    <t xml:space="preserve">  All On-peak kW (Oct - Apr)</t>
  </si>
  <si>
    <t>Schedule No. 6B - Demand Time-of-Day Option - Commercial</t>
  </si>
  <si>
    <t>Schedule No. 6B - Demand Time-of-Day Option - Industrial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</si>
  <si>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</si>
  <si>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</si>
  <si>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</si>
  <si>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</si>
  <si>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</si>
  <si>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Summer Ratio</t>
  </si>
  <si>
    <t>Winter Ratio</t>
  </si>
  <si>
    <t>TABLE  A</t>
  </si>
  <si>
    <t>Rocky Mountain Power</t>
  </si>
  <si>
    <t>Estimated Effect of Proposed Changes</t>
  </si>
  <si>
    <t>on Revenues from Electric Sales to Ultimate Consumers in Utah</t>
  </si>
  <si>
    <t>No. of</t>
  </si>
  <si>
    <t xml:space="preserve">Present </t>
  </si>
  <si>
    <t>Proposed</t>
  </si>
  <si>
    <t>Line</t>
  </si>
  <si>
    <t>Sch</t>
  </si>
  <si>
    <t>Customers</t>
  </si>
  <si>
    <t>MWh</t>
  </si>
  <si>
    <t>Revenues</t>
  </si>
  <si>
    <t xml:space="preserve">Avg </t>
  </si>
  <si>
    <t>No.</t>
  </si>
  <si>
    <t>Description</t>
  </si>
  <si>
    <t>Forecast</t>
  </si>
  <si>
    <t>($000)</t>
  </si>
  <si>
    <t>Change</t>
  </si>
  <si>
    <t>(%)</t>
  </si>
  <si>
    <t>¢/kWh</t>
  </si>
  <si>
    <t>Diff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</si>
  <si>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</si>
  <si>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</si>
  <si>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</si>
  <si>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</si>
  <si>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</si>
  <si>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</si>
  <si>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</si>
  <si>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</si>
  <si>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</si>
  <si>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</si>
  <si>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</si>
  <si>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</si>
  <si>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</si>
  <si>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</si>
  <si>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</si>
  <si>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</si>
  <si>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</si>
  <si>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</si>
  <si>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</si>
  <si>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</si>
  <si>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</si>
  <si>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</si>
  <si>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</si>
  <si>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</si>
  <si>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Table A</t>
  </si>
  <si>
    <t>%</t>
  </si>
  <si>
    <t>Back-up, Maintenance, &amp; Supplementary</t>
  </si>
  <si>
    <t>Contract 1</t>
  </si>
  <si>
    <t>Contract 2</t>
  </si>
  <si>
    <t>Contract 3</t>
  </si>
  <si>
    <t>Total Commercial &amp; Industrial &amp; OSPA</t>
  </si>
  <si>
    <t>Total Commercial &amp; Industrial 
(excluding Contracts 1, 2, AGA)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</si>
  <si>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</si>
  <si>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</si>
  <si>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</si>
  <si>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</si>
  <si>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</si>
  <si>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</si>
  <si>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</si>
  <si>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</si>
  <si>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(77)</t>
  </si>
  <si>
    <t>Total Public Street Lighting</t>
  </si>
  <si>
    <t>Total Sales to Ultimate Customers</t>
  </si>
  <si>
    <t>Total Sales to Ultimate Customers 
(excluding Contracts 1, 2, AGA)</t>
  </si>
  <si>
    <t>Target Increase ($000)</t>
  </si>
  <si>
    <t>Total Utah Overall</t>
  </si>
  <si>
    <t>Tariff Overall Including Contracts 3</t>
  </si>
  <si>
    <t>Tariff Excluding Lightings Overall</t>
  </si>
  <si>
    <t>Adj</t>
  </si>
  <si>
    <t>Res (Middle Point)</t>
  </si>
  <si>
    <t>6, 23</t>
  </si>
  <si>
    <t>8, 15T</t>
  </si>
  <si>
    <t>9, 21, 31, Contract 3</t>
  </si>
  <si>
    <t>7,11,12,15M</t>
  </si>
  <si>
    <t>Rocky Mountain Power - State of Utah</t>
  </si>
  <si>
    <t>residual</t>
  </si>
  <si>
    <t>Exhibit OCS 5.1 (Gimble), page 1 of 2</t>
  </si>
  <si>
    <t>Docket No. 11-035-200</t>
  </si>
</sst>
</file>

<file path=xl/styles.xml><?xml version="1.0" encoding="utf-8"?>
<styleSheet xmlns="http://schemas.openxmlformats.org/spreadsheetml/2006/main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.0000_);\(&quot;$&quot;#,##0.0000\)"/>
    <numFmt numFmtId="167" formatCode="_(&quot;$&quot;* #,##0_);_(&quot;$&quot;* \(#,##0\);_(&quot;$&quot;* &quot;-&quot;??_);_(@_)"/>
    <numFmt numFmtId="168" formatCode="&quot;$&quot;#,##0"/>
    <numFmt numFmtId="169" formatCode="#,##0.000_);\(#,##0.000\)"/>
    <numFmt numFmtId="170" formatCode="0.0%"/>
    <numFmt numFmtId="171" formatCode="0.0000_);[Red]\(0.0000\)"/>
    <numFmt numFmtId="172" formatCode="0.0000_)"/>
    <numFmt numFmtId="173" formatCode="#,##0.0000"/>
    <numFmt numFmtId="174" formatCode="#,##0.00000_);\(#,##0.00000\)"/>
    <numFmt numFmtId="175" formatCode="#,##0.0000_);\(#,##0.0000\)"/>
    <numFmt numFmtId="176" formatCode="_(* #,##0.0000_);_(* \(#,##0.0000\);_(* &quot;-&quot;??_);_(@_)"/>
    <numFmt numFmtId="177" formatCode="0.0000"/>
    <numFmt numFmtId="178" formatCode="0.0"/>
    <numFmt numFmtId="179" formatCode="#,##0.0_);\(#,##0.0\)"/>
    <numFmt numFmtId="180" formatCode="&quot;$&quot;#,##0.000_);\(&quot;$&quot;#,##0.000\)"/>
    <numFmt numFmtId="181" formatCode="&quot;$&quot;#,##0.00"/>
  </numFmts>
  <fonts count="40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2"/>
      <name val="Arial"/>
      <family val="2"/>
    </font>
    <font>
      <sz val="12"/>
      <color indexed="81"/>
      <name val="Tahoma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0"/>
      <name val="Times New Roman"/>
      <family val="1"/>
    </font>
    <font>
      <sz val="10"/>
      <name val="Century Schoolbook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vertAlign val="superscript"/>
      <sz val="10"/>
      <name val="Times New Roman"/>
      <family val="1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indexed="8"/>
      <name val="Times New Roman"/>
      <family val="1"/>
    </font>
    <font>
      <sz val="10"/>
      <name val="LinePrinter"/>
    </font>
    <font>
      <b/>
      <sz val="14"/>
      <color indexed="8"/>
      <name val="Times New Roman"/>
      <family val="1"/>
    </font>
    <font>
      <sz val="12"/>
      <name val="Arial MT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i/>
      <sz val="12"/>
      <color indexed="8"/>
      <name val="Times New Roman"/>
      <family val="1"/>
    </font>
    <font>
      <sz val="12"/>
      <color indexed="8"/>
      <name val="Arial"/>
      <family val="2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/>
    <xf numFmtId="164" fontId="1" fillId="0" borderId="0"/>
    <xf numFmtId="0" fontId="9" fillId="0" borderId="0"/>
    <xf numFmtId="0" fontId="3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left"/>
    </xf>
    <xf numFmtId="165" fontId="4" fillId="0" borderId="0" applyFont="0" applyAlignment="0" applyProtection="0"/>
    <xf numFmtId="0" fontId="3" fillId="0" borderId="0">
      <alignment wrapText="1"/>
    </xf>
    <xf numFmtId="0" fontId="21" fillId="0" borderId="0"/>
    <xf numFmtId="0" fontId="1" fillId="0" borderId="0"/>
    <xf numFmtId="41" fontId="23" fillId="0" borderId="0" applyFont="0" applyFill="0" applyBorder="0" applyAlignment="0" applyProtection="0"/>
    <xf numFmtId="181" fontId="24" fillId="0" borderId="0"/>
    <xf numFmtId="0" fontId="25" fillId="0" borderId="0"/>
    <xf numFmtId="0" fontId="21" fillId="0" borderId="0"/>
    <xf numFmtId="0" fontId="1" fillId="0" borderId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7" fillId="0" borderId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30" fillId="4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/>
    </xf>
  </cellStyleXfs>
  <cellXfs count="442">
    <xf numFmtId="0" fontId="0" fillId="0" borderId="0" xfId="0"/>
    <xf numFmtId="164" fontId="2" fillId="0" borderId="0" xfId="4" applyNumberFormat="1" applyFont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164" fontId="1" fillId="0" borderId="0" xfId="4" applyNumberFormat="1" applyFill="1" applyAlignment="1">
      <alignment horizontal="centerContinuous"/>
    </xf>
    <xf numFmtId="10" fontId="1" fillId="0" borderId="0" xfId="4" applyNumberFormat="1" applyFill="1" applyAlignment="1">
      <alignment horizontal="centerContinuous"/>
    </xf>
    <xf numFmtId="2" fontId="1" fillId="0" borderId="0" xfId="4" applyNumberFormat="1" applyFill="1" applyAlignment="1">
      <alignment horizontal="centerContinuous"/>
    </xf>
    <xf numFmtId="164" fontId="1" fillId="0" borderId="0" xfId="4" applyNumberFormat="1"/>
    <xf numFmtId="0" fontId="0" fillId="0" borderId="0" xfId="0" applyAlignment="1">
      <alignment horizontal="centerContinuous"/>
    </xf>
    <xf numFmtId="0" fontId="0" fillId="0" borderId="0" xfId="0" applyAlignment="1"/>
    <xf numFmtId="164" fontId="1" fillId="0" borderId="0" xfId="4" applyNumberFormat="1" applyAlignment="1">
      <alignment horizontal="centerContinuous"/>
    </xf>
    <xf numFmtId="164" fontId="2" fillId="0" borderId="0" xfId="4" applyNumberFormat="1" applyFont="1" applyFill="1" applyAlignment="1">
      <alignment horizontal="center"/>
    </xf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Continuous"/>
    </xf>
    <xf numFmtId="2" fontId="1" fillId="0" borderId="0" xfId="4" applyNumberFormat="1" applyFill="1" applyBorder="1" applyAlignment="1">
      <alignment horizontal="centerContinuous"/>
    </xf>
    <xf numFmtId="164" fontId="2" fillId="0" borderId="0" xfId="4" applyNumberFormat="1" applyFont="1"/>
    <xf numFmtId="10" fontId="2" fillId="0" borderId="0" xfId="4" applyNumberFormat="1" applyFont="1" applyFill="1" applyBorder="1" applyAlignment="1">
      <alignment horizontal="centerContinuous"/>
    </xf>
    <xf numFmtId="2" fontId="2" fillId="0" borderId="0" xfId="4" applyNumberFormat="1" applyFont="1" applyFill="1" applyBorder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2" fillId="0" borderId="1" xfId="4" applyNumberFormat="1" applyFont="1" applyFill="1" applyBorder="1" applyAlignment="1">
      <alignment horizontal="center"/>
    </xf>
    <xf numFmtId="164" fontId="2" fillId="0" borderId="1" xfId="4" quotePrefix="1" applyNumberFormat="1" applyFont="1" applyFill="1" applyBorder="1" applyAlignment="1">
      <alignment horizontal="center"/>
    </xf>
    <xf numFmtId="10" fontId="2" fillId="0" borderId="1" xfId="4" applyNumberFormat="1" applyFont="1" applyFill="1" applyBorder="1" applyAlignment="1">
      <alignment horizontal="center"/>
    </xf>
    <xf numFmtId="2" fontId="2" fillId="0" borderId="1" xfId="4" applyNumberFormat="1" applyFont="1" applyFill="1" applyBorder="1" applyAlignment="1">
      <alignment horizontal="center"/>
    </xf>
    <xf numFmtId="37" fontId="2" fillId="0" borderId="0" xfId="4" quotePrefix="1" applyNumberFormat="1" applyFont="1" applyAlignment="1">
      <alignment horizontal="center"/>
    </xf>
    <xf numFmtId="37" fontId="2" fillId="0" borderId="0" xfId="4" quotePrefix="1" applyNumberFormat="1" applyFont="1" applyFill="1" applyAlignment="1">
      <alignment horizontal="center"/>
    </xf>
    <xf numFmtId="164" fontId="2" fillId="0" borderId="0" xfId="4" applyNumberFormat="1" applyFont="1" applyFill="1"/>
    <xf numFmtId="164" fontId="1" fillId="0" borderId="0" xfId="4" applyNumberFormat="1" applyFill="1"/>
    <xf numFmtId="10" fontId="1" fillId="0" borderId="0" xfId="4" applyNumberFormat="1" applyFill="1"/>
    <xf numFmtId="2" fontId="1" fillId="0" borderId="0" xfId="4" applyNumberFormat="1" applyFill="1"/>
    <xf numFmtId="164" fontId="1" fillId="0" borderId="0" xfId="4" applyNumberFormat="1" applyFont="1" applyAlignment="1">
      <alignment horizontal="right"/>
    </xf>
    <xf numFmtId="165" fontId="1" fillId="0" borderId="0" xfId="1" applyNumberFormat="1" applyFont="1" applyFill="1"/>
    <xf numFmtId="5" fontId="1" fillId="0" borderId="0" xfId="2" applyNumberFormat="1" applyFont="1" applyFill="1"/>
    <xf numFmtId="5" fontId="1" fillId="0" borderId="0" xfId="4" applyNumberFormat="1" applyFill="1"/>
    <xf numFmtId="10" fontId="4" fillId="0" borderId="0" xfId="2" applyNumberFormat="1" applyFont="1" applyFill="1"/>
    <xf numFmtId="8" fontId="1" fillId="0" borderId="0" xfId="4" applyNumberFormat="1"/>
    <xf numFmtId="164" fontId="1" fillId="0" borderId="0" xfId="4" applyNumberFormat="1" applyAlignment="1">
      <alignment horizontal="right"/>
    </xf>
    <xf numFmtId="164" fontId="1" fillId="0" borderId="0" xfId="4" applyNumberFormat="1" applyFont="1"/>
    <xf numFmtId="164" fontId="1" fillId="0" borderId="0" xfId="4" applyNumberFormat="1" applyBorder="1" applyAlignment="1">
      <alignment horizontal="right"/>
    </xf>
    <xf numFmtId="164" fontId="1" fillId="0" borderId="1" xfId="4" applyNumberFormat="1" applyFill="1" applyBorder="1" applyAlignment="1">
      <alignment horizontal="right"/>
    </xf>
    <xf numFmtId="5" fontId="1" fillId="0" borderId="1" xfId="2" applyNumberFormat="1" applyFont="1" applyFill="1" applyBorder="1"/>
    <xf numFmtId="5" fontId="4" fillId="0" borderId="1" xfId="2" applyNumberFormat="1" applyFont="1" applyFill="1" applyBorder="1"/>
    <xf numFmtId="10" fontId="4" fillId="0" borderId="1" xfId="2" applyNumberFormat="1" applyFont="1" applyFill="1" applyBorder="1"/>
    <xf numFmtId="2" fontId="1" fillId="0" borderId="1" xfId="4" applyNumberFormat="1" applyFill="1" applyBorder="1"/>
    <xf numFmtId="8" fontId="1" fillId="0" borderId="1" xfId="4" applyNumberFormat="1" applyBorder="1"/>
    <xf numFmtId="10" fontId="1" fillId="0" borderId="0" xfId="2" applyNumberFormat="1" applyFont="1" applyFill="1"/>
    <xf numFmtId="166" fontId="1" fillId="0" borderId="0" xfId="2" applyNumberFormat="1" applyFont="1" applyFill="1"/>
    <xf numFmtId="164" fontId="1" fillId="0" borderId="0" xfId="4" quotePrefix="1" applyNumberFormat="1" applyAlignment="1">
      <alignment horizontal="right"/>
    </xf>
    <xf numFmtId="165" fontId="1" fillId="0" borderId="1" xfId="1" applyNumberFormat="1" applyFont="1" applyFill="1" applyBorder="1"/>
    <xf numFmtId="10" fontId="1" fillId="0" borderId="1" xfId="2" applyNumberFormat="1" applyFont="1" applyFill="1" applyBorder="1"/>
    <xf numFmtId="164" fontId="5" fillId="0" borderId="0" xfId="4" applyNumberFormat="1" applyFont="1"/>
    <xf numFmtId="5" fontId="6" fillId="0" borderId="0" xfId="2" applyNumberFormat="1" applyFont="1" applyFill="1"/>
    <xf numFmtId="5" fontId="6" fillId="0" borderId="1" xfId="2" applyNumberFormat="1" applyFont="1" applyFill="1" applyBorder="1"/>
    <xf numFmtId="164" fontId="2" fillId="0" borderId="0" xfId="4" applyNumberFormat="1" applyFont="1" applyAlignment="1">
      <alignment wrapText="1"/>
    </xf>
    <xf numFmtId="3" fontId="1" fillId="0" borderId="0" xfId="4" applyNumberFormat="1" applyFill="1"/>
    <xf numFmtId="164" fontId="1" fillId="0" borderId="0" xfId="4" applyNumberFormat="1" applyBorder="1"/>
    <xf numFmtId="164" fontId="1" fillId="0" borderId="0" xfId="4" applyNumberFormat="1" applyFill="1" applyBorder="1"/>
    <xf numFmtId="165" fontId="1" fillId="0" borderId="0" xfId="1" applyNumberFormat="1" applyFont="1" applyFill="1" applyBorder="1"/>
    <xf numFmtId="5" fontId="1" fillId="0" borderId="0" xfId="2" applyNumberFormat="1" applyFont="1" applyFill="1" applyBorder="1"/>
    <xf numFmtId="5" fontId="1" fillId="0" borderId="0" xfId="4" applyNumberFormat="1" applyFill="1" applyBorder="1"/>
    <xf numFmtId="10" fontId="4" fillId="0" borderId="0" xfId="2" applyNumberFormat="1" applyFont="1" applyFill="1" applyBorder="1"/>
    <xf numFmtId="2" fontId="1" fillId="0" borderId="0" xfId="4" applyNumberFormat="1" applyFill="1" applyBorder="1"/>
    <xf numFmtId="167" fontId="1" fillId="0" borderId="0" xfId="2" applyNumberFormat="1" applyFont="1" applyFill="1"/>
    <xf numFmtId="164" fontId="0" fillId="0" borderId="0" xfId="4" applyNumberFormat="1" applyFont="1"/>
    <xf numFmtId="167" fontId="1" fillId="0" borderId="0" xfId="4" applyNumberFormat="1" applyFill="1"/>
    <xf numFmtId="165" fontId="1" fillId="0" borderId="1" xfId="1" applyNumberFormat="1" applyFont="1" applyFill="1" applyBorder="1" applyAlignment="1">
      <alignment horizontal="right"/>
    </xf>
    <xf numFmtId="5" fontId="1" fillId="0" borderId="1" xfId="1" applyNumberFormat="1" applyFont="1" applyFill="1" applyBorder="1"/>
    <xf numFmtId="165" fontId="1" fillId="0" borderId="2" xfId="1" applyNumberFormat="1" applyFont="1" applyFill="1" applyBorder="1"/>
    <xf numFmtId="5" fontId="1" fillId="0" borderId="2" xfId="2" applyNumberFormat="1" applyFont="1" applyFill="1" applyBorder="1"/>
    <xf numFmtId="10" fontId="1" fillId="0" borderId="2" xfId="2" applyNumberFormat="1" applyFont="1" applyFill="1" applyBorder="1"/>
    <xf numFmtId="2" fontId="1" fillId="0" borderId="2" xfId="4" applyNumberFormat="1" applyFill="1" applyBorder="1"/>
    <xf numFmtId="8" fontId="1" fillId="0" borderId="2" xfId="4" applyNumberFormat="1" applyBorder="1"/>
    <xf numFmtId="164" fontId="2" fillId="0" borderId="0" xfId="4" applyNumberFormat="1" applyFont="1" applyAlignment="1">
      <alignment horizontal="left" wrapText="1"/>
    </xf>
    <xf numFmtId="164" fontId="1" fillId="0" borderId="3" xfId="4" applyNumberFormat="1" applyFill="1" applyBorder="1"/>
    <xf numFmtId="164" fontId="1" fillId="0" borderId="4" xfId="4" applyNumberFormat="1" applyFill="1" applyBorder="1"/>
    <xf numFmtId="164" fontId="1" fillId="0" borderId="4" xfId="4" applyNumberFormat="1" applyFont="1" applyFill="1" applyBorder="1" applyAlignment="1">
      <alignment horizontal="right"/>
    </xf>
    <xf numFmtId="167" fontId="7" fillId="0" borderId="4" xfId="2" applyNumberFormat="1" applyFont="1" applyFill="1" applyBorder="1"/>
    <xf numFmtId="164" fontId="1" fillId="0" borderId="5" xfId="4" applyNumberFormat="1" applyFont="1" applyFill="1" applyBorder="1"/>
    <xf numFmtId="164" fontId="1" fillId="0" borderId="6" xfId="4" applyNumberFormat="1" applyFill="1" applyBorder="1"/>
    <xf numFmtId="164" fontId="1" fillId="0" borderId="0" xfId="4" applyNumberFormat="1" applyFont="1" applyFill="1" applyBorder="1" applyAlignment="1">
      <alignment horizontal="right"/>
    </xf>
    <xf numFmtId="10" fontId="7" fillId="0" borderId="0" xfId="4" applyNumberFormat="1" applyFont="1" applyFill="1" applyBorder="1"/>
    <xf numFmtId="164" fontId="1" fillId="0" borderId="7" xfId="4" applyNumberFormat="1" applyFont="1" applyFill="1" applyBorder="1"/>
    <xf numFmtId="10" fontId="1" fillId="0" borderId="8" xfId="4" applyNumberFormat="1" applyFont="1" applyFill="1" applyBorder="1" applyAlignment="1">
      <alignment horizontal="center"/>
    </xf>
    <xf numFmtId="10" fontId="1" fillId="0" borderId="0" xfId="4" applyNumberFormat="1" applyFont="1" applyFill="1" applyBorder="1" applyAlignment="1">
      <alignment horizontal="right"/>
    </xf>
    <xf numFmtId="10" fontId="7" fillId="2" borderId="0" xfId="4" applyNumberFormat="1" applyFont="1" applyFill="1" applyBorder="1"/>
    <xf numFmtId="10" fontId="8" fillId="2" borderId="7" xfId="4" quotePrefix="1" applyNumberFormat="1" applyFont="1" applyFill="1" applyBorder="1"/>
    <xf numFmtId="10" fontId="8" fillId="0" borderId="7" xfId="4" quotePrefix="1" applyNumberFormat="1" applyFont="1" applyFill="1" applyBorder="1"/>
    <xf numFmtId="10" fontId="4" fillId="0" borderId="0" xfId="4" applyNumberFormat="1" applyFont="1" applyFill="1" applyBorder="1"/>
    <xf numFmtId="164" fontId="1" fillId="0" borderId="9" xfId="4" applyNumberFormat="1" applyFill="1" applyBorder="1"/>
    <xf numFmtId="164" fontId="1" fillId="0" borderId="1" xfId="4" applyNumberFormat="1" applyFill="1" applyBorder="1"/>
    <xf numFmtId="164" fontId="1" fillId="0" borderId="1" xfId="4" applyNumberFormat="1" applyFont="1" applyFill="1" applyBorder="1" applyAlignment="1">
      <alignment horizontal="right"/>
    </xf>
    <xf numFmtId="10" fontId="8" fillId="0" borderId="1" xfId="4" applyNumberFormat="1" applyFont="1" applyFill="1" applyBorder="1"/>
    <xf numFmtId="10" fontId="8" fillId="0" borderId="8" xfId="4" quotePrefix="1" applyNumberFormat="1" applyFont="1" applyFill="1" applyBorder="1"/>
    <xf numFmtId="10" fontId="1" fillId="0" borderId="0" xfId="4" quotePrefix="1" applyNumberFormat="1" applyFont="1" applyFill="1"/>
    <xf numFmtId="164" fontId="1" fillId="0" borderId="0" xfId="4" applyNumberFormat="1" applyFont="1" applyFill="1" applyAlignment="1">
      <alignment horizontal="right"/>
    </xf>
    <xf numFmtId="164" fontId="8" fillId="0" borderId="0" xfId="4" applyNumberFormat="1" applyFont="1" applyFill="1"/>
    <xf numFmtId="10" fontId="8" fillId="0" borderId="0" xfId="4" quotePrefix="1" applyNumberFormat="1" applyFont="1" applyFill="1"/>
    <xf numFmtId="10" fontId="1" fillId="0" borderId="0" xfId="4" applyNumberFormat="1" applyFont="1" applyFill="1"/>
    <xf numFmtId="9" fontId="2" fillId="0" borderId="0" xfId="5" applyNumberFormat="1" applyFont="1" applyBorder="1" applyAlignment="1">
      <alignment horizontal="right"/>
    </xf>
    <xf numFmtId="168" fontId="2" fillId="0" borderId="0" xfId="5" applyNumberFormat="1" applyFont="1" applyBorder="1"/>
    <xf numFmtId="7" fontId="7" fillId="0" borderId="0" xfId="5" applyNumberFormat="1" applyFont="1" applyFill="1" applyProtection="1">
      <protection locked="0"/>
    </xf>
    <xf numFmtId="175" fontId="7" fillId="0" borderId="0" xfId="5" applyNumberFormat="1" applyFont="1" applyFill="1" applyProtection="1">
      <protection locked="0"/>
    </xf>
    <xf numFmtId="164" fontId="7" fillId="0" borderId="12" xfId="5" applyNumberFormat="1" applyFont="1" applyBorder="1"/>
    <xf numFmtId="37" fontId="7" fillId="0" borderId="0" xfId="5" applyNumberFormat="1" applyFont="1" applyFill="1" applyProtection="1"/>
    <xf numFmtId="37" fontId="7" fillId="0" borderId="10" xfId="5" applyNumberFormat="1" applyFont="1" applyFill="1" applyBorder="1" applyProtection="1"/>
    <xf numFmtId="164" fontId="2" fillId="0" borderId="0" xfId="4" applyFont="1" applyAlignment="1">
      <alignment horizontal="centerContinuous"/>
    </xf>
    <xf numFmtId="164" fontId="2" fillId="0" borderId="0" xfId="4" applyFont="1" applyFill="1" applyAlignment="1">
      <alignment horizontal="centerContinuous"/>
    </xf>
    <xf numFmtId="164" fontId="1" fillId="0" borderId="0" xfId="4" applyFill="1" applyAlignment="1">
      <alignment horizontal="centerContinuous"/>
    </xf>
    <xf numFmtId="170" fontId="1" fillId="0" borderId="0" xfId="4" applyNumberFormat="1" applyFill="1" applyAlignment="1">
      <alignment horizontal="centerContinuous"/>
    </xf>
    <xf numFmtId="164" fontId="1" fillId="0" borderId="0" xfId="4"/>
    <xf numFmtId="164" fontId="1" fillId="0" borderId="0" xfId="4" applyFill="1"/>
    <xf numFmtId="170" fontId="0" fillId="0" borderId="0" xfId="0" applyNumberFormat="1" applyAlignment="1">
      <alignment horizontal="centerContinuous"/>
    </xf>
    <xf numFmtId="164" fontId="1" fillId="0" borderId="0" xfId="4" applyAlignment="1">
      <alignment horizontal="centerContinuous"/>
    </xf>
    <xf numFmtId="170" fontId="1" fillId="0" borderId="0" xfId="4" applyNumberFormat="1" applyAlignment="1">
      <alignment horizontal="centerContinuous"/>
    </xf>
    <xf numFmtId="164" fontId="2" fillId="0" borderId="0" xfId="4" applyFont="1" applyFill="1" applyBorder="1" applyAlignment="1">
      <alignment horizontal="left"/>
    </xf>
    <xf numFmtId="164" fontId="2" fillId="0" borderId="0" xfId="4" applyFont="1" applyFill="1" applyAlignment="1">
      <alignment horizontal="center"/>
    </xf>
    <xf numFmtId="170" fontId="1" fillId="0" borderId="0" xfId="4" applyNumberFormat="1" applyFill="1"/>
    <xf numFmtId="164" fontId="2" fillId="0" borderId="0" xfId="4" applyFont="1" applyFill="1" applyBorder="1" applyAlignment="1">
      <alignment horizontal="center"/>
    </xf>
    <xf numFmtId="164" fontId="2" fillId="0" borderId="0" xfId="4" applyFont="1" applyAlignment="1">
      <alignment horizontal="center"/>
    </xf>
    <xf numFmtId="164" fontId="2" fillId="0" borderId="1" xfId="4" applyFont="1" applyFill="1" applyBorder="1" applyAlignment="1">
      <alignment horizontal="centerContinuous"/>
    </xf>
    <xf numFmtId="170" fontId="2" fillId="0" borderId="1" xfId="4" applyNumberFormat="1" applyFont="1" applyFill="1" applyBorder="1" applyAlignment="1">
      <alignment horizontal="centerContinuous"/>
    </xf>
    <xf numFmtId="2" fontId="1" fillId="0" borderId="1" xfId="4" applyNumberFormat="1" applyFill="1" applyBorder="1" applyAlignment="1">
      <alignment horizontal="centerContinuous"/>
    </xf>
    <xf numFmtId="164" fontId="2" fillId="0" borderId="0" xfId="4" applyFont="1"/>
    <xf numFmtId="2" fontId="2" fillId="0" borderId="0" xfId="4" applyNumberFormat="1" applyFont="1" applyFill="1" applyAlignment="1">
      <alignment horizontal="center"/>
    </xf>
    <xf numFmtId="164" fontId="2" fillId="0" borderId="0" xfId="4" applyFont="1" applyFill="1"/>
    <xf numFmtId="164" fontId="2" fillId="0" borderId="1" xfId="4" applyFont="1" applyBorder="1" applyAlignment="1">
      <alignment horizontal="center"/>
    </xf>
    <xf numFmtId="164" fontId="2" fillId="0" borderId="1" xfId="4" applyFont="1" applyFill="1" applyBorder="1" applyAlignment="1">
      <alignment horizontal="center"/>
    </xf>
    <xf numFmtId="164" fontId="2" fillId="0" borderId="1" xfId="4" quotePrefix="1" applyFont="1" applyFill="1" applyBorder="1" applyAlignment="1">
      <alignment horizontal="center"/>
    </xf>
    <xf numFmtId="170" fontId="2" fillId="0" borderId="1" xfId="4" applyNumberFormat="1" applyFont="1" applyFill="1" applyBorder="1" applyAlignment="1">
      <alignment horizontal="center"/>
    </xf>
    <xf numFmtId="170" fontId="2" fillId="0" borderId="0" xfId="4" applyNumberFormat="1" applyFont="1" applyFill="1" applyAlignment="1">
      <alignment horizontal="center"/>
    </xf>
    <xf numFmtId="164" fontId="1" fillId="0" borderId="0" xfId="4" applyBorder="1"/>
    <xf numFmtId="164" fontId="1" fillId="0" borderId="0" xfId="4" applyFont="1" applyAlignment="1">
      <alignment horizontal="right"/>
    </xf>
    <xf numFmtId="170" fontId="1" fillId="0" borderId="0" xfId="2" applyNumberFormat="1" applyFont="1" applyFill="1"/>
    <xf numFmtId="164" fontId="6" fillId="0" borderId="0" xfId="4" applyFont="1" applyFill="1"/>
    <xf numFmtId="2" fontId="6" fillId="0" borderId="0" xfId="4" applyNumberFormat="1" applyFont="1" applyFill="1"/>
    <xf numFmtId="164" fontId="1" fillId="0" borderId="0" xfId="4" applyAlignment="1">
      <alignment horizontal="right"/>
    </xf>
    <xf numFmtId="164" fontId="1" fillId="0" borderId="0" xfId="4" applyFont="1"/>
    <xf numFmtId="164" fontId="1" fillId="0" borderId="0" xfId="4" applyBorder="1" applyAlignment="1">
      <alignment horizontal="right"/>
    </xf>
    <xf numFmtId="164" fontId="1" fillId="0" borderId="1" xfId="4" applyFill="1" applyBorder="1" applyAlignment="1">
      <alignment horizontal="right"/>
    </xf>
    <xf numFmtId="170" fontId="1" fillId="0" borderId="1" xfId="2" applyNumberFormat="1" applyFont="1" applyFill="1" applyBorder="1"/>
    <xf numFmtId="164" fontId="1" fillId="0" borderId="0" xfId="4" quotePrefix="1" applyAlignment="1">
      <alignment horizontal="right"/>
    </xf>
    <xf numFmtId="164" fontId="5" fillId="0" borderId="0" xfId="4" applyFont="1"/>
    <xf numFmtId="164" fontId="2" fillId="0" borderId="0" xfId="4" applyFont="1" applyAlignment="1">
      <alignment wrapText="1"/>
    </xf>
    <xf numFmtId="164" fontId="1" fillId="0" borderId="0" xfId="4" applyFill="1" applyBorder="1"/>
    <xf numFmtId="170" fontId="1" fillId="0" borderId="0" xfId="2" applyNumberFormat="1" applyFont="1" applyFill="1" applyBorder="1"/>
    <xf numFmtId="164" fontId="0" fillId="0" borderId="0" xfId="4" applyFont="1"/>
    <xf numFmtId="170" fontId="1" fillId="0" borderId="2" xfId="2" applyNumberFormat="1" applyFont="1" applyFill="1" applyBorder="1"/>
    <xf numFmtId="164" fontId="2" fillId="0" borderId="0" xfId="4" applyFont="1" applyAlignment="1">
      <alignment horizontal="left" wrapText="1"/>
    </xf>
    <xf numFmtId="3" fontId="11" fillId="0" borderId="0" xfId="7" applyNumberFormat="1" applyFont="1" applyAlignment="1">
      <alignment horizontal="centerContinuous"/>
    </xf>
    <xf numFmtId="0" fontId="12" fillId="0" borderId="0" xfId="7" applyFont="1" applyAlignment="1">
      <alignment horizontal="centerContinuous"/>
    </xf>
    <xf numFmtId="181" fontId="12" fillId="0" borderId="0" xfId="7" applyNumberFormat="1" applyFont="1" applyAlignment="1">
      <alignment horizontal="centerContinuous"/>
    </xf>
    <xf numFmtId="7" fontId="12" fillId="0" borderId="0" xfId="7" applyNumberFormat="1" applyFont="1" applyAlignment="1">
      <alignment horizontal="centerContinuous"/>
    </xf>
    <xf numFmtId="0" fontId="12" fillId="0" borderId="0" xfId="7" applyFont="1" applyBorder="1" applyAlignment="1">
      <alignment horizontal="centerContinuous"/>
    </xf>
    <xf numFmtId="0" fontId="12" fillId="0" borderId="0" xfId="7" applyFont="1" applyBorder="1"/>
    <xf numFmtId="164" fontId="2" fillId="0" borderId="0" xfId="5" applyFont="1" applyFill="1" applyBorder="1" applyAlignment="1">
      <alignment horizontal="right"/>
    </xf>
    <xf numFmtId="0" fontId="12" fillId="0" borderId="0" xfId="7" applyFont="1"/>
    <xf numFmtId="10" fontId="2" fillId="0" borderId="0" xfId="5" applyNumberFormat="1" applyFont="1" applyBorder="1" applyAlignment="1">
      <alignment horizontal="right"/>
    </xf>
    <xf numFmtId="164" fontId="2" fillId="0" borderId="0" xfId="5" applyFont="1" applyFill="1" applyBorder="1"/>
    <xf numFmtId="3" fontId="13" fillId="0" borderId="0" xfId="7" applyNumberFormat="1" applyFont="1" applyBorder="1" applyAlignment="1">
      <alignment horizontal="left"/>
    </xf>
    <xf numFmtId="181" fontId="12" fillId="0" borderId="0" xfId="7" applyNumberFormat="1" applyFont="1" applyBorder="1"/>
    <xf numFmtId="0" fontId="14" fillId="0" borderId="0" xfId="7" applyFont="1" applyBorder="1" applyAlignment="1">
      <alignment horizontal="centerContinuous"/>
    </xf>
    <xf numFmtId="181" fontId="14" fillId="0" borderId="0" xfId="7" applyNumberFormat="1" applyFont="1" applyBorder="1" applyAlignment="1">
      <alignment horizontal="centerContinuous"/>
    </xf>
    <xf numFmtId="0" fontId="14" fillId="0" borderId="0" xfId="7" applyFont="1" applyAlignment="1">
      <alignment horizontal="centerContinuous"/>
    </xf>
    <xf numFmtId="181" fontId="14" fillId="0" borderId="0" xfId="7" applyNumberFormat="1" applyFont="1" applyAlignment="1">
      <alignment horizontal="centerContinuous"/>
    </xf>
    <xf numFmtId="3" fontId="12" fillId="0" borderId="0" xfId="7" applyNumberFormat="1" applyFont="1"/>
    <xf numFmtId="181" fontId="14" fillId="0" borderId="1" xfId="7" applyNumberFormat="1" applyFont="1" applyBorder="1" applyAlignment="1">
      <alignment horizontal="centerContinuous"/>
    </xf>
    <xf numFmtId="0" fontId="12" fillId="0" borderId="1" xfId="7" applyFont="1" applyBorder="1" applyAlignment="1">
      <alignment horizontal="centerContinuous"/>
    </xf>
    <xf numFmtId="181" fontId="12" fillId="0" borderId="1" xfId="7" applyNumberFormat="1" applyFont="1" applyBorder="1" applyAlignment="1">
      <alignment horizontal="centerContinuous"/>
    </xf>
    <xf numFmtId="7" fontId="14" fillId="0" borderId="1" xfId="7" applyNumberFormat="1" applyFont="1" applyBorder="1" applyAlignment="1">
      <alignment horizontal="centerContinuous"/>
    </xf>
    <xf numFmtId="181" fontId="14" fillId="0" borderId="16" xfId="7" applyNumberFormat="1" applyFont="1" applyBorder="1" applyAlignment="1">
      <alignment horizontal="centerContinuous"/>
    </xf>
    <xf numFmtId="0" fontId="3" fillId="0" borderId="16" xfId="7" applyBorder="1" applyAlignment="1">
      <alignment horizontal="centerContinuous"/>
    </xf>
    <xf numFmtId="181" fontId="12" fillId="0" borderId="16" xfId="7" applyNumberFormat="1" applyFont="1" applyBorder="1" applyAlignment="1">
      <alignment horizontal="centerContinuous"/>
    </xf>
    <xf numFmtId="0" fontId="12" fillId="0" borderId="16" xfId="7" applyFont="1" applyBorder="1" applyAlignment="1">
      <alignment horizontal="centerContinuous"/>
    </xf>
    <xf numFmtId="7" fontId="12" fillId="0" borderId="16" xfId="7" applyNumberFormat="1" applyFont="1" applyBorder="1" applyAlignment="1">
      <alignment horizontal="centerContinuous"/>
    </xf>
    <xf numFmtId="0" fontId="3" fillId="0" borderId="1" xfId="7" applyBorder="1" applyAlignment="1">
      <alignment horizontal="centerContinuous"/>
    </xf>
    <xf numFmtId="7" fontId="12" fillId="0" borderId="1" xfId="7" applyNumberFormat="1" applyFont="1" applyBorder="1" applyAlignment="1">
      <alignment horizontal="centerContinuous"/>
    </xf>
    <xf numFmtId="7" fontId="12" fillId="0" borderId="0" xfId="7" applyNumberFormat="1" applyFont="1"/>
    <xf numFmtId="3" fontId="16" fillId="0" borderId="0" xfId="7" applyNumberFormat="1" applyFont="1" applyAlignment="1">
      <alignment horizontal="center"/>
    </xf>
    <xf numFmtId="181" fontId="12" fillId="0" borderId="1" xfId="7" applyNumberFormat="1" applyFont="1" applyBorder="1" applyAlignment="1">
      <alignment horizontal="centerContinuous" wrapText="1"/>
    </xf>
    <xf numFmtId="0" fontId="12" fillId="0" borderId="1" xfId="7" applyFont="1" applyBorder="1" applyAlignment="1">
      <alignment horizontal="center"/>
    </xf>
    <xf numFmtId="7" fontId="12" fillId="0" borderId="1" xfId="7" applyNumberFormat="1" applyFont="1" applyBorder="1" applyAlignment="1">
      <alignment horizontal="center"/>
    </xf>
    <xf numFmtId="0" fontId="12" fillId="0" borderId="0" xfId="7" applyFont="1" applyAlignment="1">
      <alignment horizontal="center"/>
    </xf>
    <xf numFmtId="181" fontId="12" fillId="0" borderId="0" xfId="7" applyNumberFormat="1" applyFont="1"/>
    <xf numFmtId="7" fontId="12" fillId="0" borderId="0" xfId="3" applyNumberFormat="1" applyFont="1"/>
    <xf numFmtId="170" fontId="12" fillId="0" borderId="0" xfId="3" applyNumberFormat="1" applyFont="1"/>
    <xf numFmtId="0" fontId="14" fillId="0" borderId="11" xfId="7" applyFont="1" applyBorder="1"/>
    <xf numFmtId="0" fontId="14" fillId="0" borderId="16" xfId="7" applyFont="1" applyBorder="1" applyAlignment="1">
      <alignment horizontal="center"/>
    </xf>
    <xf numFmtId="0" fontId="14" fillId="0" borderId="12" xfId="7" applyFont="1" applyBorder="1" applyAlignment="1">
      <alignment horizontal="center"/>
    </xf>
    <xf numFmtId="39" fontId="12" fillId="0" borderId="0" xfId="7" applyNumberFormat="1" applyFont="1"/>
    <xf numFmtId="0" fontId="18" fillId="0" borderId="6" xfId="7" applyFont="1" applyBorder="1"/>
    <xf numFmtId="0" fontId="12" fillId="0" borderId="7" xfId="7" applyFont="1" applyBorder="1"/>
    <xf numFmtId="0" fontId="12" fillId="0" borderId="6" xfId="7" applyFont="1" applyBorder="1"/>
    <xf numFmtId="7" fontId="19" fillId="0" borderId="0" xfId="7" applyNumberFormat="1" applyFont="1" applyBorder="1"/>
    <xf numFmtId="7" fontId="19" fillId="0" borderId="7" xfId="7" applyNumberFormat="1" applyFont="1" applyBorder="1"/>
    <xf numFmtId="170" fontId="12" fillId="0" borderId="0" xfId="7" applyNumberFormat="1" applyFont="1"/>
    <xf numFmtId="173" fontId="19" fillId="0" borderId="0" xfId="7" applyNumberFormat="1" applyFont="1" applyBorder="1"/>
    <xf numFmtId="173" fontId="19" fillId="0" borderId="7" xfId="7" applyNumberFormat="1" applyFont="1" applyBorder="1"/>
    <xf numFmtId="10" fontId="19" fillId="0" borderId="0" xfId="3" applyNumberFormat="1" applyFont="1" applyBorder="1"/>
    <xf numFmtId="10" fontId="19" fillId="0" borderId="7" xfId="3" applyNumberFormat="1" applyFont="1" applyBorder="1"/>
    <xf numFmtId="7" fontId="12" fillId="0" borderId="0" xfId="7" applyNumberFormat="1" applyFont="1" applyBorder="1"/>
    <xf numFmtId="7" fontId="12" fillId="0" borderId="7" xfId="7" applyNumberFormat="1" applyFont="1" applyBorder="1"/>
    <xf numFmtId="177" fontId="12" fillId="0" borderId="0" xfId="7" applyNumberFormat="1" applyFont="1" applyBorder="1"/>
    <xf numFmtId="177" fontId="12" fillId="0" borderId="7" xfId="7" applyNumberFormat="1" applyFont="1" applyBorder="1"/>
    <xf numFmtId="0" fontId="12" fillId="0" borderId="9" xfId="7" applyFont="1" applyBorder="1"/>
    <xf numFmtId="10" fontId="12" fillId="0" borderId="1" xfId="3" applyNumberFormat="1" applyFont="1" applyBorder="1"/>
    <xf numFmtId="10" fontId="12" fillId="0" borderId="8" xfId="3" applyNumberFormat="1" applyFont="1" applyBorder="1"/>
    <xf numFmtId="10" fontId="12" fillId="0" borderId="0" xfId="7" applyNumberFormat="1" applyFont="1" applyBorder="1"/>
    <xf numFmtId="10" fontId="12" fillId="0" borderId="0" xfId="7" applyNumberFormat="1" applyFont="1"/>
    <xf numFmtId="9" fontId="12" fillId="0" borderId="0" xfId="7" applyNumberFormat="1" applyFont="1"/>
    <xf numFmtId="0" fontId="12" fillId="0" borderId="0" xfId="7" applyFont="1" applyBorder="1" applyAlignment="1">
      <alignment horizontal="right"/>
    </xf>
    <xf numFmtId="3" fontId="20" fillId="0" borderId="0" xfId="7" applyNumberFormat="1" applyFont="1"/>
    <xf numFmtId="39" fontId="12" fillId="0" borderId="0" xfId="7" applyNumberFormat="1" applyFont="1" applyBorder="1"/>
    <xf numFmtId="0" fontId="12" fillId="0" borderId="3" xfId="7" applyFont="1" applyBorder="1" applyAlignment="1">
      <alignment horizontal="centerContinuous"/>
    </xf>
    <xf numFmtId="0" fontId="12" fillId="0" borderId="4" xfId="7" applyFont="1" applyBorder="1" applyAlignment="1">
      <alignment horizontal="centerContinuous"/>
    </xf>
    <xf numFmtId="0" fontId="12" fillId="0" borderId="11" xfId="7" applyFont="1" applyBorder="1" applyAlignment="1">
      <alignment horizontal="centerContinuous"/>
    </xf>
    <xf numFmtId="0" fontId="12" fillId="0" borderId="12" xfId="7" applyFont="1" applyBorder="1" applyAlignment="1">
      <alignment horizontal="centerContinuous"/>
    </xf>
    <xf numFmtId="0" fontId="12" fillId="0" borderId="17" xfId="7" applyFont="1" applyBorder="1" applyAlignment="1">
      <alignment horizontal="centerContinuous"/>
    </xf>
    <xf numFmtId="0" fontId="12" fillId="0" borderId="11" xfId="7" applyFont="1" applyBorder="1" applyAlignment="1">
      <alignment horizontal="center"/>
    </xf>
    <xf numFmtId="0" fontId="12" fillId="0" borderId="9" xfId="7" applyFont="1" applyBorder="1" applyAlignment="1">
      <alignment horizontal="center"/>
    </xf>
    <xf numFmtId="0" fontId="12" fillId="0" borderId="18" xfId="7" applyFont="1" applyBorder="1" applyAlignment="1">
      <alignment horizontal="center"/>
    </xf>
    <xf numFmtId="0" fontId="12" fillId="0" borderId="17" xfId="7" applyFont="1" applyBorder="1" applyAlignment="1">
      <alignment horizontal="center"/>
    </xf>
    <xf numFmtId="0" fontId="12" fillId="0" borderId="19" xfId="7" applyFont="1" applyBorder="1"/>
    <xf numFmtId="1" fontId="12" fillId="0" borderId="0" xfId="7" applyNumberFormat="1" applyFont="1" applyBorder="1"/>
    <xf numFmtId="181" fontId="12" fillId="0" borderId="6" xfId="7" applyNumberFormat="1" applyFont="1" applyBorder="1"/>
    <xf numFmtId="170" fontId="12" fillId="0" borderId="19" xfId="3" applyNumberFormat="1" applyFont="1" applyBorder="1"/>
    <xf numFmtId="0" fontId="12" fillId="0" borderId="20" xfId="7" applyFont="1" applyBorder="1"/>
    <xf numFmtId="170" fontId="12" fillId="0" borderId="20" xfId="3" applyNumberFormat="1" applyFont="1" applyBorder="1"/>
    <xf numFmtId="2" fontId="12" fillId="0" borderId="20" xfId="7" applyNumberFormat="1" applyFont="1" applyBorder="1"/>
    <xf numFmtId="0" fontId="12" fillId="0" borderId="18" xfId="7" applyFont="1" applyBorder="1"/>
    <xf numFmtId="3" fontId="12" fillId="0" borderId="1" xfId="7" applyNumberFormat="1" applyFont="1" applyBorder="1"/>
    <xf numFmtId="181" fontId="12" fillId="0" borderId="9" xfId="7" applyNumberFormat="1" applyFont="1" applyBorder="1"/>
    <xf numFmtId="170" fontId="12" fillId="0" borderId="18" xfId="3" applyNumberFormat="1" applyFont="1" applyBorder="1"/>
    <xf numFmtId="0" fontId="12" fillId="0" borderId="3" xfId="7" applyFont="1" applyBorder="1" applyAlignment="1">
      <alignment horizontal="center"/>
    </xf>
    <xf numFmtId="181" fontId="12" fillId="0" borderId="19" xfId="7" applyNumberFormat="1" applyFont="1" applyBorder="1" applyAlignment="1">
      <alignment horizontal="center"/>
    </xf>
    <xf numFmtId="0" fontId="12" fillId="0" borderId="3" xfId="7" applyFont="1" applyBorder="1"/>
    <xf numFmtId="7" fontId="12" fillId="0" borderId="3" xfId="7" applyNumberFormat="1" applyFont="1" applyBorder="1" applyAlignment="1">
      <alignment horizontal="center"/>
    </xf>
    <xf numFmtId="7" fontId="12" fillId="0" borderId="19" xfId="7" applyNumberFormat="1" applyFont="1" applyBorder="1" applyAlignment="1">
      <alignment horizontal="center"/>
    </xf>
    <xf numFmtId="7" fontId="12" fillId="0" borderId="6" xfId="7" applyNumberFormat="1" applyFont="1" applyBorder="1" applyAlignment="1">
      <alignment horizontal="center"/>
    </xf>
    <xf numFmtId="7" fontId="12" fillId="0" borderId="20" xfId="7" applyNumberFormat="1" applyFont="1" applyBorder="1" applyAlignment="1">
      <alignment horizontal="center"/>
    </xf>
    <xf numFmtId="1" fontId="12" fillId="0" borderId="6" xfId="7" applyNumberFormat="1" applyFont="1" applyBorder="1" applyAlignment="1">
      <alignment horizontal="center"/>
    </xf>
    <xf numFmtId="1" fontId="12" fillId="0" borderId="20" xfId="7" applyNumberFormat="1" applyFont="1" applyBorder="1" applyAlignment="1">
      <alignment horizontal="center"/>
    </xf>
    <xf numFmtId="1" fontId="12" fillId="0" borderId="9" xfId="7" applyNumberFormat="1" applyFont="1" applyBorder="1" applyAlignment="1">
      <alignment horizontal="center"/>
    </xf>
    <xf numFmtId="1" fontId="12" fillId="0" borderId="18" xfId="7" applyNumberFormat="1" applyFont="1" applyBorder="1" applyAlignment="1">
      <alignment horizontal="center"/>
    </xf>
    <xf numFmtId="181" fontId="12" fillId="0" borderId="0" xfId="7" applyNumberFormat="1" applyFont="1" applyBorder="1" applyAlignment="1">
      <alignment horizontal="centerContinuous"/>
    </xf>
    <xf numFmtId="0" fontId="12" fillId="0" borderId="0" xfId="7" applyFont="1" applyBorder="1" applyAlignment="1">
      <alignment horizontal="center"/>
    </xf>
    <xf numFmtId="170" fontId="12" fillId="0" borderId="0" xfId="3" applyNumberFormat="1" applyFont="1" applyBorder="1"/>
    <xf numFmtId="0" fontId="3" fillId="0" borderId="0" xfId="7" applyBorder="1" applyAlignment="1">
      <alignment horizontal="centerContinuous"/>
    </xf>
    <xf numFmtId="7" fontId="12" fillId="0" borderId="0" xfId="7" applyNumberFormat="1" applyFont="1" applyBorder="1" applyAlignment="1">
      <alignment horizontal="centerContinuous"/>
    </xf>
    <xf numFmtId="3" fontId="16" fillId="0" borderId="0" xfId="7" applyNumberFormat="1" applyFont="1" applyBorder="1" applyAlignment="1">
      <alignment horizontal="center"/>
    </xf>
    <xf numFmtId="181" fontId="12" fillId="0" borderId="0" xfId="7" applyNumberFormat="1" applyFont="1" applyBorder="1" applyAlignment="1">
      <alignment horizontal="centerContinuous" wrapText="1"/>
    </xf>
    <xf numFmtId="7" fontId="12" fillId="0" borderId="0" xfId="7" applyNumberFormat="1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7" fontId="12" fillId="0" borderId="0" xfId="3" applyNumberFormat="1" applyFont="1" applyBorder="1"/>
    <xf numFmtId="3" fontId="32" fillId="0" borderId="0" xfId="0" applyNumberFormat="1" applyFont="1" applyAlignment="1">
      <alignment horizontal="centerContinuous"/>
    </xf>
    <xf numFmtId="164" fontId="28" fillId="0" borderId="0" xfId="5" applyNumberFormat="1" applyFont="1" applyFill="1" applyAlignment="1">
      <alignment horizontal="centerContinuous"/>
    </xf>
    <xf numFmtId="164" fontId="28" fillId="0" borderId="0" xfId="5" applyNumberFormat="1" applyFont="1" applyFill="1" applyBorder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28" fillId="0" borderId="0" xfId="5" applyNumberFormat="1" applyFont="1" applyFill="1" applyBorder="1" applyAlignment="1">
      <alignment horizontal="center"/>
    </xf>
    <xf numFmtId="164" fontId="33" fillId="0" borderId="0" xfId="5" applyNumberFormat="1" applyFont="1" applyFill="1" applyBorder="1" applyAlignment="1">
      <alignment horizontal="right"/>
    </xf>
    <xf numFmtId="9" fontId="33" fillId="0" borderId="0" xfId="5" applyNumberFormat="1" applyFont="1" applyBorder="1" applyAlignment="1">
      <alignment horizontal="right"/>
    </xf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/>
    <xf numFmtId="164" fontId="33" fillId="0" borderId="0" xfId="5" applyNumberFormat="1" applyFont="1" applyFill="1" applyBorder="1" applyAlignment="1">
      <alignment horizontal="center"/>
    </xf>
    <xf numFmtId="164" fontId="33" fillId="0" borderId="0" xfId="5" applyNumberFormat="1" applyFont="1" applyFill="1" applyBorder="1" applyAlignment="1">
      <alignment horizontal="left"/>
    </xf>
    <xf numFmtId="168" fontId="33" fillId="0" borderId="0" xfId="5" applyNumberFormat="1" applyFont="1" applyBorder="1" applyAlignment="1">
      <alignment horizontal="right"/>
    </xf>
    <xf numFmtId="164" fontId="7" fillId="0" borderId="0" xfId="5" applyNumberFormat="1" applyFont="1" applyFill="1"/>
    <xf numFmtId="164" fontId="7" fillId="0" borderId="0" xfId="5" applyNumberFormat="1" applyFont="1" applyFill="1" applyBorder="1"/>
    <xf numFmtId="164" fontId="33" fillId="0" borderId="0" xfId="5" applyNumberFormat="1" applyFont="1" applyFill="1" applyAlignment="1">
      <alignment horizontal="center"/>
    </xf>
    <xf numFmtId="5" fontId="7" fillId="0" borderId="0" xfId="5" applyNumberFormat="1" applyFont="1" applyFill="1" applyProtection="1"/>
    <xf numFmtId="10" fontId="7" fillId="0" borderId="0" xfId="5" quotePrefix="1" applyNumberFormat="1" applyFont="1" applyFill="1"/>
    <xf numFmtId="10" fontId="7" fillId="0" borderId="0" xfId="3" quotePrefix="1" applyNumberFormat="1" applyFont="1" applyFill="1"/>
    <xf numFmtId="37" fontId="7" fillId="0" borderId="0" xfId="5" applyNumberFormat="1" applyFont="1" applyFill="1" applyProtection="1">
      <protection locked="0"/>
    </xf>
    <xf numFmtId="10" fontId="7" fillId="0" borderId="0" xfId="3" applyNumberFormat="1" applyFont="1" applyFill="1"/>
    <xf numFmtId="164" fontId="33" fillId="0" borderId="0" xfId="5" applyNumberFormat="1" applyFont="1" applyFill="1" applyAlignment="1">
      <alignment horizontal="left"/>
    </xf>
    <xf numFmtId="164" fontId="7" fillId="0" borderId="11" xfId="5" applyNumberFormat="1" applyFont="1" applyFill="1" applyBorder="1"/>
    <xf numFmtId="164" fontId="7" fillId="0" borderId="0" xfId="5" applyNumberFormat="1" applyFont="1" applyBorder="1"/>
    <xf numFmtId="164" fontId="7" fillId="0" borderId="0" xfId="5" applyNumberFormat="1" applyFont="1" applyFill="1" applyAlignment="1">
      <alignment horizontal="left"/>
    </xf>
    <xf numFmtId="7" fontId="7" fillId="0" borderId="0" xfId="5" applyNumberFormat="1" applyFont="1" applyFill="1" applyBorder="1" applyProtection="1">
      <protection locked="0"/>
    </xf>
    <xf numFmtId="164" fontId="7" fillId="0" borderId="3" xfId="5" applyNumberFormat="1" applyFont="1" applyBorder="1"/>
    <xf numFmtId="5" fontId="7" fillId="0" borderId="5" xfId="5" applyNumberFormat="1" applyFont="1" applyFill="1" applyBorder="1" applyProtection="1"/>
    <xf numFmtId="170" fontId="7" fillId="0" borderId="0" xfId="3" applyNumberFormat="1" applyFont="1" applyBorder="1"/>
    <xf numFmtId="37" fontId="7" fillId="0" borderId="0" xfId="5" applyNumberFormat="1" applyFont="1" applyFill="1" applyBorder="1" applyProtection="1"/>
    <xf numFmtId="164" fontId="7" fillId="0" borderId="6" xfId="5" applyNumberFormat="1" applyFont="1" applyBorder="1"/>
    <xf numFmtId="5" fontId="7" fillId="0" borderId="7" xfId="5" applyNumberFormat="1" applyFont="1" applyFill="1" applyBorder="1" applyProtection="1"/>
    <xf numFmtId="164" fontId="34" fillId="0" borderId="9" xfId="5" applyNumberFormat="1" applyFont="1" applyBorder="1"/>
    <xf numFmtId="5" fontId="7" fillId="0" borderId="8" xfId="5" applyNumberFormat="1" applyFont="1" applyFill="1" applyBorder="1" applyProtection="1"/>
    <xf numFmtId="171" fontId="7" fillId="0" borderId="0" xfId="5" applyNumberFormat="1" applyFont="1" applyFill="1" applyProtection="1">
      <protection locked="0"/>
    </xf>
    <xf numFmtId="0" fontId="7" fillId="0" borderId="0" xfId="0" applyFont="1" applyBorder="1"/>
    <xf numFmtId="164" fontId="7" fillId="0" borderId="3" xfId="5" applyNumberFormat="1" applyFont="1" applyFill="1" applyBorder="1"/>
    <xf numFmtId="170" fontId="7" fillId="0" borderId="5" xfId="5" applyNumberFormat="1" applyFont="1" applyBorder="1"/>
    <xf numFmtId="164" fontId="7" fillId="0" borderId="0" xfId="5" applyNumberFormat="1" applyFont="1" applyBorder="1" applyAlignment="1">
      <alignment horizontal="centerContinuous"/>
    </xf>
    <xf numFmtId="9" fontId="7" fillId="0" borderId="0" xfId="3" applyFont="1" applyBorder="1" applyAlignment="1">
      <alignment horizontal="centerContinuous"/>
    </xf>
    <xf numFmtId="164" fontId="7" fillId="0" borderId="6" xfId="5" applyNumberFormat="1" applyFont="1" applyFill="1" applyBorder="1"/>
    <xf numFmtId="170" fontId="7" fillId="0" borderId="7" xfId="5" applyNumberFormat="1" applyFont="1" applyBorder="1"/>
    <xf numFmtId="9" fontId="7" fillId="0" borderId="0" xfId="3" applyFont="1" applyBorder="1" applyAlignment="1">
      <alignment horizontal="center"/>
    </xf>
    <xf numFmtId="170" fontId="7" fillId="0" borderId="7" xfId="1" applyNumberFormat="1" applyFont="1" applyBorder="1"/>
    <xf numFmtId="170" fontId="7" fillId="0" borderId="0" xfId="5" applyNumberFormat="1" applyFont="1" applyBorder="1"/>
    <xf numFmtId="172" fontId="7" fillId="0" borderId="0" xfId="5" applyNumberFormat="1" applyFont="1" applyFill="1" applyProtection="1">
      <protection locked="0"/>
    </xf>
    <xf numFmtId="9" fontId="7" fillId="0" borderId="7" xfId="5" applyNumberFormat="1" applyFont="1" applyBorder="1"/>
    <xf numFmtId="170" fontId="7" fillId="0" borderId="0" xfId="0" applyNumberFormat="1" applyFont="1" applyBorder="1"/>
    <xf numFmtId="7" fontId="7" fillId="0" borderId="0" xfId="5" applyNumberFormat="1" applyFont="1" applyFill="1" applyBorder="1" applyProtection="1"/>
    <xf numFmtId="7" fontId="7" fillId="0" borderId="0" xfId="5" applyNumberFormat="1" applyFont="1" applyFill="1" applyProtection="1"/>
    <xf numFmtId="5" fontId="7" fillId="0" borderId="0" xfId="5" applyNumberFormat="1" applyFont="1" applyFill="1" applyBorder="1" applyProtection="1"/>
    <xf numFmtId="3" fontId="7" fillId="0" borderId="5" xfId="0" applyNumberFormat="1" applyFont="1" applyBorder="1"/>
    <xf numFmtId="164" fontId="7" fillId="0" borderId="0" xfId="5" applyNumberFormat="1" applyFont="1" applyFill="1" applyBorder="1" applyAlignment="1">
      <alignment horizontal="left"/>
    </xf>
    <xf numFmtId="3" fontId="7" fillId="0" borderId="7" xfId="0" applyNumberFormat="1" applyFont="1" applyBorder="1"/>
    <xf numFmtId="164" fontId="7" fillId="0" borderId="9" xfId="5" applyNumberFormat="1" applyFont="1" applyFill="1" applyBorder="1"/>
    <xf numFmtId="3" fontId="7" fillId="0" borderId="8" xfId="0" applyNumberFormat="1" applyFont="1" applyBorder="1"/>
    <xf numFmtId="173" fontId="7" fillId="0" borderId="8" xfId="5" applyNumberFormat="1" applyFont="1" applyBorder="1"/>
    <xf numFmtId="5" fontId="7" fillId="0" borderId="10" xfId="5" applyNumberFormat="1" applyFont="1" applyFill="1" applyBorder="1" applyProtection="1"/>
    <xf numFmtId="0" fontId="7" fillId="0" borderId="0" xfId="0" applyFont="1"/>
    <xf numFmtId="37" fontId="7" fillId="0" borderId="2" xfId="5" applyNumberFormat="1" applyFont="1" applyFill="1" applyBorder="1" applyProtection="1"/>
    <xf numFmtId="164" fontId="7" fillId="0" borderId="2" xfId="5" applyNumberFormat="1" applyFont="1" applyFill="1" applyBorder="1"/>
    <xf numFmtId="5" fontId="7" fillId="0" borderId="2" xfId="5" applyNumberFormat="1" applyFont="1" applyFill="1" applyBorder="1" applyProtection="1"/>
    <xf numFmtId="174" fontId="7" fillId="0" borderId="0" xfId="5" applyNumberFormat="1" applyFont="1" applyFill="1" applyProtection="1"/>
    <xf numFmtId="172" fontId="7" fillId="0" borderId="0" xfId="5" applyNumberFormat="1" applyFont="1" applyFill="1" applyBorder="1" applyProtection="1">
      <protection locked="0"/>
    </xf>
    <xf numFmtId="10" fontId="7" fillId="0" borderId="0" xfId="5" applyNumberFormat="1" applyFont="1"/>
    <xf numFmtId="3" fontId="7" fillId="0" borderId="0" xfId="0" applyNumberFormat="1" applyFont="1"/>
    <xf numFmtId="10" fontId="7" fillId="0" borderId="0" xfId="3" applyNumberFormat="1" applyFont="1"/>
    <xf numFmtId="164" fontId="7" fillId="0" borderId="13" xfId="5" applyNumberFormat="1" applyFont="1" applyFill="1" applyBorder="1"/>
    <xf numFmtId="5" fontId="7" fillId="0" borderId="13" xfId="5" applyNumberFormat="1" applyFont="1" applyFill="1" applyBorder="1" applyProtection="1"/>
    <xf numFmtId="9" fontId="7" fillId="0" borderId="0" xfId="3" applyFont="1"/>
    <xf numFmtId="176" fontId="7" fillId="0" borderId="0" xfId="1" applyNumberFormat="1" applyFont="1"/>
    <xf numFmtId="172" fontId="7" fillId="0" borderId="0" xfId="5" applyNumberFormat="1" applyFont="1" applyFill="1" applyProtection="1"/>
    <xf numFmtId="10" fontId="7" fillId="0" borderId="5" xfId="5" applyNumberFormat="1" applyFont="1" applyBorder="1"/>
    <xf numFmtId="10" fontId="7" fillId="0" borderId="7" xfId="5" applyNumberFormat="1" applyFont="1" applyBorder="1"/>
    <xf numFmtId="37" fontId="7" fillId="0" borderId="13" xfId="5" applyNumberFormat="1" applyFont="1" applyFill="1" applyBorder="1" applyProtection="1"/>
    <xf numFmtId="10" fontId="7" fillId="0" borderId="8" xfId="5" applyNumberFormat="1" applyFont="1" applyBorder="1"/>
    <xf numFmtId="10" fontId="7" fillId="0" borderId="0" xfId="5" applyNumberFormat="1" applyFont="1" applyBorder="1"/>
    <xf numFmtId="49" fontId="7" fillId="0" borderId="0" xfId="5" applyNumberFormat="1" applyFont="1" applyFill="1" applyAlignment="1">
      <alignment horizontal="left"/>
    </xf>
    <xf numFmtId="165" fontId="7" fillId="0" borderId="0" xfId="1" applyNumberFormat="1" applyFont="1"/>
    <xf numFmtId="172" fontId="7" fillId="0" borderId="0" xfId="5" applyNumberFormat="1" applyFont="1" applyFill="1" applyBorder="1" applyProtection="1"/>
    <xf numFmtId="37" fontId="7" fillId="0" borderId="8" xfId="5" applyNumberFormat="1" applyFont="1" applyFill="1" applyBorder="1" applyProtection="1"/>
    <xf numFmtId="175" fontId="7" fillId="0" borderId="0" xfId="5" applyNumberFormat="1" applyFont="1" applyFill="1" applyProtection="1"/>
    <xf numFmtId="164" fontId="35" fillId="0" borderId="0" xfId="5" applyNumberFormat="1" applyFont="1" applyFill="1" applyAlignment="1">
      <alignment horizontal="left"/>
    </xf>
    <xf numFmtId="164" fontId="7" fillId="0" borderId="0" xfId="5" quotePrefix="1" applyNumberFormat="1" applyFont="1"/>
    <xf numFmtId="0" fontId="36" fillId="0" borderId="0" xfId="6" applyFont="1"/>
    <xf numFmtId="10" fontId="7" fillId="0" borderId="12" xfId="5" applyNumberFormat="1" applyFont="1" applyBorder="1"/>
    <xf numFmtId="37" fontId="7" fillId="0" borderId="1" xfId="5" applyNumberFormat="1" applyFont="1" applyFill="1" applyBorder="1" applyProtection="1">
      <protection locked="0"/>
    </xf>
    <xf numFmtId="164" fontId="7" fillId="0" borderId="1" xfId="5" applyNumberFormat="1" applyFont="1" applyFill="1" applyBorder="1"/>
    <xf numFmtId="5" fontId="7" fillId="0" borderId="1" xfId="5" applyNumberFormat="1" applyFont="1" applyFill="1" applyBorder="1" applyProtection="1"/>
    <xf numFmtId="37" fontId="7" fillId="0" borderId="2" xfId="5" applyNumberFormat="1" applyFont="1" applyFill="1" applyBorder="1" applyProtection="1">
      <protection locked="0"/>
    </xf>
    <xf numFmtId="173" fontId="7" fillId="0" borderId="0" xfId="5" applyNumberFormat="1" applyFont="1" applyFill="1" applyProtection="1">
      <protection locked="0"/>
    </xf>
    <xf numFmtId="170" fontId="7" fillId="0" borderId="8" xfId="5" applyNumberFormat="1" applyFont="1" applyBorder="1"/>
    <xf numFmtId="0" fontId="36" fillId="0" borderId="0" xfId="6" applyFont="1" applyFill="1"/>
    <xf numFmtId="0" fontId="36" fillId="0" borderId="0" xfId="6" applyFont="1" applyBorder="1"/>
    <xf numFmtId="164" fontId="7" fillId="0" borderId="0" xfId="5" applyNumberFormat="1" applyFont="1" applyFill="1" applyProtection="1">
      <protection locked="0"/>
    </xf>
    <xf numFmtId="177" fontId="7" fillId="0" borderId="0" xfId="5" applyNumberFormat="1" applyFont="1" applyFill="1" applyProtection="1">
      <protection locked="0"/>
    </xf>
    <xf numFmtId="164" fontId="7" fillId="0" borderId="7" xfId="5" applyNumberFormat="1" applyFont="1" applyBorder="1"/>
    <xf numFmtId="164" fontId="7" fillId="0" borderId="8" xfId="5" applyNumberFormat="1" applyFont="1" applyFill="1" applyBorder="1" applyProtection="1"/>
    <xf numFmtId="164" fontId="34" fillId="0" borderId="0" xfId="5" applyNumberFormat="1" applyFont="1" applyBorder="1"/>
    <xf numFmtId="170" fontId="7" fillId="0" borderId="0" xfId="3" applyNumberFormat="1" applyFont="1" applyFill="1"/>
    <xf numFmtId="37" fontId="7" fillId="0" borderId="14" xfId="5" applyNumberFormat="1" applyFont="1" applyFill="1" applyBorder="1" applyProtection="1"/>
    <xf numFmtId="164" fontId="7" fillId="0" borderId="10" xfId="5" applyNumberFormat="1" applyFont="1" applyFill="1" applyBorder="1"/>
    <xf numFmtId="168" fontId="7" fillId="0" borderId="8" xfId="5" applyNumberFormat="1" applyFont="1" applyFill="1" applyBorder="1" applyProtection="1"/>
    <xf numFmtId="178" fontId="7" fillId="0" borderId="0" xfId="5" applyNumberFormat="1" applyFont="1"/>
    <xf numFmtId="178" fontId="7" fillId="0" borderId="0" xfId="5" applyNumberFormat="1" applyFont="1" applyFill="1"/>
    <xf numFmtId="37" fontId="7" fillId="0" borderId="13" xfId="5" applyNumberFormat="1" applyFont="1" applyFill="1" applyBorder="1" applyProtection="1">
      <protection locked="0"/>
    </xf>
    <xf numFmtId="37" fontId="7" fillId="0" borderId="10" xfId="5" applyNumberFormat="1" applyFont="1" applyFill="1" applyBorder="1" applyProtection="1">
      <protection locked="0"/>
    </xf>
    <xf numFmtId="168" fontId="7" fillId="0" borderId="13" xfId="1" applyNumberFormat="1" applyFont="1" applyFill="1" applyBorder="1"/>
    <xf numFmtId="168" fontId="7" fillId="0" borderId="0" xfId="1" applyNumberFormat="1" applyFont="1" applyFill="1" applyBorder="1"/>
    <xf numFmtId="164" fontId="37" fillId="0" borderId="0" xfId="5" applyNumberFormat="1" applyFont="1" applyFill="1" applyAlignment="1">
      <alignment horizontal="left"/>
    </xf>
    <xf numFmtId="170" fontId="7" fillId="0" borderId="12" xfId="5" applyNumberFormat="1" applyFont="1" applyBorder="1"/>
    <xf numFmtId="176" fontId="7" fillId="0" borderId="0" xfId="1" applyNumberFormat="1" applyFont="1" applyFill="1" applyBorder="1" applyProtection="1">
      <protection locked="0"/>
    </xf>
    <xf numFmtId="49" fontId="33" fillId="0" borderId="0" xfId="5" applyNumberFormat="1" applyFont="1" applyFill="1"/>
    <xf numFmtId="7" fontId="7" fillId="0" borderId="1" xfId="5" applyNumberFormat="1" applyFont="1" applyFill="1" applyBorder="1" applyProtection="1">
      <protection locked="0"/>
    </xf>
    <xf numFmtId="37" fontId="7" fillId="0" borderId="0" xfId="5" applyNumberFormat="1" applyFont="1" applyFill="1" applyBorder="1" applyProtection="1">
      <protection locked="0"/>
    </xf>
    <xf numFmtId="179" fontId="7" fillId="0" borderId="0" xfId="5" applyNumberFormat="1" applyFont="1" applyFill="1" applyProtection="1"/>
    <xf numFmtId="37" fontId="7" fillId="0" borderId="1" xfId="5" applyNumberFormat="1" applyFont="1" applyFill="1" applyBorder="1" applyProtection="1"/>
    <xf numFmtId="10" fontId="7" fillId="0" borderId="0" xfId="3" applyNumberFormat="1" applyFont="1" applyFill="1" applyBorder="1"/>
    <xf numFmtId="164" fontId="38" fillId="0" borderId="0" xfId="5" applyNumberFormat="1" applyFont="1" applyFill="1" applyAlignment="1">
      <alignment horizontal="left"/>
    </xf>
    <xf numFmtId="176" fontId="7" fillId="0" borderId="0" xfId="1" applyNumberFormat="1" applyFont="1" applyFill="1" applyProtection="1">
      <protection locked="0"/>
    </xf>
    <xf numFmtId="9" fontId="7" fillId="0" borderId="0" xfId="3" applyNumberFormat="1" applyFont="1"/>
    <xf numFmtId="9" fontId="7" fillId="0" borderId="0" xfId="5" applyNumberFormat="1" applyFont="1"/>
    <xf numFmtId="164" fontId="7" fillId="3" borderId="11" xfId="5" applyNumberFormat="1" applyFont="1" applyFill="1" applyBorder="1"/>
    <xf numFmtId="164" fontId="7" fillId="3" borderId="12" xfId="5" applyNumberFormat="1" applyFont="1" applyFill="1" applyBorder="1"/>
    <xf numFmtId="180" fontId="7" fillId="0" borderId="5" xfId="5" applyNumberFormat="1" applyFont="1" applyFill="1" applyBorder="1" applyProtection="1"/>
    <xf numFmtId="180" fontId="7" fillId="0" borderId="7" xfId="5" applyNumberFormat="1" applyFont="1" applyFill="1" applyBorder="1" applyProtection="1"/>
    <xf numFmtId="164" fontId="33" fillId="0" borderId="0" xfId="5" applyNumberFormat="1" applyFont="1" applyFill="1"/>
    <xf numFmtId="9" fontId="7" fillId="0" borderId="0" xfId="3" applyNumberFormat="1" applyFont="1" applyProtection="1"/>
    <xf numFmtId="166" fontId="7" fillId="0" borderId="0" xfId="5" applyNumberFormat="1" applyFont="1" applyFill="1" applyProtection="1">
      <protection locked="0"/>
    </xf>
    <xf numFmtId="166" fontId="7" fillId="0" borderId="0" xfId="5" applyNumberFormat="1" applyFont="1" applyFill="1" applyBorder="1" applyProtection="1">
      <protection locked="0"/>
    </xf>
    <xf numFmtId="166" fontId="7" fillId="0" borderId="0" xfId="5" applyNumberFormat="1" applyFont="1" applyFill="1" applyProtection="1"/>
    <xf numFmtId="166" fontId="7" fillId="0" borderId="0" xfId="5" applyNumberFormat="1" applyFont="1" applyFill="1" applyBorder="1" applyProtection="1"/>
    <xf numFmtId="170" fontId="7" fillId="0" borderId="0" xfId="5" applyNumberFormat="1" applyFont="1"/>
    <xf numFmtId="175" fontId="7" fillId="0" borderId="1" xfId="5" applyNumberFormat="1" applyFont="1" applyFill="1" applyBorder="1" applyProtection="1"/>
    <xf numFmtId="175" fontId="7" fillId="0" borderId="0" xfId="5" applyNumberFormat="1" applyFont="1" applyFill="1" applyBorder="1" applyProtection="1"/>
    <xf numFmtId="5" fontId="7" fillId="0" borderId="0" xfId="5" applyNumberFormat="1" applyFont="1" applyFill="1" applyProtection="1">
      <protection locked="0"/>
    </xf>
    <xf numFmtId="164" fontId="7" fillId="0" borderId="0" xfId="5" applyNumberFormat="1" applyFont="1" applyFill="1" applyProtection="1"/>
    <xf numFmtId="164" fontId="7" fillId="0" borderId="0" xfId="5" applyNumberFormat="1" applyFont="1" applyFill="1" applyBorder="1" applyProtection="1"/>
    <xf numFmtId="5" fontId="7" fillId="0" borderId="1" xfId="5" applyNumberFormat="1" applyFont="1" applyFill="1" applyBorder="1" applyProtection="1">
      <protection locked="0"/>
    </xf>
    <xf numFmtId="172" fontId="7" fillId="0" borderId="13" xfId="5" applyNumberFormat="1" applyFont="1" applyFill="1" applyBorder="1" applyProtection="1"/>
    <xf numFmtId="176" fontId="7" fillId="0" borderId="0" xfId="1" applyNumberFormat="1" applyFont="1" applyFill="1" applyProtection="1"/>
    <xf numFmtId="176" fontId="7" fillId="0" borderId="0" xfId="1" applyNumberFormat="1" applyFont="1" applyFill="1" applyBorder="1" applyProtection="1"/>
    <xf numFmtId="37" fontId="7" fillId="0" borderId="15" xfId="5" applyNumberFormat="1" applyFont="1" applyFill="1" applyBorder="1" applyProtection="1"/>
    <xf numFmtId="172" fontId="7" fillId="0" borderId="2" xfId="5" applyNumberFormat="1" applyFont="1" applyFill="1" applyBorder="1" applyProtection="1"/>
    <xf numFmtId="5" fontId="7" fillId="0" borderId="15" xfId="5" applyNumberFormat="1" applyFont="1" applyFill="1" applyBorder="1" applyProtection="1"/>
    <xf numFmtId="164" fontId="7" fillId="0" borderId="0" xfId="5" applyNumberFormat="1" applyFont="1" applyFill="1" applyBorder="1" applyProtection="1">
      <protection locked="0"/>
    </xf>
    <xf numFmtId="5" fontId="7" fillId="0" borderId="0" xfId="5" applyNumberFormat="1" applyFont="1" applyFill="1" applyBorder="1" applyProtection="1">
      <protection locked="0"/>
    </xf>
    <xf numFmtId="166" fontId="7" fillId="0" borderId="1" xfId="5" applyNumberFormat="1" applyFont="1" applyFill="1" applyBorder="1" applyProtection="1"/>
    <xf numFmtId="165" fontId="7" fillId="0" borderId="0" xfId="1" applyNumberFormat="1" applyFont="1" applyFill="1"/>
    <xf numFmtId="172" fontId="7" fillId="0" borderId="0" xfId="5" applyNumberFormat="1" applyFont="1" applyProtection="1"/>
    <xf numFmtId="5" fontId="7" fillId="0" borderId="0" xfId="5" applyNumberFormat="1" applyFont="1" applyProtection="1"/>
    <xf numFmtId="165" fontId="7" fillId="0" borderId="2" xfId="1" applyNumberFormat="1" applyFont="1" applyFill="1" applyBorder="1"/>
    <xf numFmtId="164" fontId="7" fillId="5" borderId="0" xfId="5" applyNumberFormat="1" applyFont="1" applyFill="1"/>
    <xf numFmtId="37" fontId="33" fillId="5" borderId="0" xfId="5" applyNumberFormat="1" applyFont="1" applyFill="1" applyProtection="1"/>
    <xf numFmtId="164" fontId="7" fillId="5" borderId="0" xfId="5" applyNumberFormat="1" applyFont="1" applyFill="1" applyBorder="1"/>
    <xf numFmtId="164" fontId="33" fillId="5" borderId="0" xfId="5" applyNumberFormat="1" applyFont="1" applyFill="1" applyBorder="1" applyAlignment="1">
      <alignment horizontal="center"/>
    </xf>
    <xf numFmtId="164" fontId="33" fillId="5" borderId="0" xfId="5" applyNumberFormat="1" applyFont="1" applyFill="1" applyAlignment="1">
      <alignment horizontal="center"/>
    </xf>
    <xf numFmtId="164" fontId="7" fillId="5" borderId="0" xfId="5" applyNumberFormat="1" applyFont="1" applyFill="1" applyAlignment="1">
      <alignment horizontal="left"/>
    </xf>
    <xf numFmtId="177" fontId="7" fillId="5" borderId="0" xfId="5" applyNumberFormat="1" applyFont="1" applyFill="1"/>
    <xf numFmtId="0" fontId="7" fillId="5" borderId="0" xfId="0" applyFont="1" applyFill="1" applyBorder="1"/>
    <xf numFmtId="169" fontId="33" fillId="5" borderId="0" xfId="5" applyNumberFormat="1" applyFont="1" applyFill="1" applyProtection="1"/>
    <xf numFmtId="37" fontId="33" fillId="5" borderId="0" xfId="5" applyNumberFormat="1" applyFont="1" applyFill="1" applyAlignment="1" applyProtection="1">
      <alignment horizontal="center"/>
    </xf>
    <xf numFmtId="37" fontId="33" fillId="5" borderId="0" xfId="5" applyNumberFormat="1" applyFont="1" applyFill="1" applyBorder="1" applyAlignment="1" applyProtection="1">
      <alignment horizontal="center"/>
    </xf>
    <xf numFmtId="37" fontId="33" fillId="5" borderId="1" xfId="5" quotePrefix="1" applyNumberFormat="1" applyFont="1" applyFill="1" applyBorder="1" applyAlignment="1" applyProtection="1">
      <alignment horizontal="center"/>
    </xf>
    <xf numFmtId="164" fontId="33" fillId="5" borderId="10" xfId="5" quotePrefix="1" applyNumberFormat="1" applyFont="1" applyFill="1" applyBorder="1" applyAlignment="1">
      <alignment horizontal="center"/>
    </xf>
    <xf numFmtId="164" fontId="33" fillId="5" borderId="10" xfId="5" applyNumberFormat="1" applyFont="1" applyFill="1" applyBorder="1" applyAlignment="1">
      <alignment horizontal="center"/>
    </xf>
    <xf numFmtId="164" fontId="33" fillId="5" borderId="0" xfId="5" applyNumberFormat="1" applyFont="1" applyFill="1" applyAlignment="1">
      <alignment horizontal="left"/>
    </xf>
    <xf numFmtId="37" fontId="7" fillId="5" borderId="0" xfId="5" applyNumberFormat="1" applyFont="1" applyFill="1" applyProtection="1"/>
    <xf numFmtId="37" fontId="7" fillId="5" borderId="0" xfId="5" applyNumberFormat="1" applyFont="1" applyFill="1" applyProtection="1">
      <protection locked="0"/>
    </xf>
    <xf numFmtId="7" fontId="7" fillId="5" borderId="0" xfId="5" applyNumberFormat="1" applyFont="1" applyFill="1" applyProtection="1">
      <protection locked="0"/>
    </xf>
    <xf numFmtId="7" fontId="7" fillId="5" borderId="0" xfId="5" applyNumberFormat="1" applyFont="1" applyFill="1" applyBorder="1" applyProtection="1">
      <protection locked="0"/>
    </xf>
    <xf numFmtId="5" fontId="7" fillId="5" borderId="0" xfId="5" applyNumberFormat="1" applyFont="1" applyFill="1" applyProtection="1"/>
    <xf numFmtId="37" fontId="7" fillId="5" borderId="0" xfId="5" applyNumberFormat="1" applyFont="1" applyFill="1" applyBorder="1" applyProtection="1"/>
    <xf numFmtId="171" fontId="7" fillId="5" borderId="0" xfId="5" applyNumberFormat="1" applyFont="1" applyFill="1" applyProtection="1">
      <protection locked="0"/>
    </xf>
    <xf numFmtId="172" fontId="7" fillId="5" borderId="0" xfId="5" applyNumberFormat="1" applyFont="1" applyFill="1" applyProtection="1">
      <protection locked="0"/>
    </xf>
    <xf numFmtId="7" fontId="7" fillId="5" borderId="0" xfId="5" applyNumberFormat="1" applyFont="1" applyFill="1" applyBorder="1" applyProtection="1"/>
    <xf numFmtId="7" fontId="7" fillId="5" borderId="0" xfId="5" applyNumberFormat="1" applyFont="1" applyFill="1" applyProtection="1"/>
    <xf numFmtId="5" fontId="7" fillId="5" borderId="0" xfId="5" applyNumberFormat="1" applyFont="1" applyFill="1" applyBorder="1" applyProtection="1"/>
    <xf numFmtId="164" fontId="7" fillId="5" borderId="0" xfId="5" applyNumberFormat="1" applyFont="1" applyFill="1" applyBorder="1" applyAlignment="1">
      <alignment horizontal="left"/>
    </xf>
    <xf numFmtId="37" fontId="7" fillId="5" borderId="10" xfId="5" applyNumberFormat="1" applyFont="1" applyFill="1" applyBorder="1" applyProtection="1"/>
    <xf numFmtId="5" fontId="7" fillId="5" borderId="10" xfId="5" applyNumberFormat="1" applyFont="1" applyFill="1" applyBorder="1" applyProtection="1"/>
    <xf numFmtId="37" fontId="7" fillId="5" borderId="2" xfId="5" applyNumberFormat="1" applyFont="1" applyFill="1" applyBorder="1" applyProtection="1"/>
    <xf numFmtId="37" fontId="6" fillId="5" borderId="21" xfId="0" applyNumberFormat="1" applyFont="1" applyFill="1" applyBorder="1"/>
    <xf numFmtId="164" fontId="7" fillId="5" borderId="2" xfId="5" applyNumberFormat="1" applyFont="1" applyFill="1" applyBorder="1"/>
    <xf numFmtId="5" fontId="7" fillId="5" borderId="2" xfId="5" applyNumberFormat="1" applyFont="1" applyFill="1" applyBorder="1" applyProtection="1"/>
    <xf numFmtId="10" fontId="7" fillId="5" borderId="0" xfId="3" applyNumberFormat="1" applyFont="1" applyFill="1" applyBorder="1" applyProtection="1"/>
    <xf numFmtId="164" fontId="6" fillId="5" borderId="0" xfId="5" applyNumberFormat="1" applyFont="1" applyFill="1"/>
    <xf numFmtId="164" fontId="7" fillId="0" borderId="21" xfId="5" applyNumberFormat="1" applyFont="1" applyFill="1" applyBorder="1"/>
    <xf numFmtId="164" fontId="0" fillId="0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33" fillId="5" borderId="22" xfId="5" applyNumberFormat="1" applyFont="1" applyFill="1" applyBorder="1" applyAlignment="1">
      <alignment horizontal="center"/>
    </xf>
  </cellXfs>
  <cellStyles count="134">
    <cellStyle name="Comma" xfId="1" builtinId="3"/>
    <cellStyle name="Comma 11" xfId="28"/>
    <cellStyle name="Comma 19" xfId="29"/>
    <cellStyle name="Comma 2" xfId="8"/>
    <cellStyle name="Comma 2 10" xfId="30"/>
    <cellStyle name="Comma 2 11" xfId="31"/>
    <cellStyle name="Comma 2 12" xfId="32"/>
    <cellStyle name="Comma 2 13" xfId="33"/>
    <cellStyle name="Comma 2 14" xfId="34"/>
    <cellStyle name="Comma 2 15" xfId="35"/>
    <cellStyle name="Comma 2 16" xfId="36"/>
    <cellStyle name="Comma 2 17" xfId="37"/>
    <cellStyle name="Comma 2 18" xfId="38"/>
    <cellStyle name="Comma 2 19" xfId="39"/>
    <cellStyle name="Comma 2 2" xfId="40"/>
    <cellStyle name="Comma 2 20" xfId="41"/>
    <cellStyle name="Comma 2 21" xfId="42"/>
    <cellStyle name="Comma 2 3" xfId="43"/>
    <cellStyle name="Comma 2 4" xfId="44"/>
    <cellStyle name="Comma 2 5" xfId="45"/>
    <cellStyle name="Comma 2 6" xfId="46"/>
    <cellStyle name="Comma 2 7" xfId="47"/>
    <cellStyle name="Comma 2 8" xfId="48"/>
    <cellStyle name="Comma 2 9" xfId="49"/>
    <cellStyle name="Comma 21" xfId="50"/>
    <cellStyle name="Comma 22" xfId="51"/>
    <cellStyle name="Comma 4" xfId="52"/>
    <cellStyle name="Comma 5" xfId="53"/>
    <cellStyle name="Currency" xfId="2" builtinId="4"/>
    <cellStyle name="Currency 2" xfId="9"/>
    <cellStyle name="Currency 2 10" xfId="54"/>
    <cellStyle name="Currency 2 11" xfId="55"/>
    <cellStyle name="Currency 2 12" xfId="56"/>
    <cellStyle name="Currency 2 13" xfId="57"/>
    <cellStyle name="Currency 2 14" xfId="58"/>
    <cellStyle name="Currency 2 15" xfId="59"/>
    <cellStyle name="Currency 2 16" xfId="60"/>
    <cellStyle name="Currency 2 17" xfId="61"/>
    <cellStyle name="Currency 2 18" xfId="62"/>
    <cellStyle name="Currency 2 19" xfId="63"/>
    <cellStyle name="Currency 2 2" xfId="64"/>
    <cellStyle name="Currency 2 20" xfId="65"/>
    <cellStyle name="Currency 2 21" xfId="66"/>
    <cellStyle name="Currency 2 3" xfId="67"/>
    <cellStyle name="Currency 2 4" xfId="68"/>
    <cellStyle name="Currency 2 5" xfId="69"/>
    <cellStyle name="Currency 2 6" xfId="70"/>
    <cellStyle name="Currency 2 7" xfId="71"/>
    <cellStyle name="Currency 2 8" xfId="72"/>
    <cellStyle name="Currency 2 9" xfId="73"/>
    <cellStyle name="General" xfId="10"/>
    <cellStyle name="nONE" xfId="11"/>
    <cellStyle name="Normal" xfId="0" builtinId="0"/>
    <cellStyle name="Normal 10" xfId="74"/>
    <cellStyle name="Normal 11" xfId="75"/>
    <cellStyle name="Normal 12" xfId="76"/>
    <cellStyle name="Normal 13" xfId="77"/>
    <cellStyle name="Normal 14" xfId="78"/>
    <cellStyle name="Normal 16" xfId="79"/>
    <cellStyle name="Normal 17" xfId="80"/>
    <cellStyle name="Normal 18" xfId="81"/>
    <cellStyle name="Normal 19" xfId="82"/>
    <cellStyle name="Normal 2" xfId="12"/>
    <cellStyle name="Normal 2 10" xfId="83"/>
    <cellStyle name="Normal 2 11" xfId="84"/>
    <cellStyle name="Normal 2 12" xfId="85"/>
    <cellStyle name="Normal 2 13" xfId="86"/>
    <cellStyle name="Normal 2 14" xfId="87"/>
    <cellStyle name="Normal 2 15" xfId="88"/>
    <cellStyle name="Normal 2 16" xfId="89"/>
    <cellStyle name="Normal 2 17" xfId="90"/>
    <cellStyle name="Normal 2 18" xfId="91"/>
    <cellStyle name="Normal 2 19" xfId="92"/>
    <cellStyle name="Normal 2 2" xfId="13"/>
    <cellStyle name="Normal 2 20" xfId="93"/>
    <cellStyle name="Normal 2 21" xfId="94"/>
    <cellStyle name="Normal 2 22" xfId="95"/>
    <cellStyle name="Normal 2 3" xfId="96"/>
    <cellStyle name="Normal 2 4" xfId="97"/>
    <cellStyle name="Normal 2 5" xfId="98"/>
    <cellStyle name="Normal 2 6" xfId="99"/>
    <cellStyle name="Normal 2 7" xfId="100"/>
    <cellStyle name="Normal 2 8" xfId="101"/>
    <cellStyle name="Normal 2 9" xfId="102"/>
    <cellStyle name="Normal 2_Book1" xfId="103"/>
    <cellStyle name="Normal 20" xfId="104"/>
    <cellStyle name="Normal 21" xfId="105"/>
    <cellStyle name="Normal 22" xfId="106"/>
    <cellStyle name="Normal 23" xfId="107"/>
    <cellStyle name="Normal 24" xfId="108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 8" xfId="20"/>
    <cellStyle name="Normal 9" xfId="109"/>
    <cellStyle name="Normal_Bill Comp Settlement with New DSM" xfId="7"/>
    <cellStyle name="Normal_Blocking 03-01" xfId="4"/>
    <cellStyle name="Normal_Blocking 09-00" xfId="5"/>
    <cellStyle name="Normal_Book4" xfId="6"/>
    <cellStyle name="Percent" xfId="3" builtinId="5"/>
    <cellStyle name="Percent 13" xfId="110"/>
    <cellStyle name="Percent 19" xfId="111"/>
    <cellStyle name="Percent 2" xfId="21"/>
    <cellStyle name="Percent 2 10" xfId="112"/>
    <cellStyle name="Percent 2 11" xfId="113"/>
    <cellStyle name="Percent 2 12" xfId="114"/>
    <cellStyle name="Percent 2 13" xfId="115"/>
    <cellStyle name="Percent 2 14" xfId="116"/>
    <cellStyle name="Percent 2 15" xfId="117"/>
    <cellStyle name="Percent 2 16" xfId="118"/>
    <cellStyle name="Percent 2 17" xfId="119"/>
    <cellStyle name="Percent 2 18" xfId="120"/>
    <cellStyle name="Percent 2 19" xfId="121"/>
    <cellStyle name="Percent 2 2" xfId="22"/>
    <cellStyle name="Percent 2 20" xfId="122"/>
    <cellStyle name="Percent 2 21" xfId="123"/>
    <cellStyle name="Percent 2 3" xfId="124"/>
    <cellStyle name="Percent 2 4" xfId="125"/>
    <cellStyle name="Percent 2 5" xfId="126"/>
    <cellStyle name="Percent 2 6" xfId="127"/>
    <cellStyle name="Percent 2 7" xfId="128"/>
    <cellStyle name="Percent 2 8" xfId="129"/>
    <cellStyle name="Percent 2 9" xfId="130"/>
    <cellStyle name="Percent 22" xfId="131"/>
    <cellStyle name="Percent 3" xfId="23"/>
    <cellStyle name="Percent 4" xfId="24"/>
    <cellStyle name="Percent 5" xfId="25"/>
    <cellStyle name="Percent 6" xfId="26"/>
    <cellStyle name="SAPBEXchaText" xfId="132"/>
    <cellStyle name="SAPBEXtitle" xfId="133"/>
    <cellStyle name="TRANSMISSION RELIABILITY PORTION OF PROJECT" xf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\wyoming%20rate%20case\Combined\WYCombined%2098%20COS%20OCT20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10">
          <cell r="D10">
            <v>0.5</v>
          </cell>
        </row>
        <row r="11">
          <cell r="W11">
            <v>3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5566045566.0353851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64">
          <cell r="H264">
            <v>10911620.343994766</v>
          </cell>
        </row>
        <row r="273">
          <cell r="H273">
            <v>0</v>
          </cell>
          <cell r="AB273">
            <v>0</v>
          </cell>
        </row>
        <row r="274">
          <cell r="AB274">
            <v>0</v>
          </cell>
        </row>
        <row r="280">
          <cell r="AB280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9">
          <cell r="AB289">
            <v>0</v>
          </cell>
        </row>
        <row r="290">
          <cell r="AB290">
            <v>241043.67823844633</v>
          </cell>
        </row>
        <row r="291">
          <cell r="H291">
            <v>3577623.4299999997</v>
          </cell>
          <cell r="AB291">
            <v>114961.64623925314</v>
          </cell>
        </row>
        <row r="297">
          <cell r="H297">
            <v>2935273.83</v>
          </cell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2">
          <cell r="H302">
            <v>3890290.93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9">
          <cell r="AB309">
            <v>0</v>
          </cell>
        </row>
        <row r="312">
          <cell r="H312">
            <v>3182622.92</v>
          </cell>
          <cell r="AB312">
            <v>116597.57917836553</v>
          </cell>
        </row>
        <row r="313">
          <cell r="AB313">
            <v>0</v>
          </cell>
        </row>
        <row r="314">
          <cell r="AB314">
            <v>14809.566820082549</v>
          </cell>
        </row>
        <row r="315">
          <cell r="AB315">
            <v>131407.14599844808</v>
          </cell>
        </row>
        <row r="318">
          <cell r="H318">
            <v>-60653.539999999106</v>
          </cell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3">
          <cell r="AB323">
            <v>0</v>
          </cell>
        </row>
        <row r="355">
          <cell r="AB355">
            <v>0</v>
          </cell>
        </row>
        <row r="360">
          <cell r="AB360">
            <v>0</v>
          </cell>
        </row>
        <row r="364">
          <cell r="AB364">
            <v>0</v>
          </cell>
        </row>
        <row r="367">
          <cell r="AB367">
            <v>0</v>
          </cell>
        </row>
        <row r="371">
          <cell r="AB371">
            <v>0</v>
          </cell>
        </row>
        <row r="380">
          <cell r="AB380">
            <v>-43135.714868065479</v>
          </cell>
        </row>
        <row r="387">
          <cell r="AB387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8">
          <cell r="AB478">
            <v>0</v>
          </cell>
        </row>
        <row r="482">
          <cell r="AB482">
            <v>0</v>
          </cell>
        </row>
        <row r="487">
          <cell r="AB487">
            <v>0</v>
          </cell>
        </row>
        <row r="491">
          <cell r="AB491">
            <v>0</v>
          </cell>
        </row>
        <row r="495">
          <cell r="AB495">
            <v>0</v>
          </cell>
        </row>
        <row r="499">
          <cell r="AB499">
            <v>0</v>
          </cell>
        </row>
        <row r="503">
          <cell r="AB503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43">
          <cell r="AB543">
            <v>0</v>
          </cell>
        </row>
        <row r="547">
          <cell r="AB547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7">
          <cell r="AB567">
            <v>0</v>
          </cell>
        </row>
        <row r="571">
          <cell r="AB571">
            <v>0</v>
          </cell>
        </row>
        <row r="584">
          <cell r="AB584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9">
          <cell r="AB599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4">
          <cell r="AB614">
            <v>0</v>
          </cell>
        </row>
        <row r="619">
          <cell r="AB619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50">
          <cell r="AB650">
            <v>0</v>
          </cell>
        </row>
        <row r="657">
          <cell r="AB657">
            <v>0</v>
          </cell>
        </row>
        <row r="659">
          <cell r="AB65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82">
          <cell r="AB682">
            <v>0</v>
          </cell>
        </row>
        <row r="686">
          <cell r="AB686">
            <v>0</v>
          </cell>
        </row>
        <row r="690">
          <cell r="AB690">
            <v>0</v>
          </cell>
        </row>
        <row r="694">
          <cell r="AB694">
            <v>0</v>
          </cell>
        </row>
        <row r="698">
          <cell r="AB698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7">
          <cell r="AB707">
            <v>0</v>
          </cell>
        </row>
        <row r="711">
          <cell r="AB711">
            <v>0</v>
          </cell>
        </row>
        <row r="715">
          <cell r="AB715">
            <v>0</v>
          </cell>
        </row>
        <row r="719">
          <cell r="AB719">
            <v>0</v>
          </cell>
        </row>
        <row r="723">
          <cell r="AB723">
            <v>0</v>
          </cell>
        </row>
        <row r="727">
          <cell r="AB727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8">
          <cell r="H748">
            <v>9034335.1104840785</v>
          </cell>
          <cell r="AB748">
            <v>330979.07915794029</v>
          </cell>
        </row>
        <row r="753">
          <cell r="H753">
            <v>6827623.173287319</v>
          </cell>
          <cell r="AB753">
            <v>0</v>
          </cell>
        </row>
        <row r="758">
          <cell r="H758">
            <v>1911902.8294529617</v>
          </cell>
          <cell r="AB758">
            <v>0</v>
          </cell>
        </row>
        <row r="763">
          <cell r="H763">
            <v>1616348.0755915414</v>
          </cell>
          <cell r="AB763">
            <v>0</v>
          </cell>
        </row>
        <row r="768">
          <cell r="H768">
            <v>49.504394141145141</v>
          </cell>
          <cell r="AB768">
            <v>0</v>
          </cell>
        </row>
        <row r="773">
          <cell r="H773">
            <v>104250.16590039269</v>
          </cell>
          <cell r="AB773">
            <v>104250.16590039269</v>
          </cell>
        </row>
        <row r="778">
          <cell r="H778">
            <v>1968077.1591296275</v>
          </cell>
          <cell r="AB778">
            <v>1968077.1591296275</v>
          </cell>
        </row>
        <row r="783">
          <cell r="H783">
            <v>5506349.2060341947</v>
          </cell>
          <cell r="AB783">
            <v>0</v>
          </cell>
        </row>
        <row r="788">
          <cell r="H788">
            <v>3597851.0312700737</v>
          </cell>
          <cell r="AB788">
            <v>0</v>
          </cell>
        </row>
        <row r="793">
          <cell r="H793">
            <v>559226.23933255568</v>
          </cell>
          <cell r="AB793">
            <v>0</v>
          </cell>
        </row>
        <row r="798">
          <cell r="H798">
            <v>3241717.7722080662</v>
          </cell>
          <cell r="AB798">
            <v>118762.55972509139</v>
          </cell>
        </row>
        <row r="803">
          <cell r="H803">
            <v>760677.68611824024</v>
          </cell>
          <cell r="AB803">
            <v>0</v>
          </cell>
        </row>
        <row r="808">
          <cell r="H808">
            <v>4778049.5305086197</v>
          </cell>
          <cell r="AB808">
            <v>0</v>
          </cell>
        </row>
        <row r="813">
          <cell r="H813">
            <v>38917701.291922048</v>
          </cell>
          <cell r="AB813">
            <v>0</v>
          </cell>
        </row>
        <row r="818">
          <cell r="H818">
            <v>12708363.178767273</v>
          </cell>
          <cell r="AB818">
            <v>0</v>
          </cell>
        </row>
        <row r="823">
          <cell r="H823">
            <v>494541.03724424943</v>
          </cell>
          <cell r="AB823">
            <v>0</v>
          </cell>
        </row>
        <row r="833">
          <cell r="H833">
            <v>2281006.8170035193</v>
          </cell>
          <cell r="AB833">
            <v>0</v>
          </cell>
        </row>
        <row r="838">
          <cell r="H838">
            <v>2760377.9114741907</v>
          </cell>
          <cell r="AB838">
            <v>2760377.9114741907</v>
          </cell>
        </row>
        <row r="843">
          <cell r="H843">
            <v>1486844.1560219452</v>
          </cell>
          <cell r="AB843">
            <v>0</v>
          </cell>
        </row>
        <row r="855">
          <cell r="AB855">
            <v>0</v>
          </cell>
        </row>
        <row r="860">
          <cell r="AB860">
            <v>0</v>
          </cell>
        </row>
        <row r="865">
          <cell r="AB865">
            <v>0</v>
          </cell>
        </row>
        <row r="871">
          <cell r="AB871">
            <v>0</v>
          </cell>
        </row>
        <row r="876">
          <cell r="AB876">
            <v>0</v>
          </cell>
        </row>
        <row r="890">
          <cell r="AB890">
            <v>0</v>
          </cell>
        </row>
        <row r="895">
          <cell r="AB895">
            <v>0</v>
          </cell>
        </row>
        <row r="900">
          <cell r="AB900">
            <v>0</v>
          </cell>
        </row>
        <row r="905">
          <cell r="AB905">
            <v>0</v>
          </cell>
        </row>
        <row r="916">
          <cell r="AB916">
            <v>0</v>
          </cell>
        </row>
        <row r="921">
          <cell r="AB921">
            <v>0</v>
          </cell>
        </row>
        <row r="926">
          <cell r="AB926">
            <v>0</v>
          </cell>
        </row>
        <row r="931">
          <cell r="AB931">
            <v>0</v>
          </cell>
        </row>
        <row r="940">
          <cell r="AB940">
            <v>0</v>
          </cell>
        </row>
        <row r="942">
          <cell r="AB942">
            <v>320126.54926868004</v>
          </cell>
        </row>
        <row r="946">
          <cell r="AB946">
            <v>0</v>
          </cell>
        </row>
        <row r="948">
          <cell r="AB948">
            <v>-84964.595736086674</v>
          </cell>
        </row>
        <row r="952">
          <cell r="AB952">
            <v>0</v>
          </cell>
        </row>
        <row r="954">
          <cell r="AB954">
            <v>51119.30630128437</v>
          </cell>
        </row>
        <row r="958">
          <cell r="AB958">
            <v>0</v>
          </cell>
        </row>
        <row r="959">
          <cell r="AB959">
            <v>57336.339925998895</v>
          </cell>
        </row>
        <row r="963">
          <cell r="AB963">
            <v>40583.821637839552</v>
          </cell>
        </row>
        <row r="969">
          <cell r="AB969">
            <v>0</v>
          </cell>
        </row>
        <row r="974">
          <cell r="AB974">
            <v>0</v>
          </cell>
        </row>
        <row r="981">
          <cell r="AB981">
            <v>0</v>
          </cell>
        </row>
        <row r="983">
          <cell r="H983">
            <v>0</v>
          </cell>
          <cell r="AB983">
            <v>0</v>
          </cell>
        </row>
        <row r="988">
          <cell r="AB988">
            <v>-46760.715808708104</v>
          </cell>
        </row>
        <row r="991">
          <cell r="AB991">
            <v>15642.613310406578</v>
          </cell>
        </row>
        <row r="992">
          <cell r="AB992">
            <v>0</v>
          </cell>
        </row>
        <row r="993">
          <cell r="AB993">
            <v>149468.26384999367</v>
          </cell>
        </row>
        <row r="999">
          <cell r="AB999">
            <v>23753.677211923161</v>
          </cell>
        </row>
        <row r="1005">
          <cell r="AB1005">
            <v>157378.40036011403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4">
          <cell r="AB1024">
            <v>0</v>
          </cell>
        </row>
        <row r="1029">
          <cell r="AB1029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42">
          <cell r="AB1042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2736928.3052617074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61">
          <cell r="AB1061">
            <v>101840.53099260862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57914.307696588898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5">
          <cell r="AB1075">
            <v>0</v>
          </cell>
        </row>
        <row r="1079">
          <cell r="AB1079">
            <v>0</v>
          </cell>
        </row>
        <row r="1084">
          <cell r="AB1084">
            <v>0</v>
          </cell>
        </row>
        <row r="1095">
          <cell r="AB1095">
            <v>4747.5458265600755</v>
          </cell>
        </row>
        <row r="1097">
          <cell r="AB1097">
            <v>0</v>
          </cell>
        </row>
        <row r="1099">
          <cell r="AB1099">
            <v>4761.8336166948075</v>
          </cell>
        </row>
        <row r="1104">
          <cell r="AB1104">
            <v>0</v>
          </cell>
        </row>
        <row r="1107">
          <cell r="AB1107">
            <v>259.16640272207434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78838.316022503132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20">
          <cell r="AB1120">
            <v>0</v>
          </cell>
        </row>
        <row r="1126">
          <cell r="AB1126">
            <v>0</v>
          </cell>
        </row>
        <row r="1134">
          <cell r="AB1134">
            <v>0</v>
          </cell>
        </row>
        <row r="1142">
          <cell r="AB1142">
            <v>0</v>
          </cell>
        </row>
        <row r="1151">
          <cell r="AB1151">
            <v>0</v>
          </cell>
        </row>
        <row r="1162">
          <cell r="AB1162">
            <v>0</v>
          </cell>
        </row>
        <row r="1170">
          <cell r="AB1170">
            <v>546414.08506271814</v>
          </cell>
        </row>
        <row r="1181">
          <cell r="AB1181">
            <v>-15515.016818158245</v>
          </cell>
        </row>
        <row r="1186">
          <cell r="AB1186">
            <v>0</v>
          </cell>
        </row>
        <row r="1223">
          <cell r="AB1223">
            <v>-180055.71154094639</v>
          </cell>
        </row>
        <row r="1248">
          <cell r="AB1248">
            <v>2382976.3439226565</v>
          </cell>
        </row>
        <row r="1263">
          <cell r="AB1263">
            <v>0</v>
          </cell>
        </row>
        <row r="1282">
          <cell r="AB1282">
            <v>-1579965.9680125797</v>
          </cell>
        </row>
        <row r="1297">
          <cell r="AB1297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92761.03722545864</v>
          </cell>
        </row>
        <row r="1315">
          <cell r="AB1315">
            <v>0</v>
          </cell>
        </row>
        <row r="1316">
          <cell r="AB1316">
            <v>-1239.72733780155</v>
          </cell>
        </row>
        <row r="1320">
          <cell r="AB1320">
            <v>2404.104417848755</v>
          </cell>
        </row>
        <row r="1321">
          <cell r="AB1321">
            <v>0</v>
          </cell>
        </row>
        <row r="1322">
          <cell r="AB1322">
            <v>1182928.2815038655</v>
          </cell>
        </row>
        <row r="1323">
          <cell r="AB1323">
            <v>489519.39390886907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96277.421264647564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3126038.4599523568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3205.8019896304322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87892.998035928351</v>
          </cell>
        </row>
        <row r="1353">
          <cell r="AB1353">
            <v>48201.91943210701</v>
          </cell>
        </row>
        <row r="1354">
          <cell r="AB1354">
            <v>0</v>
          </cell>
        </row>
        <row r="1355">
          <cell r="AB1355">
            <v>574745.18040971807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2310.6571155258148</v>
          </cell>
        </row>
        <row r="1361">
          <cell r="AB1361">
            <v>194966.73276667667</v>
          </cell>
        </row>
        <row r="1362">
          <cell r="AB1362">
            <v>15927.448036904676</v>
          </cell>
        </row>
        <row r="1363">
          <cell r="AB1363">
            <v>10890878.152360747</v>
          </cell>
        </row>
        <row r="1364">
          <cell r="AB1364">
            <v>0</v>
          </cell>
        </row>
        <row r="1376">
          <cell r="AB1376">
            <v>64234.509334369584</v>
          </cell>
        </row>
        <row r="1378">
          <cell r="AB1378">
            <v>0</v>
          </cell>
        </row>
        <row r="1401">
          <cell r="AB1401">
            <v>-6829439.919211993</v>
          </cell>
        </row>
        <row r="1405">
          <cell r="AB1405">
            <v>64234.509334369468</v>
          </cell>
        </row>
        <row r="1415">
          <cell r="AB1415">
            <v>0</v>
          </cell>
        </row>
        <row r="1422">
          <cell r="H1422">
            <v>-78653432.161962554</v>
          </cell>
          <cell r="AB1422">
            <v>472717.883561811</v>
          </cell>
        </row>
        <row r="1440">
          <cell r="AB1440">
            <v>0</v>
          </cell>
        </row>
        <row r="1441">
          <cell r="AB1441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92">
          <cell r="AB1492">
            <v>0</v>
          </cell>
        </row>
        <row r="1497">
          <cell r="AB1497">
            <v>0</v>
          </cell>
        </row>
        <row r="1502">
          <cell r="AB1502">
            <v>0</v>
          </cell>
        </row>
        <row r="1507">
          <cell r="AB1507">
            <v>0</v>
          </cell>
        </row>
        <row r="1512">
          <cell r="AB1512">
            <v>0</v>
          </cell>
        </row>
        <row r="1517">
          <cell r="AB1517">
            <v>0</v>
          </cell>
        </row>
        <row r="1522">
          <cell r="AB1522">
            <v>0</v>
          </cell>
        </row>
        <row r="1535">
          <cell r="AB1535">
            <v>0</v>
          </cell>
        </row>
        <row r="1541">
          <cell r="AB1541">
            <v>0</v>
          </cell>
        </row>
        <row r="1547">
          <cell r="AB1547">
            <v>0</v>
          </cell>
        </row>
        <row r="1553">
          <cell r="AB1553">
            <v>0</v>
          </cell>
        </row>
        <row r="1559">
          <cell r="AB1559">
            <v>0</v>
          </cell>
        </row>
        <row r="1565">
          <cell r="AB1565">
            <v>0</v>
          </cell>
        </row>
        <row r="1571">
          <cell r="AB1571">
            <v>0</v>
          </cell>
        </row>
        <row r="1578">
          <cell r="AB1578">
            <v>0</v>
          </cell>
        </row>
        <row r="1600">
          <cell r="AB1600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33">
          <cell r="AB1633">
            <v>0</v>
          </cell>
        </row>
        <row r="1638">
          <cell r="AB1638">
            <v>0</v>
          </cell>
        </row>
        <row r="1645">
          <cell r="AB1645">
            <v>0</v>
          </cell>
        </row>
        <row r="1660">
          <cell r="H1660">
            <v>46670213.579049021</v>
          </cell>
          <cell r="AB1660">
            <v>0</v>
          </cell>
        </row>
        <row r="1667">
          <cell r="H1667">
            <v>37071655.374845229</v>
          </cell>
          <cell r="AB1667">
            <v>0</v>
          </cell>
        </row>
        <row r="1673">
          <cell r="H1673">
            <v>561285590.76876986</v>
          </cell>
          <cell r="AB1673">
            <v>0</v>
          </cell>
        </row>
        <row r="1679">
          <cell r="H1679">
            <v>227151660.05616897</v>
          </cell>
          <cell r="AB1679">
            <v>0</v>
          </cell>
        </row>
        <row r="1685">
          <cell r="H1685">
            <v>751041020.61732423</v>
          </cell>
          <cell r="AB1685">
            <v>0</v>
          </cell>
        </row>
        <row r="1691">
          <cell r="H1691">
            <v>325115627.01884234</v>
          </cell>
          <cell r="AB1691">
            <v>0</v>
          </cell>
        </row>
        <row r="1697">
          <cell r="H1697">
            <v>1403362.2646082304</v>
          </cell>
          <cell r="AB1697">
            <v>0</v>
          </cell>
        </row>
        <row r="1703">
          <cell r="H1703">
            <v>3259173.98567193</v>
          </cell>
          <cell r="AB1703">
            <v>0</v>
          </cell>
        </row>
        <row r="1709">
          <cell r="H1709">
            <v>4980029.5959774898</v>
          </cell>
          <cell r="AB1709">
            <v>0</v>
          </cell>
        </row>
        <row r="1713">
          <cell r="AB1713">
            <v>0</v>
          </cell>
        </row>
        <row r="1717">
          <cell r="H1717">
            <v>0</v>
          </cell>
        </row>
        <row r="1729">
          <cell r="H1729">
            <v>32196842.689616952</v>
          </cell>
          <cell r="AB1729">
            <v>0</v>
          </cell>
        </row>
        <row r="1735">
          <cell r="H1735">
            <v>36516908.346329331</v>
          </cell>
          <cell r="AB1735">
            <v>0</v>
          </cell>
        </row>
        <row r="1741">
          <cell r="H1741">
            <v>415747890.56570876</v>
          </cell>
          <cell r="AB1741">
            <v>0</v>
          </cell>
        </row>
        <row r="1748">
          <cell r="H1748">
            <v>318413723.69013411</v>
          </cell>
        </row>
        <row r="1755">
          <cell r="H1755">
            <v>216610706.02967823</v>
          </cell>
        </row>
        <row r="1762">
          <cell r="H1762">
            <v>165085242.94686636</v>
          </cell>
        </row>
        <row r="1769">
          <cell r="H1769">
            <v>464330231.88776994</v>
          </cell>
        </row>
        <row r="1775">
          <cell r="H1775">
            <v>422443903.56040674</v>
          </cell>
          <cell r="AB1775">
            <v>0</v>
          </cell>
        </row>
        <row r="1782">
          <cell r="H1782">
            <v>222755706.53285047</v>
          </cell>
          <cell r="AB1782">
            <v>0</v>
          </cell>
        </row>
        <row r="1793">
          <cell r="H1793">
            <v>85840275.471519634</v>
          </cell>
          <cell r="AB1793">
            <v>85840275.471519634</v>
          </cell>
        </row>
        <row r="1800">
          <cell r="H1800">
            <v>4762733.7057517059</v>
          </cell>
        </row>
        <row r="1804">
          <cell r="H1804">
            <v>0</v>
          </cell>
          <cell r="AB1804">
            <v>0</v>
          </cell>
        </row>
        <row r="1805">
          <cell r="H1805">
            <v>0</v>
          </cell>
          <cell r="AB1805">
            <v>0</v>
          </cell>
        </row>
        <row r="1806">
          <cell r="H1806">
            <v>0</v>
          </cell>
          <cell r="AB1806">
            <v>0</v>
          </cell>
        </row>
        <row r="1807">
          <cell r="H1807">
            <v>0</v>
          </cell>
        </row>
        <row r="1813">
          <cell r="H1813">
            <v>27087633.197658978</v>
          </cell>
          <cell r="AB1813">
            <v>0</v>
          </cell>
        </row>
        <row r="1817">
          <cell r="AB1817">
            <v>0</v>
          </cell>
        </row>
        <row r="1821">
          <cell r="AB1821">
            <v>0</v>
          </cell>
        </row>
        <row r="1830">
          <cell r="AB1830">
            <v>110007.65473874166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23937.92290738723</v>
          </cell>
        </row>
        <row r="1838">
          <cell r="AB1838">
            <v>1005495.4006594135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436761.44252446422</v>
          </cell>
        </row>
        <row r="1848">
          <cell r="AB1848">
            <v>78712.935968676902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237752.99784401749</v>
          </cell>
        </row>
        <row r="1855">
          <cell r="AB1855">
            <v>0</v>
          </cell>
        </row>
        <row r="1856">
          <cell r="AB1856">
            <v>0</v>
          </cell>
        </row>
        <row r="1860">
          <cell r="AB1860">
            <v>869911.56289544143</v>
          </cell>
        </row>
        <row r="1861">
          <cell r="AB1861">
            <v>34362.239105945606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72">
          <cell r="AB1872">
            <v>99960.228083131791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1551.8929269263908</v>
          </cell>
        </row>
        <row r="1876">
          <cell r="AB1876">
            <v>0</v>
          </cell>
        </row>
        <row r="1877">
          <cell r="AB1877">
            <v>0</v>
          </cell>
        </row>
        <row r="1881">
          <cell r="AB1881">
            <v>329938.54988456774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16949.737560484129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92">
          <cell r="AB1892">
            <v>197730.81918243528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21780.394343186828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3">
          <cell r="AB1903">
            <v>966638.32561087958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6042.8223424323396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7">
          <cell r="AB1917">
            <v>1032259.2429845872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190498.71565412349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9">
          <cell r="AB1929">
            <v>9819.2932679764181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14171.189909231061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43">
          <cell r="AB1943">
            <v>0</v>
          </cell>
        </row>
        <row r="1947">
          <cell r="AB1947">
            <v>0</v>
          </cell>
        </row>
        <row r="1949">
          <cell r="AB1949">
            <v>0</v>
          </cell>
        </row>
        <row r="1954">
          <cell r="AB1954">
            <v>320682.72506926494</v>
          </cell>
        </row>
        <row r="1955">
          <cell r="AB1955">
            <v>0</v>
          </cell>
        </row>
        <row r="1956">
          <cell r="AB1956">
            <v>54662.648752090478</v>
          </cell>
        </row>
        <row r="1964">
          <cell r="AB1964">
            <v>0</v>
          </cell>
        </row>
        <row r="1967">
          <cell r="H1967">
            <v>0</v>
          </cell>
        </row>
        <row r="1976">
          <cell r="AB1976">
            <v>-4063.3676869692395</v>
          </cell>
        </row>
        <row r="1984">
          <cell r="AB1984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5">
          <cell r="AB2005">
            <v>55687.961381608504</v>
          </cell>
        </row>
        <row r="2006">
          <cell r="AB2006">
            <v>0</v>
          </cell>
        </row>
        <row r="2007">
          <cell r="AB2007">
            <v>1644160.3396729536</v>
          </cell>
        </row>
        <row r="2008">
          <cell r="AB2008">
            <v>0</v>
          </cell>
        </row>
        <row r="2009">
          <cell r="AB2009">
            <v>0</v>
          </cell>
        </row>
        <row r="2011">
          <cell r="AB2011">
            <v>0</v>
          </cell>
        </row>
        <row r="2021">
          <cell r="AB2021">
            <v>0</v>
          </cell>
        </row>
        <row r="2033">
          <cell r="AB2033">
            <v>89067.003498634149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45">
          <cell r="AB2045">
            <v>0</v>
          </cell>
        </row>
        <row r="2049">
          <cell r="AB2049">
            <v>0</v>
          </cell>
        </row>
        <row r="2054">
          <cell r="AB2054">
            <v>0</v>
          </cell>
        </row>
        <row r="2061">
          <cell r="AB2061">
            <v>0</v>
          </cell>
        </row>
        <row r="2069">
          <cell r="AB2069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84">
          <cell r="AB2084">
            <v>0</v>
          </cell>
        </row>
        <row r="2088">
          <cell r="AB2088">
            <v>0</v>
          </cell>
        </row>
        <row r="2092">
          <cell r="AB2092">
            <v>0</v>
          </cell>
        </row>
        <row r="2109">
          <cell r="AB2109">
            <v>0</v>
          </cell>
        </row>
        <row r="2110">
          <cell r="AB2110">
            <v>435181.55665316503</v>
          </cell>
        </row>
        <row r="2120">
          <cell r="AB2120">
            <v>0</v>
          </cell>
        </row>
        <row r="2125">
          <cell r="AB2125">
            <v>-667.83539182216964</v>
          </cell>
        </row>
        <row r="2133">
          <cell r="AB2133">
            <v>0</v>
          </cell>
        </row>
        <row r="2135">
          <cell r="AB2135">
            <v>107896.36835050247</v>
          </cell>
        </row>
        <row r="2142">
          <cell r="AB2142">
            <v>0</v>
          </cell>
        </row>
        <row r="2145">
          <cell r="AB2145">
            <v>11432.885191432661</v>
          </cell>
        </row>
        <row r="2153">
          <cell r="AB2153">
            <v>0</v>
          </cell>
        </row>
        <row r="2156">
          <cell r="AB2156">
            <v>195.56105843370804</v>
          </cell>
        </row>
        <row r="2163">
          <cell r="AB2163">
            <v>82968.914264662017</v>
          </cell>
        </row>
        <row r="2174">
          <cell r="AB2174">
            <v>0</v>
          </cell>
        </row>
        <row r="2175">
          <cell r="AB2175">
            <v>127983.25494826888</v>
          </cell>
        </row>
        <row r="2189">
          <cell r="AB2189">
            <v>0</v>
          </cell>
        </row>
        <row r="2194">
          <cell r="AB2194">
            <v>0</v>
          </cell>
        </row>
        <row r="2199">
          <cell r="AB2199">
            <v>0</v>
          </cell>
        </row>
        <row r="2212">
          <cell r="AB2212">
            <v>0</v>
          </cell>
        </row>
        <row r="2216">
          <cell r="H2216">
            <v>0</v>
          </cell>
          <cell r="AB2216">
            <v>0</v>
          </cell>
        </row>
        <row r="2219">
          <cell r="H2219">
            <v>-3405682.2975901593</v>
          </cell>
        </row>
        <row r="2220">
          <cell r="H2220">
            <v>-3405682.2975901593</v>
          </cell>
          <cell r="AB2220">
            <v>-33910.733381820428</v>
          </cell>
        </row>
        <row r="2224">
          <cell r="H2224">
            <v>-9561269.1045228988</v>
          </cell>
          <cell r="AB2224">
            <v>-95202.552400362169</v>
          </cell>
        </row>
        <row r="2228">
          <cell r="H2228">
            <v>-649261.67011951737</v>
          </cell>
          <cell r="AB2228">
            <v>0</v>
          </cell>
        </row>
        <row r="2232">
          <cell r="AB2232">
            <v>-223.53114269284001</v>
          </cell>
        </row>
        <row r="2233">
          <cell r="H2233">
            <v>-22449.412905862595</v>
          </cell>
          <cell r="AB2233">
            <v>-223.53114269284001</v>
          </cell>
        </row>
        <row r="2237">
          <cell r="H2237">
            <v>-2291352.7786638215</v>
          </cell>
          <cell r="AB2237">
            <v>0</v>
          </cell>
        </row>
        <row r="2245">
          <cell r="AB2245">
            <v>-122766.44207350811</v>
          </cell>
        </row>
        <row r="2249">
          <cell r="H2249">
            <v>-2028144.5304859313</v>
          </cell>
          <cell r="AB2249">
            <v>0</v>
          </cell>
        </row>
        <row r="2256">
          <cell r="H2256">
            <v>-6190841.3351955898</v>
          </cell>
          <cell r="AB2256">
            <v>-5739.0863440579751</v>
          </cell>
        </row>
        <row r="2260">
          <cell r="AB2260">
            <v>0</v>
          </cell>
        </row>
        <row r="2261">
          <cell r="AB2261">
            <v>544691.37226351083</v>
          </cell>
        </row>
        <row r="2263">
          <cell r="AB2263">
            <v>0</v>
          </cell>
        </row>
        <row r="2270">
          <cell r="AB2270">
            <v>0</v>
          </cell>
        </row>
        <row r="2271">
          <cell r="AB2271">
            <v>557082.42554382095</v>
          </cell>
        </row>
        <row r="2277">
          <cell r="AB2277">
            <v>0</v>
          </cell>
        </row>
        <row r="2283">
          <cell r="AB2283">
            <v>59060.212995754206</v>
          </cell>
        </row>
        <row r="2295">
          <cell r="AB2295">
            <v>-14270946.764424136</v>
          </cell>
        </row>
        <row r="2301">
          <cell r="AB2301">
            <v>-61826.907768099067</v>
          </cell>
        </row>
        <row r="2307">
          <cell r="AB2307">
            <v>0</v>
          </cell>
        </row>
        <row r="2308">
          <cell r="AB2308">
            <v>-128091.25975252716</v>
          </cell>
        </row>
        <row r="2321">
          <cell r="AB2321">
            <v>-1207.3958785378845</v>
          </cell>
        </row>
        <row r="2335">
          <cell r="AB2335">
            <v>0</v>
          </cell>
        </row>
        <row r="2336">
          <cell r="AB2336">
            <v>0</v>
          </cell>
        </row>
        <row r="2342">
          <cell r="AB2342">
            <v>0</v>
          </cell>
        </row>
        <row r="2349">
          <cell r="AB2349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62">
          <cell r="AB2362">
            <v>0</v>
          </cell>
        </row>
        <row r="2380">
          <cell r="AB2380">
            <v>0</v>
          </cell>
        </row>
        <row r="2389">
          <cell r="AB2389">
            <v>0</v>
          </cell>
        </row>
        <row r="2393">
          <cell r="AB2393">
            <v>0</v>
          </cell>
        </row>
        <row r="2397">
          <cell r="AB2397">
            <v>0</v>
          </cell>
        </row>
        <row r="2401">
          <cell r="AB2401">
            <v>0</v>
          </cell>
        </row>
        <row r="2405">
          <cell r="AB2405">
            <v>0</v>
          </cell>
        </row>
        <row r="2409">
          <cell r="AB2409">
            <v>0</v>
          </cell>
        </row>
        <row r="2413">
          <cell r="AB2413">
            <v>0</v>
          </cell>
        </row>
        <row r="2417">
          <cell r="AB2417">
            <v>0</v>
          </cell>
        </row>
        <row r="2421">
          <cell r="AB2421">
            <v>0</v>
          </cell>
        </row>
        <row r="2425">
          <cell r="AB2425">
            <v>-31273826.180826589</v>
          </cell>
        </row>
        <row r="2429">
          <cell r="AB2429">
            <v>0</v>
          </cell>
        </row>
        <row r="2433">
          <cell r="AB2433">
            <v>0</v>
          </cell>
        </row>
        <row r="2437">
          <cell r="AB2437">
            <v>0</v>
          </cell>
        </row>
        <row r="2440">
          <cell r="H2440">
            <v>0</v>
          </cell>
        </row>
        <row r="2441">
          <cell r="AB2441">
            <v>0</v>
          </cell>
        </row>
        <row r="2444">
          <cell r="H2444">
            <v>0</v>
          </cell>
        </row>
        <row r="2445">
          <cell r="AB2445">
            <v>0</v>
          </cell>
        </row>
        <row r="2448">
          <cell r="H2448">
            <v>138624</v>
          </cell>
        </row>
        <row r="2449">
          <cell r="AB2449">
            <v>5078.5855636399874</v>
          </cell>
        </row>
        <row r="2459">
          <cell r="AB2459">
            <v>-1483017.6011861232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-271180.17836761073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80">
          <cell r="AB2480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514">
          <cell r="AB2514">
            <v>0</v>
          </cell>
        </row>
        <row r="2519">
          <cell r="AB2519">
            <v>0</v>
          </cell>
        </row>
        <row r="2521">
          <cell r="AB2521">
            <v>-51777.708865938483</v>
          </cell>
        </row>
        <row r="2522">
          <cell r="AB2522">
            <v>0</v>
          </cell>
        </row>
        <row r="2523">
          <cell r="AB2523">
            <v>-52121.371276847553</v>
          </cell>
        </row>
        <row r="2529">
          <cell r="AB2529">
            <v>0</v>
          </cell>
        </row>
        <row r="2533">
          <cell r="AB2533">
            <v>-771.95975605543174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-1182821.0007189873</v>
          </cell>
        </row>
        <row r="2554">
          <cell r="AB2554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0.74155389074644962</v>
          </cell>
          <cell r="C11">
            <v>0.13067317353392571</v>
          </cell>
          <cell r="D11">
            <v>0.12777293571962478</v>
          </cell>
          <cell r="E11">
            <v>0.12502862731532027</v>
          </cell>
          <cell r="F11">
            <v>2.7443084043045018E-3</v>
          </cell>
          <cell r="G11">
            <v>0</v>
          </cell>
          <cell r="H11">
            <v>0.99999999999999989</v>
          </cell>
        </row>
        <row r="12">
          <cell r="A12" t="str">
            <v>BOOKDEPR</v>
          </cell>
          <cell r="B12">
            <v>0.51974496753337573</v>
          </cell>
          <cell r="C12">
            <v>0.15093978352398185</v>
          </cell>
          <cell r="D12">
            <v>0.32931524894264247</v>
          </cell>
          <cell r="E12">
            <v>0.32557157689672078</v>
          </cell>
          <cell r="F12">
            <v>3.7436720459216623E-3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0.7584657535476006</v>
          </cell>
          <cell r="C15">
            <v>8.5546029106398552E-2</v>
          </cell>
          <cell r="D15">
            <v>0.15598821734601578</v>
          </cell>
          <cell r="E15">
            <v>0.1160244572836885</v>
          </cell>
          <cell r="F15">
            <v>3.4431842676628258E-2</v>
          </cell>
          <cell r="G15">
            <v>5.5319173856990386E-3</v>
          </cell>
          <cell r="H15">
            <v>1.0000000000000151</v>
          </cell>
        </row>
        <row r="16">
          <cell r="A16" t="str">
            <v>DDS2</v>
          </cell>
          <cell r="B16">
            <v>0.89444384203010596</v>
          </cell>
          <cell r="C16">
            <v>6.6990964246720951E-3</v>
          </cell>
          <cell r="D16">
            <v>9.8857061545221753E-2</v>
          </cell>
          <cell r="E16">
            <v>-1.7192047072908941E-2</v>
          </cell>
          <cell r="F16">
            <v>0.14454293012717781</v>
          </cell>
          <cell r="G16">
            <v>-2.8493821509047106E-2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0.22328197830043112</v>
          </cell>
          <cell r="C18">
            <v>1.6019258296405981E-2</v>
          </cell>
          <cell r="D18">
            <v>0.76069876340316289</v>
          </cell>
          <cell r="E18">
            <v>9.611554977843588E-2</v>
          </cell>
          <cell r="F18">
            <v>0</v>
          </cell>
          <cell r="G18">
            <v>0.66458321362472705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0.66574950014012413</v>
          </cell>
          <cell r="C20">
            <v>0.33425049985987582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0.90746873930668404</v>
          </cell>
          <cell r="C21">
            <v>2.403308927825348E-2</v>
          </cell>
          <cell r="D21">
            <v>6.8498171415062578E-2</v>
          </cell>
          <cell r="E21">
            <v>5.0813437740093295E-2</v>
          </cell>
          <cell r="F21">
            <v>1.7684733674969283E-2</v>
          </cell>
          <cell r="G21">
            <v>0</v>
          </cell>
          <cell r="H21">
            <v>1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0.53982674964608257</v>
          </cell>
          <cell r="C25">
            <v>0.46017325035391743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1.1700869514458072</v>
          </cell>
          <cell r="C26">
            <v>3.5747954668684328E-3</v>
          </cell>
          <cell r="D26">
            <v>-0.17366174691290373</v>
          </cell>
          <cell r="E26">
            <v>-0.18703634452376894</v>
          </cell>
          <cell r="F26">
            <v>1.344225489363475E-2</v>
          </cell>
          <cell r="G26">
            <v>-6.7657282769547652E-5</v>
          </cell>
          <cell r="H26">
            <v>0.99999999999977174</v>
          </cell>
        </row>
        <row r="27">
          <cell r="A27" t="str">
            <v>G</v>
          </cell>
          <cell r="B27">
            <v>0.2323600953390676</v>
          </cell>
          <cell r="C27">
            <v>0.29281154918881841</v>
          </cell>
          <cell r="D27">
            <v>0.47482835547211394</v>
          </cell>
          <cell r="E27">
            <v>0.44796038040972297</v>
          </cell>
          <cell r="F27">
            <v>2.6867975062390959E-2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0.6855986064245424</v>
          </cell>
          <cell r="C28">
            <v>0.31440139357545754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0.6855986064245424</v>
          </cell>
          <cell r="C29">
            <v>0.31440139357545754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0.50504679293010346</v>
          </cell>
          <cell r="C30">
            <v>0.21499921941610298</v>
          </cell>
          <cell r="D30">
            <v>0.27995398765379342</v>
          </cell>
          <cell r="E30">
            <v>0.2734309686869702</v>
          </cell>
          <cell r="F30">
            <v>6.5230189668232076E-3</v>
          </cell>
          <cell r="G30">
            <v>0</v>
          </cell>
          <cell r="H30">
            <v>0.99999999999999989</v>
          </cell>
        </row>
        <row r="31">
          <cell r="A31" t="str">
            <v>G-SG</v>
          </cell>
          <cell r="B31">
            <v>0.4911770740450373</v>
          </cell>
          <cell r="C31">
            <v>0.50882292595496259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G-SITUS</v>
          </cell>
          <cell r="B32">
            <v>0</v>
          </cell>
          <cell r="C32">
            <v>0.2527647986427079</v>
          </cell>
          <cell r="D32">
            <v>0.74723520135729204</v>
          </cell>
          <cell r="E32">
            <v>0.74723520135729204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0.52032571068857525</v>
          </cell>
          <cell r="C33">
            <v>0.13232004862763808</v>
          </cell>
          <cell r="D33">
            <v>0.34735424068378651</v>
          </cell>
          <cell r="E33">
            <v>0.16634551665847275</v>
          </cell>
          <cell r="F33">
            <v>0.18100872402531373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1.2749724155978952</v>
          </cell>
          <cell r="C34">
            <v>5.7792213714078534E-3</v>
          </cell>
          <cell r="D34">
            <v>-0.28075163696967192</v>
          </cell>
          <cell r="E34">
            <v>-0.30237378600255177</v>
          </cell>
          <cell r="F34">
            <v>2.1731527714300109E-2</v>
          </cell>
          <cell r="G34">
            <v>-1.0937868142024943E-4</v>
          </cell>
          <cell r="H34">
            <v>0.99999999999963118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0.91139563576235938</v>
          </cell>
          <cell r="C37">
            <v>8.8604364237640482E-2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I-SITUS</v>
          </cell>
          <cell r="B38">
            <v>9.2126512447585948E-2</v>
          </cell>
          <cell r="C38">
            <v>0.40142398375215244</v>
          </cell>
          <cell r="D38">
            <v>0.50644950380026155</v>
          </cell>
          <cell r="E38">
            <v>0.50644950380026155</v>
          </cell>
          <cell r="F38">
            <v>0</v>
          </cell>
          <cell r="G38">
            <v>0</v>
          </cell>
          <cell r="H38">
            <v>0.99999999999999989</v>
          </cell>
        </row>
        <row r="39">
          <cell r="A39" t="str">
            <v>LABOR</v>
          </cell>
          <cell r="B39">
            <v>0.42911800628192154</v>
          </cell>
          <cell r="C39">
            <v>6.1091947728051668E-2</v>
          </cell>
          <cell r="D39">
            <v>0.50979004599002686</v>
          </cell>
          <cell r="E39">
            <v>0.3631518312497185</v>
          </cell>
          <cell r="F39">
            <v>0.1466382147403083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0.83771466952498774</v>
          </cell>
          <cell r="C40">
            <v>8.0180119814196888E-3</v>
          </cell>
          <cell r="D40">
            <v>0.1542673184935926</v>
          </cell>
          <cell r="E40">
            <v>0.1542673184935926</v>
          </cell>
          <cell r="F40">
            <v>0</v>
          </cell>
          <cell r="G40">
            <v>0</v>
          </cell>
          <cell r="H40">
            <v>1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0.68340686553123631</v>
          </cell>
          <cell r="C43">
            <v>0.31659313446876369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0.68340686553123631</v>
          </cell>
          <cell r="C44">
            <v>0.31659313446876369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0.68340686553123631</v>
          </cell>
          <cell r="C46">
            <v>0.31659313446876369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0.68340686553123631</v>
          </cell>
          <cell r="C47">
            <v>0.31659313446876369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0.69456671189270403</v>
          </cell>
          <cell r="C51">
            <v>0.30543328810729597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0.50579249900415113</v>
          </cell>
          <cell r="C52">
            <v>0.22242048665112085</v>
          </cell>
          <cell r="D52">
            <v>0.27178701434472802</v>
          </cell>
          <cell r="E52">
            <v>0.27178701434472802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0.68463075991965539</v>
          </cell>
          <cell r="C53">
            <v>0.12835032898844131</v>
          </cell>
          <cell r="D53">
            <v>0.18701891109192986</v>
          </cell>
          <cell r="E53">
            <v>0.15933465063824018</v>
          </cell>
          <cell r="F53">
            <v>2.3871265700870642E-2</v>
          </cell>
          <cell r="G53">
            <v>3.8129947528190481E-3</v>
          </cell>
          <cell r="H53">
            <v>1.0000000000000269</v>
          </cell>
        </row>
        <row r="54">
          <cell r="A54" t="str">
            <v>SCHMA</v>
          </cell>
          <cell r="B54">
            <v>0.50857871375018493</v>
          </cell>
          <cell r="C54">
            <v>0.16619636578252911</v>
          </cell>
          <cell r="D54">
            <v>0.32522492046728546</v>
          </cell>
          <cell r="E54">
            <v>0.31173645557641066</v>
          </cell>
          <cell r="F54">
            <v>1.1915414392442548E-2</v>
          </cell>
          <cell r="G54">
            <v>1.5730504984322585E-3</v>
          </cell>
          <cell r="H54">
            <v>0.99999999999999933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0.43898528203951998</v>
          </cell>
          <cell r="C56">
            <v>7.5001281348963889E-2</v>
          </cell>
          <cell r="D56">
            <v>0.48601343661151614</v>
          </cell>
          <cell r="E56">
            <v>0.35337945735409804</v>
          </cell>
          <cell r="F56">
            <v>0.1326339792574181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0.43604112976585901</v>
          </cell>
          <cell r="C57">
            <v>7.5756810224820489E-2</v>
          </cell>
          <cell r="D57">
            <v>0.48820206000932043</v>
          </cell>
          <cell r="E57">
            <v>0.35514942055276266</v>
          </cell>
          <cell r="F57">
            <v>0.13305263945655776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0.50960696576565756</v>
          </cell>
          <cell r="C58">
            <v>0.16754378502979178</v>
          </cell>
          <cell r="D58">
            <v>0.32284924920455016</v>
          </cell>
          <cell r="E58">
            <v>0.3111211748026983</v>
          </cell>
          <cell r="F58">
            <v>1.013178187747418E-2</v>
          </cell>
          <cell r="G58">
            <v>1.5962925243777227E-3</v>
          </cell>
          <cell r="H58">
            <v>0.99999999999999944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0.99857856914329268</v>
          </cell>
          <cell r="C60">
            <v>1.5211196105773643E-4</v>
          </cell>
          <cell r="D60">
            <v>1.2693188956496488E-3</v>
          </cell>
          <cell r="E60">
            <v>9.0420651603711013E-4</v>
          </cell>
          <cell r="F60">
            <v>3.6511237961253857E-4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0.81467201499388697</v>
          </cell>
          <cell r="C61">
            <v>1.549821589872505E-2</v>
          </cell>
          <cell r="D61">
            <v>0.1698297691073882</v>
          </cell>
          <cell r="E61">
            <v>0.11680157298516253</v>
          </cell>
          <cell r="F61">
            <v>2.3562641275558377E-2</v>
          </cell>
          <cell r="G61">
            <v>2.9465554846667304E-2</v>
          </cell>
          <cell r="H61">
            <v>1.0000000000000002</v>
          </cell>
        </row>
        <row r="62">
          <cell r="A62" t="str">
            <v>SCHMAT-SNP</v>
          </cell>
          <cell r="B62">
            <v>0.50387714340694745</v>
          </cell>
          <cell r="C62">
            <v>0.2192586299303253</v>
          </cell>
          <cell r="D62">
            <v>0.27686422666272725</v>
          </cell>
          <cell r="E62">
            <v>0.2766840379229753</v>
          </cell>
          <cell r="F62">
            <v>1.8018873975193917E-4</v>
          </cell>
          <cell r="G62">
            <v>0</v>
          </cell>
          <cell r="H62">
            <v>1</v>
          </cell>
        </row>
        <row r="63">
          <cell r="A63" t="str">
            <v>SCHMAT-SO</v>
          </cell>
          <cell r="B63">
            <v>0.42657506292493658</v>
          </cell>
          <cell r="C63">
            <v>6.1858231036687493E-2</v>
          </cell>
          <cell r="D63">
            <v>0.51156670603837584</v>
          </cell>
          <cell r="E63">
            <v>0.36781649030604324</v>
          </cell>
          <cell r="F63">
            <v>0.1437502157323326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0.61431004843945891</v>
          </cell>
          <cell r="C64">
            <v>0.15347066352476915</v>
          </cell>
          <cell r="D64">
            <v>0.23221928803577191</v>
          </cell>
          <cell r="E64">
            <v>0.21668183455320297</v>
          </cell>
          <cell r="F64">
            <v>6.2145099709114268E-3</v>
          </cell>
          <cell r="G64">
            <v>9.3229435116575238E-3</v>
          </cell>
          <cell r="H64">
            <v>1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0.45005320926638814</v>
          </cell>
          <cell r="C66">
            <v>6.1516549742485764E-2</v>
          </cell>
          <cell r="D66">
            <v>0.48843024099112625</v>
          </cell>
          <cell r="E66">
            <v>0.34921196895538881</v>
          </cell>
          <cell r="F66">
            <v>0.13921827203573744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0.42911800628192154</v>
          </cell>
          <cell r="C67">
            <v>6.1091947728051668E-2</v>
          </cell>
          <cell r="D67">
            <v>0.50979004599002686</v>
          </cell>
          <cell r="E67">
            <v>0.3631518312497185</v>
          </cell>
          <cell r="F67">
            <v>0.1466382147403083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0.61640317184370019</v>
          </cell>
          <cell r="C68">
            <v>0.15464243395845667</v>
          </cell>
          <cell r="D68">
            <v>0.22895439419784305</v>
          </cell>
          <cell r="E68">
            <v>0.21499300425864104</v>
          </cell>
          <cell r="F68">
            <v>4.5196442433620022E-3</v>
          </cell>
          <cell r="G68">
            <v>9.4417456958399999E-3</v>
          </cell>
          <cell r="H68">
            <v>0.99999999999999989</v>
          </cell>
        </row>
        <row r="69">
          <cell r="A69" t="str">
            <v>SCHMDT-GPS</v>
          </cell>
          <cell r="B69">
            <v>0.50390599523411239</v>
          </cell>
          <cell r="C69">
            <v>0.21915356275118467</v>
          </cell>
          <cell r="D69">
            <v>0.2769404420147028</v>
          </cell>
          <cell r="E69">
            <v>0.27660379423502013</v>
          </cell>
          <cell r="F69">
            <v>3.3664777968268558E-4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0.98979364666529157</v>
          </cell>
          <cell r="C70">
            <v>9.1616572373758049E-3</v>
          </cell>
          <cell r="D70">
            <v>1.0446960973326423E-3</v>
          </cell>
          <cell r="E70">
            <v>1.0203543384794185E-3</v>
          </cell>
          <cell r="F70">
            <v>2.4341758853223721E-5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0.85297625672056399</v>
          </cell>
          <cell r="C71">
            <v>1.2345606339431232E-2</v>
          </cell>
          <cell r="D71">
            <v>0.1346781369400048</v>
          </cell>
          <cell r="E71">
            <v>0.10859621428345666</v>
          </cell>
          <cell r="F71">
            <v>2.1494621633170063E-2</v>
          </cell>
          <cell r="G71">
            <v>4.5873010233780567E-3</v>
          </cell>
          <cell r="H71">
            <v>1</v>
          </cell>
        </row>
        <row r="72">
          <cell r="A72" t="str">
            <v>SCHMDT-SNP</v>
          </cell>
          <cell r="B72">
            <v>0.50384391570480436</v>
          </cell>
          <cell r="C72">
            <v>0.2193796323511954</v>
          </cell>
          <cell r="D72">
            <v>0.27677645194400013</v>
          </cell>
          <cell r="E72">
            <v>0.27677645194400013</v>
          </cell>
          <cell r="F72">
            <v>0</v>
          </cell>
          <cell r="G72">
            <v>0</v>
          </cell>
          <cell r="H72">
            <v>0.99999999999999978</v>
          </cell>
        </row>
        <row r="73">
          <cell r="A73" t="str">
            <v>SCHMDT-SO</v>
          </cell>
          <cell r="B73">
            <v>0.34567702938622691</v>
          </cell>
          <cell r="C73">
            <v>9.1920768701336378E-2</v>
          </cell>
          <cell r="D73">
            <v>0.56240220191243662</v>
          </cell>
          <cell r="E73">
            <v>0.13826338947674435</v>
          </cell>
          <cell r="F73">
            <v>1.2823156057375853E-2</v>
          </cell>
          <cell r="G73">
            <v>0.41131565637831641</v>
          </cell>
          <cell r="H73">
            <v>1</v>
          </cell>
        </row>
        <row r="74">
          <cell r="A74" t="str">
            <v>SIT</v>
          </cell>
          <cell r="B74">
            <v>1.2613421931550963</v>
          </cell>
          <cell r="C74">
            <v>5.492748734990208E-3</v>
          </cell>
          <cell r="D74">
            <v>-0.2668349418904386</v>
          </cell>
          <cell r="E74">
            <v>-0.28738529359278026</v>
          </cell>
          <cell r="F74">
            <v>2.06543085462477E-2</v>
          </cell>
          <cell r="G74">
            <v>-1.0395684390605305E-4</v>
          </cell>
          <cell r="H74">
            <v>0.99999999999964806</v>
          </cell>
        </row>
        <row r="75">
          <cell r="A75" t="str">
            <v>T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</row>
        <row r="76">
          <cell r="A76" t="str">
            <v>TAXDEPR</v>
          </cell>
          <cell r="B76">
            <v>0.57257399437245315</v>
          </cell>
          <cell r="C76">
            <v>0.17545459019840789</v>
          </cell>
          <cell r="D76">
            <v>0.25197141542913898</v>
          </cell>
          <cell r="E76">
            <v>0.24741913806752291</v>
          </cell>
          <cell r="F76">
            <v>4.5522773616160596E-3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0.44215850474318114</v>
          </cell>
          <cell r="D77">
            <v>0.55784149525681881</v>
          </cell>
          <cell r="E77">
            <v>0.55784149525681881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0.17743663767138473</v>
          </cell>
          <cell r="C19">
            <v>0.51056356090620303</v>
          </cell>
          <cell r="D19">
            <v>0.18029442254184178</v>
          </cell>
          <cell r="E19">
            <v>3.663568764167812E-2</v>
          </cell>
          <cell r="F19">
            <v>9.5069691238892265E-2</v>
          </cell>
          <cell r="G19">
            <v>1</v>
          </cell>
        </row>
        <row r="20">
          <cell r="A20" t="str">
            <v>PLNT2</v>
          </cell>
          <cell r="B20">
            <v>0.25790201520032657</v>
          </cell>
          <cell r="C20">
            <v>0.74209798479967337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9.9050729100716148E-2</v>
          </cell>
          <cell r="C21">
            <v>0.82361814135809763</v>
          </cell>
          <cell r="D21">
            <v>7.3221224417730577E-3</v>
          </cell>
          <cell r="E21">
            <v>7.0009007099413184E-2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0.17743663767138471</v>
          </cell>
          <cell r="C22">
            <v>0.51056356090620292</v>
          </cell>
          <cell r="D22">
            <v>0.18029442254184175</v>
          </cell>
          <cell r="E22">
            <v>3.663568764167812E-2</v>
          </cell>
          <cell r="F22">
            <v>9.5069691238892279E-2</v>
          </cell>
          <cell r="G22">
            <v>0.99999999999999978</v>
          </cell>
        </row>
        <row r="23">
          <cell r="A23" t="str">
            <v>GENL</v>
          </cell>
          <cell r="B23">
            <v>0.17743663767138471</v>
          </cell>
          <cell r="C23">
            <v>0.51056356090620303</v>
          </cell>
          <cell r="D23">
            <v>0.18029442254184178</v>
          </cell>
          <cell r="E23">
            <v>3.663568764167812E-2</v>
          </cell>
          <cell r="F23">
            <v>9.5069691238892265E-2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0.20746859569083956</v>
          </cell>
          <cell r="C25">
            <v>0.46919738508124692</v>
          </cell>
          <cell r="D25">
            <v>0.19387409178224363</v>
          </cell>
          <cell r="E25">
            <v>3.2133523409771818E-2</v>
          </cell>
          <cell r="F25">
            <v>9.7326404035897901E-2</v>
          </cell>
          <cell r="G25">
            <v>0.99999999999999989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0.3461484003476229</v>
          </cell>
          <cell r="G15">
            <v>0.27714190730544991</v>
          </cell>
          <cell r="H15">
            <v>8.8893933934608704E-2</v>
          </cell>
          <cell r="I15">
            <v>1.8411158366343089E-3</v>
          </cell>
          <cell r="J15">
            <v>0.16676583628548822</v>
          </cell>
          <cell r="K15">
            <v>7.0860901420777278E-3</v>
          </cell>
          <cell r="L15">
            <v>1.9995583660614691E-4</v>
          </cell>
          <cell r="M15">
            <v>3.6884508456680096E-4</v>
          </cell>
          <cell r="N15">
            <v>6.5486496063917571E-2</v>
          </cell>
          <cell r="O15">
            <v>6.1474885781010022E-4</v>
          </cell>
          <cell r="P15">
            <v>8.3923541517602687E-3</v>
          </cell>
          <cell r="Q15">
            <v>2.0243320875040226E-2</v>
          </cell>
          <cell r="R15">
            <v>1.6816995278417228E-2</v>
          </cell>
          <cell r="S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0.33014415729742819</v>
          </cell>
          <cell r="G16">
            <v>0.27509551193609805</v>
          </cell>
          <cell r="H16">
            <v>9.1217445251843041E-2</v>
          </cell>
          <cell r="I16">
            <v>2.4751773382575433E-3</v>
          </cell>
          <cell r="J16">
            <v>0.17406554349443759</v>
          </cell>
          <cell r="K16">
            <v>7.447028376383032E-3</v>
          </cell>
          <cell r="L16">
            <v>2.1383734116064355E-4</v>
          </cell>
          <cell r="M16">
            <v>4.9215859862509581E-4</v>
          </cell>
          <cell r="N16">
            <v>6.4163857169393046E-2</v>
          </cell>
          <cell r="O16">
            <v>5.8791063841491823E-4</v>
          </cell>
          <cell r="P16">
            <v>9.0089371401904841E-3</v>
          </cell>
          <cell r="Q16">
            <v>2.6044643362540199E-2</v>
          </cell>
          <cell r="R16">
            <v>1.9043792055228253E-2</v>
          </cell>
          <cell r="S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0.36215264339781766</v>
          </cell>
          <cell r="G17">
            <v>0.27918830267480171</v>
          </cell>
          <cell r="H17">
            <v>8.6570422617374354E-2</v>
          </cell>
          <cell r="I17">
            <v>1.2070543350110744E-3</v>
          </cell>
          <cell r="J17">
            <v>0.15946612907653884</v>
          </cell>
          <cell r="K17">
            <v>6.7251519077724245E-3</v>
          </cell>
          <cell r="L17">
            <v>1.8607433205165025E-4</v>
          </cell>
          <cell r="M17">
            <v>2.4553157050850616E-4</v>
          </cell>
          <cell r="N17">
            <v>6.6809134958442096E-2</v>
          </cell>
          <cell r="O17">
            <v>6.415870772052822E-4</v>
          </cell>
          <cell r="P17">
            <v>7.7757711633300534E-3</v>
          </cell>
          <cell r="Q17">
            <v>1.4441998387540251E-2</v>
          </cell>
          <cell r="R17">
            <v>1.4590198501606205E-2</v>
          </cell>
          <cell r="S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D18">
            <v>0</v>
          </cell>
          <cell r="E18">
            <v>0</v>
          </cell>
          <cell r="F18">
            <v>0.35685248193826696</v>
          </cell>
          <cell r="G18">
            <v>0.28098891726056074</v>
          </cell>
          <cell r="H18">
            <v>8.7206283909940618E-2</v>
          </cell>
          <cell r="I18">
            <v>1.2132473460716795E-3</v>
          </cell>
          <cell r="J18">
            <v>0.16104033096385387</v>
          </cell>
          <cell r="K18">
            <v>6.5489686159910278E-3</v>
          </cell>
          <cell r="L18">
            <v>1.8859896668711358E-4</v>
          </cell>
          <cell r="M18">
            <v>2.4676561242571049E-4</v>
          </cell>
          <cell r="N18">
            <v>6.7052440030463054E-2</v>
          </cell>
          <cell r="O18">
            <v>6.337711094853973E-4</v>
          </cell>
          <cell r="P18">
            <v>7.8722180382793695E-3</v>
          </cell>
          <cell r="Q18">
            <v>1.5428205017251857E-2</v>
          </cell>
          <cell r="R18">
            <v>1.4727771190722523E-2</v>
          </cell>
          <cell r="S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>SSGCT</v>
          </cell>
          <cell r="D19">
            <v>0</v>
          </cell>
          <cell r="E19">
            <v>0</v>
          </cell>
          <cell r="F19">
            <v>0.34026820996116136</v>
          </cell>
          <cell r="G19">
            <v>0.27925253883748807</v>
          </cell>
          <cell r="H19">
            <v>8.9634475420693749E-2</v>
          </cell>
          <cell r="I19">
            <v>1.8552394296533451E-3</v>
          </cell>
          <cell r="J19">
            <v>0.1684281746267208</v>
          </cell>
          <cell r="K19">
            <v>6.9877923284921966E-3</v>
          </cell>
          <cell r="L19">
            <v>2.0254968993540476E-4</v>
          </cell>
          <cell r="M19">
            <v>3.7179940410827085E-4</v>
          </cell>
          <cell r="N19">
            <v>6.5838559456222676E-2</v>
          </cell>
          <cell r="O19">
            <v>6.1040227386528669E-4</v>
          </cell>
          <cell r="P19">
            <v>8.4949634528499358E-3</v>
          </cell>
          <cell r="Q19">
            <v>2.1072058720750513E-2</v>
          </cell>
          <cell r="R19">
            <v>1.6983236398058273E-2</v>
          </cell>
          <cell r="S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D20">
            <v>0</v>
          </cell>
          <cell r="E20">
            <v>0</v>
          </cell>
          <cell r="F20">
            <v>0.35007684755743257</v>
          </cell>
          <cell r="G20">
            <v>0.27667587754118128</v>
          </cell>
          <cell r="H20">
            <v>8.9837869142854507E-2</v>
          </cell>
          <cell r="I20">
            <v>2.1169705009157365E-3</v>
          </cell>
          <cell r="J20">
            <v>0.16830351151621933</v>
          </cell>
          <cell r="K20">
            <v>3.8468420821479265E-3</v>
          </cell>
          <cell r="L20">
            <v>1.9940517129058802E-4</v>
          </cell>
          <cell r="M20">
            <v>4.3055638122537984E-4</v>
          </cell>
          <cell r="N20">
            <v>6.5669762940050072E-2</v>
          </cell>
          <cell r="O20">
            <v>6.3849438634543793E-4</v>
          </cell>
          <cell r="P20">
            <v>8.2461106097112061E-3</v>
          </cell>
          <cell r="Q20">
            <v>1.7460906650906046E-2</v>
          </cell>
          <cell r="R20">
            <v>1.6496845519719888E-2</v>
          </cell>
          <cell r="S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D21">
            <v>0</v>
          </cell>
          <cell r="E21">
            <v>0</v>
          </cell>
          <cell r="F21">
            <v>0.33506076766448412</v>
          </cell>
          <cell r="G21">
            <v>0.27578824548960756</v>
          </cell>
          <cell r="H21">
            <v>9.1788282097134605E-2</v>
          </cell>
          <cell r="I21">
            <v>2.5590540142830533E-3</v>
          </cell>
          <cell r="J21">
            <v>0.17446336466919565</v>
          </cell>
          <cell r="K21">
            <v>4.0455924207152168E-3</v>
          </cell>
          <cell r="L21">
            <v>2.1202759055625591E-4</v>
          </cell>
          <cell r="M21">
            <v>5.1152597418173764E-4</v>
          </cell>
          <cell r="N21">
            <v>6.4852692406826479E-2</v>
          </cell>
          <cell r="O21">
            <v>6.1668327314505055E-4</v>
          </cell>
          <cell r="P21">
            <v>8.8040520550055311E-3</v>
          </cell>
          <cell r="Q21">
            <v>2.2826866487845373E-2</v>
          </cell>
          <cell r="R21">
            <v>1.8470845857019358E-2</v>
          </cell>
          <cell r="S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</row>
        <row r="24">
          <cell r="A24" t="str">
            <v>F20</v>
          </cell>
          <cell r="B24" t="str">
            <v>12 Weighted Distribution Peaks</v>
          </cell>
          <cell r="C24">
            <v>0</v>
          </cell>
          <cell r="D24">
            <v>0</v>
          </cell>
          <cell r="E24">
            <v>0</v>
          </cell>
          <cell r="F24">
            <v>0.4707810800032789</v>
          </cell>
          <cell r="G24">
            <v>0.33195406095819258</v>
          </cell>
          <cell r="H24">
            <v>9.6141941246542115E-2</v>
          </cell>
          <cell r="I24">
            <v>7.492994782912029E-4</v>
          </cell>
          <cell r="J24">
            <v>0</v>
          </cell>
          <cell r="K24">
            <v>1.3031919730716126E-2</v>
          </cell>
          <cell r="L24">
            <v>1.7660135383184555E-4</v>
          </cell>
          <cell r="M24">
            <v>1.6273362534603863E-4</v>
          </cell>
          <cell r="N24">
            <v>8.619861671738005E-2</v>
          </cell>
          <cell r="O24">
            <v>8.0374688642115581E-4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</row>
        <row r="25">
          <cell r="A25" t="str">
            <v>F21</v>
          </cell>
          <cell r="B25" t="str">
            <v>Transformers      - NCP</v>
          </cell>
          <cell r="C25">
            <v>0</v>
          </cell>
          <cell r="D25">
            <v>0</v>
          </cell>
          <cell r="E25">
            <v>0</v>
          </cell>
          <cell r="F25">
            <v>0.59055368391181151</v>
          </cell>
          <cell r="G25">
            <v>0.23978681675195562</v>
          </cell>
          <cell r="H25">
            <v>6.3362723263065746E-2</v>
          </cell>
          <cell r="I25">
            <v>3.6483710767670928E-3</v>
          </cell>
          <cell r="J25">
            <v>0</v>
          </cell>
          <cell r="K25">
            <v>2.5710409495489625E-2</v>
          </cell>
          <cell r="L25">
            <v>1.1517789034312014E-4</v>
          </cell>
          <cell r="M25">
            <v>8.5950976985743111E-4</v>
          </cell>
          <cell r="N25">
            <v>7.4564681784161146E-2</v>
          </cell>
          <cell r="O25">
            <v>1.3986260565486363E-3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</row>
        <row r="26">
          <cell r="A26" t="str">
            <v>F22</v>
          </cell>
          <cell r="B26" t="str">
            <v>Secondary Lines - NCP</v>
          </cell>
          <cell r="C26">
            <v>0</v>
          </cell>
          <cell r="D26">
            <v>0</v>
          </cell>
          <cell r="E26">
            <v>0</v>
          </cell>
          <cell r="F26">
            <v>0.88789261336042413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0.11210738663957574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A27" t="str">
            <v>F30</v>
          </cell>
          <cell r="B27" t="str">
            <v>MWH @ Input</v>
          </cell>
          <cell r="C27">
            <v>0</v>
          </cell>
          <cell r="D27">
            <v>0</v>
          </cell>
          <cell r="E27">
            <v>0</v>
          </cell>
          <cell r="F27">
            <v>0.2981356711970386</v>
          </cell>
          <cell r="G27">
            <v>0.27100272119739433</v>
          </cell>
          <cell r="H27">
            <v>9.5864467886311699E-2</v>
          </cell>
          <cell r="I27">
            <v>3.743300341504011E-3</v>
          </cell>
          <cell r="J27">
            <v>0.18866495791233626</v>
          </cell>
          <cell r="K27">
            <v>8.168904844993637E-3</v>
          </cell>
          <cell r="L27">
            <v>2.4160035026963683E-4</v>
          </cell>
          <cell r="M27">
            <v>7.3878562674168518E-4</v>
          </cell>
          <cell r="N27">
            <v>6.1518579380343982E-2</v>
          </cell>
          <cell r="O27">
            <v>5.3423419962455416E-4</v>
          </cell>
          <cell r="P27">
            <v>1.0242103117050911E-2</v>
          </cell>
          <cell r="Q27">
            <v>3.7647288337540143E-2</v>
          </cell>
          <cell r="R27">
            <v>2.3497385608850296E-2</v>
          </cell>
          <cell r="S27">
            <v>1</v>
          </cell>
        </row>
        <row r="28">
          <cell r="A28" t="str">
            <v>F32</v>
          </cell>
          <cell r="B28" t="str">
            <v>Seasonal System Energy Combustion Turbine</v>
          </cell>
          <cell r="C28" t="str">
            <v>SSECT</v>
          </cell>
          <cell r="D28">
            <v>0</v>
          </cell>
          <cell r="E28">
            <v>0</v>
          </cell>
          <cell r="F28">
            <v>0.29051539402984472</v>
          </cell>
          <cell r="G28">
            <v>0.27404340356827012</v>
          </cell>
          <cell r="H28">
            <v>9.6919049952953126E-2</v>
          </cell>
          <cell r="I28">
            <v>3.7812156803983419E-3</v>
          </cell>
          <cell r="J28">
            <v>0.19059170561532157</v>
          </cell>
          <cell r="K28">
            <v>8.3042634659957031E-3</v>
          </cell>
          <cell r="L28">
            <v>2.4440185968027835E-4</v>
          </cell>
          <cell r="M28">
            <v>7.469007791559521E-4</v>
          </cell>
          <cell r="N28">
            <v>6.2196917733501562E-2</v>
          </cell>
          <cell r="O28">
            <v>5.4029576700495498E-4</v>
          </cell>
          <cell r="P28">
            <v>1.0363199696561638E-2</v>
          </cell>
          <cell r="Q28">
            <v>3.800361983124647E-2</v>
          </cell>
          <cell r="R28">
            <v>2.3749632020065511E-2</v>
          </cell>
          <cell r="S28">
            <v>1</v>
          </cell>
        </row>
        <row r="29">
          <cell r="A29" t="str">
            <v>F33</v>
          </cell>
          <cell r="B29" t="str">
            <v>Seasonal System Energy Cholla</v>
          </cell>
          <cell r="C29" t="str">
            <v>SSECH</v>
          </cell>
          <cell r="D29">
            <v>0</v>
          </cell>
          <cell r="E29">
            <v>0</v>
          </cell>
          <cell r="F29">
            <v>0.29001252798563881</v>
          </cell>
          <cell r="G29">
            <v>0.2731253493348863</v>
          </cell>
          <cell r="H29">
            <v>9.7639520959974885E-2</v>
          </cell>
          <cell r="I29">
            <v>3.8853045543850036E-3</v>
          </cell>
          <cell r="J29">
            <v>0.19294292412812464</v>
          </cell>
          <cell r="K29">
            <v>4.6418434364170888E-3</v>
          </cell>
          <cell r="L29">
            <v>2.4989484835325951E-4</v>
          </cell>
          <cell r="M29">
            <v>7.5443475305081106E-4</v>
          </cell>
          <cell r="N29">
            <v>6.2401480807155671E-2</v>
          </cell>
          <cell r="O29">
            <v>5.5124993354388843E-4</v>
          </cell>
          <cell r="P29">
            <v>1.0477876390888503E-2</v>
          </cell>
          <cell r="Q29">
            <v>3.8924745998663357E-2</v>
          </cell>
          <cell r="R29">
            <v>2.4392846868917774E-2</v>
          </cell>
          <cell r="S29">
            <v>1</v>
          </cell>
        </row>
        <row r="30">
          <cell r="A30" t="str">
            <v>F34</v>
          </cell>
          <cell r="B30" t="str">
            <v>Seasonal System Energy Contracts</v>
          </cell>
          <cell r="C30" t="str">
            <v>SSEC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</row>
        <row r="31">
          <cell r="A31" t="str">
            <v>F40</v>
          </cell>
          <cell r="B31" t="str">
            <v>Average Customers</v>
          </cell>
          <cell r="C31">
            <v>0</v>
          </cell>
          <cell r="D31">
            <v>0</v>
          </cell>
          <cell r="E31">
            <v>0</v>
          </cell>
          <cell r="F31">
            <v>0.86644901411377973</v>
          </cell>
          <cell r="G31">
            <v>1.8399491404001402E-2</v>
          </cell>
          <cell r="H31">
            <v>3.550863511828087E-4</v>
          </cell>
          <cell r="I31">
            <v>1.1688961207919509E-2</v>
          </cell>
          <cell r="J31">
            <v>1.9258920742118438E-4</v>
          </cell>
          <cell r="K31">
            <v>3.4485504953855831E-3</v>
          </cell>
          <cell r="L31">
            <v>2.7010636340821111E-3</v>
          </cell>
          <cell r="M31">
            <v>5.6813816189249392E-4</v>
          </cell>
          <cell r="N31">
            <v>9.6180253868685867E-2</v>
          </cell>
          <cell r="O31">
            <v>1.3240508010206427E-5</v>
          </cell>
          <cell r="P31">
            <v>1.2036825463824024E-6</v>
          </cell>
          <cell r="Q31">
            <v>1.2036825463824024E-6</v>
          </cell>
          <cell r="R31">
            <v>1.2036825463824024E-6</v>
          </cell>
          <cell r="S31">
            <v>1</v>
          </cell>
        </row>
        <row r="32">
          <cell r="A32" t="str">
            <v>F41</v>
          </cell>
          <cell r="B32" t="str">
            <v>Weighted Customers Acct 902</v>
          </cell>
          <cell r="C32">
            <v>0</v>
          </cell>
          <cell r="D32">
            <v>0</v>
          </cell>
          <cell r="E32">
            <v>0</v>
          </cell>
          <cell r="F32">
            <v>0.79450159308294821</v>
          </cell>
          <cell r="G32">
            <v>3.4924317228300562E-2</v>
          </cell>
          <cell r="H32">
            <v>1.0673201016540325E-2</v>
          </cell>
          <cell r="I32">
            <v>0</v>
          </cell>
          <cell r="J32">
            <v>7.4365062583677611E-3</v>
          </cell>
          <cell r="K32">
            <v>1.476744052914159E-2</v>
          </cell>
          <cell r="L32">
            <v>2.7492203824199652E-3</v>
          </cell>
          <cell r="M32">
            <v>5.7826738881560768E-4</v>
          </cell>
          <cell r="N32">
            <v>0.13405445997295945</v>
          </cell>
          <cell r="O32">
            <v>8.9843803347057673E-6</v>
          </cell>
          <cell r="P32">
            <v>3.4866901077807761E-5</v>
          </cell>
          <cell r="Q32">
            <v>1.3557142954691761E-4</v>
          </cell>
          <cell r="R32">
            <v>1.3557142954691761E-4</v>
          </cell>
          <cell r="S32">
            <v>1</v>
          </cell>
        </row>
        <row r="33">
          <cell r="A33" t="str">
            <v>F42</v>
          </cell>
          <cell r="B33" t="str">
            <v>Weighted Customers Acct 903</v>
          </cell>
          <cell r="C33">
            <v>0</v>
          </cell>
          <cell r="D33">
            <v>0</v>
          </cell>
          <cell r="E33">
            <v>0</v>
          </cell>
          <cell r="F33">
            <v>0.87121091198399014</v>
          </cell>
          <cell r="G33">
            <v>1.8685618887272257E-2</v>
          </cell>
          <cell r="H33">
            <v>3.6060824098817972E-4</v>
          </cell>
          <cell r="I33">
            <v>1.0806265281044006E-2</v>
          </cell>
          <cell r="J33">
            <v>1.4291196877289566E-3</v>
          </cell>
          <cell r="K33">
            <v>3.5368533735182337E-3</v>
          </cell>
          <cell r="L33">
            <v>2.4986356816757084E-3</v>
          </cell>
          <cell r="M33">
            <v>5.2555973340059469E-4</v>
          </cell>
          <cell r="N33">
            <v>9.0906317860013006E-2</v>
          </cell>
          <cell r="O33">
            <v>1.3313276223762299E-5</v>
          </cell>
          <cell r="P33">
            <v>8.9319980483059787E-6</v>
          </cell>
          <cell r="Q33">
            <v>8.9319980483059787E-6</v>
          </cell>
          <cell r="R33">
            <v>8.9319980483059787E-6</v>
          </cell>
          <cell r="S33">
            <v>1</v>
          </cell>
        </row>
        <row r="34">
          <cell r="A34" t="str">
            <v>F43</v>
          </cell>
          <cell r="B34" t="str">
            <v>Residential Split</v>
          </cell>
          <cell r="C34">
            <v>0</v>
          </cell>
          <cell r="D34">
            <v>0</v>
          </cell>
          <cell r="E34">
            <v>0</v>
          </cell>
          <cell r="F34">
            <v>0.99998471888655327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1.5281113446754698E-5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</row>
        <row r="35">
          <cell r="A35" t="str">
            <v>F44</v>
          </cell>
          <cell r="B35" t="str">
            <v>Commercial Split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0.15333495510637357</v>
          </cell>
          <cell r="H35">
            <v>1.9129550179132204E-3</v>
          </cell>
          <cell r="I35">
            <v>0</v>
          </cell>
          <cell r="J35">
            <v>2.9855367331593611E-4</v>
          </cell>
          <cell r="K35">
            <v>0</v>
          </cell>
          <cell r="L35">
            <v>0</v>
          </cell>
          <cell r="M35">
            <v>0</v>
          </cell>
          <cell r="N35">
            <v>0.84445353620239727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</row>
        <row r="36">
          <cell r="A36" t="str">
            <v>F45</v>
          </cell>
          <cell r="B36" t="str">
            <v>Industrial / Irrigation Split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0.17540597495971241</v>
          </cell>
          <cell r="H36">
            <v>1.5123342010660717E-2</v>
          </cell>
          <cell r="I36">
            <v>0</v>
          </cell>
          <cell r="J36">
            <v>1.5991074748977315E-2</v>
          </cell>
          <cell r="K36">
            <v>0.3551506136110078</v>
          </cell>
          <cell r="L36">
            <v>0</v>
          </cell>
          <cell r="M36">
            <v>0</v>
          </cell>
          <cell r="N36">
            <v>0.43795710921036318</v>
          </cell>
          <cell r="O36">
            <v>0</v>
          </cell>
          <cell r="P36">
            <v>1.2396181975951408E-4</v>
          </cell>
          <cell r="Q36">
            <v>1.2396181975951408E-4</v>
          </cell>
          <cell r="R36">
            <v>1.2396181975951408E-4</v>
          </cell>
          <cell r="S36">
            <v>1</v>
          </cell>
        </row>
        <row r="37">
          <cell r="A37" t="str">
            <v>F46</v>
          </cell>
          <cell r="B37" t="str">
            <v>Lighting / OSPA  Split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0.78144363080389478</v>
          </cell>
          <cell r="J37">
            <v>0</v>
          </cell>
          <cell r="K37">
            <v>0</v>
          </cell>
          <cell r="L37">
            <v>0.18057455540355677</v>
          </cell>
          <cell r="M37">
            <v>3.7981813792548481E-2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</row>
        <row r="38">
          <cell r="A38" t="str">
            <v>F47</v>
          </cell>
          <cell r="B38" t="str">
            <v>Wtd Customers Acct 902 - irrigation</v>
          </cell>
          <cell r="C38">
            <v>0</v>
          </cell>
          <cell r="D38">
            <v>0</v>
          </cell>
          <cell r="E38">
            <v>0</v>
          </cell>
          <cell r="F38">
            <v>0.80012907615042528</v>
          </cell>
          <cell r="G38">
            <v>3.5171687410508537E-2</v>
          </cell>
          <cell r="H38">
            <v>1.0748799679298562E-2</v>
          </cell>
          <cell r="I38">
            <v>0</v>
          </cell>
          <cell r="J38">
            <v>7.4891792969299159E-3</v>
          </cell>
          <cell r="K38">
            <v>7.7890032368576924E-3</v>
          </cell>
          <cell r="L38">
            <v>2.7686932082588629E-3</v>
          </cell>
          <cell r="M38">
            <v>5.82363277316481E-4</v>
          </cell>
          <cell r="N38">
            <v>0.13500397248518778</v>
          </cell>
          <cell r="O38">
            <v>9.0480170204537995E-6</v>
          </cell>
          <cell r="P38">
            <v>3.5113864579377825E-5</v>
          </cell>
          <cell r="Q38">
            <v>1.365316868086413E-4</v>
          </cell>
          <cell r="R38">
            <v>1.365316868086413E-4</v>
          </cell>
          <cell r="S38">
            <v>1</v>
          </cell>
        </row>
        <row r="39">
          <cell r="A39" t="str">
            <v>F48</v>
          </cell>
          <cell r="B39" t="str">
            <v>Wtd Customers Acct 903 - irrigation</v>
          </cell>
          <cell r="C39">
            <v>0</v>
          </cell>
          <cell r="D39">
            <v>0</v>
          </cell>
          <cell r="E39">
            <v>0</v>
          </cell>
          <cell r="F39">
            <v>0.87268092592419133</v>
          </cell>
          <cell r="G39">
            <v>1.8717147556011064E-2</v>
          </cell>
          <cell r="H39">
            <v>3.6121670345566289E-4</v>
          </cell>
          <cell r="I39">
            <v>1.0824498937654747E-2</v>
          </cell>
          <cell r="J39">
            <v>1.4315310738058291E-3</v>
          </cell>
          <cell r="K39">
            <v>1.85549849574065E-3</v>
          </cell>
          <cell r="L39">
            <v>2.5028516863572644E-3</v>
          </cell>
          <cell r="M39">
            <v>5.2644652226409489E-4</v>
          </cell>
          <cell r="N39">
            <v>9.1059706152868819E-2</v>
          </cell>
          <cell r="O39">
            <v>1.3335740016822594E-5</v>
          </cell>
          <cell r="P39">
            <v>8.9470692112864306E-6</v>
          </cell>
          <cell r="Q39">
            <v>8.9470692112864306E-6</v>
          </cell>
          <cell r="R39">
            <v>8.9470692112864306E-6</v>
          </cell>
          <cell r="S39">
            <v>1</v>
          </cell>
        </row>
        <row r="40">
          <cell r="A40" t="str">
            <v>F50</v>
          </cell>
          <cell r="B40" t="str">
            <v>Contribution in Aid of Construction</v>
          </cell>
          <cell r="C40">
            <v>0</v>
          </cell>
          <cell r="D40">
            <v>0</v>
          </cell>
          <cell r="E40">
            <v>0</v>
          </cell>
          <cell r="F40">
            <v>0.15736072656272435</v>
          </cell>
          <cell r="G40">
            <v>2.7706430725220388E-2</v>
          </cell>
          <cell r="H40">
            <v>1.4655706087708829E-2</v>
          </cell>
          <cell r="I40">
            <v>7.2275376376838868E-2</v>
          </cell>
          <cell r="J40">
            <v>0.55846599187674095</v>
          </cell>
          <cell r="K40">
            <v>2.2113049525370673E-3</v>
          </cell>
          <cell r="L40">
            <v>2.7262602191836858E-3</v>
          </cell>
          <cell r="M40">
            <v>6.3707547574648289E-3</v>
          </cell>
          <cell r="N40">
            <v>0.15822744844158118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</row>
        <row r="41">
          <cell r="A41" t="str">
            <v>F51</v>
          </cell>
          <cell r="B41" t="str">
            <v>Security Deposits</v>
          </cell>
          <cell r="C41">
            <v>0</v>
          </cell>
          <cell r="D41">
            <v>0</v>
          </cell>
          <cell r="E41">
            <v>0</v>
          </cell>
          <cell r="F41">
            <v>0.26075906169504837</v>
          </cell>
          <cell r="G41">
            <v>2.9968509951039449E-2</v>
          </cell>
          <cell r="H41">
            <v>8.2251306973778818E-2</v>
          </cell>
          <cell r="I41">
            <v>1.0695391797479142E-3</v>
          </cell>
          <cell r="J41">
            <v>0.28583611654786145</v>
          </cell>
          <cell r="K41">
            <v>7.1929387323423216E-3</v>
          </cell>
          <cell r="L41">
            <v>0</v>
          </cell>
          <cell r="M41">
            <v>4.0838157835987204E-5</v>
          </cell>
          <cell r="N41">
            <v>0.26577596298169065</v>
          </cell>
          <cell r="O41">
            <v>0</v>
          </cell>
          <cell r="P41">
            <v>0</v>
          </cell>
          <cell r="Q41">
            <v>6.7105725780654907E-2</v>
          </cell>
          <cell r="R41">
            <v>0</v>
          </cell>
          <cell r="S41">
            <v>1</v>
          </cell>
        </row>
        <row r="42">
          <cell r="A42" t="str">
            <v>F60</v>
          </cell>
          <cell r="B42" t="str">
            <v>Meters</v>
          </cell>
          <cell r="C42">
            <v>0</v>
          </cell>
          <cell r="D42">
            <v>0</v>
          </cell>
          <cell r="E42">
            <v>0</v>
          </cell>
          <cell r="F42">
            <v>0.68497890837007003</v>
          </cell>
          <cell r="G42">
            <v>0.10902835722412574</v>
          </cell>
          <cell r="H42">
            <v>1.3486620889471447E-2</v>
          </cell>
          <cell r="I42">
            <v>0</v>
          </cell>
          <cell r="J42">
            <v>3.8957800440214296E-2</v>
          </cell>
          <cell r="K42">
            <v>1.1135492495671355E-2</v>
          </cell>
          <cell r="L42">
            <v>2.0350891354208589E-3</v>
          </cell>
          <cell r="M42">
            <v>4.2805796431312178E-4</v>
          </cell>
          <cell r="N42">
            <v>0.1306353806924791</v>
          </cell>
          <cell r="O42">
            <v>1.9981764371414636E-4</v>
          </cell>
          <cell r="P42">
            <v>3.03815838150666E-3</v>
          </cell>
          <cell r="Q42">
            <v>3.03815838150666E-3</v>
          </cell>
          <cell r="R42">
            <v>3.03815838150666E-3</v>
          </cell>
          <cell r="S42">
            <v>1</v>
          </cell>
        </row>
        <row r="43">
          <cell r="A43" t="str">
            <v>F70</v>
          </cell>
          <cell r="B43" t="str">
            <v>Services</v>
          </cell>
          <cell r="C43">
            <v>0</v>
          </cell>
          <cell r="D43">
            <v>0</v>
          </cell>
          <cell r="E43">
            <v>0</v>
          </cell>
          <cell r="F43">
            <v>0.78247152659940289</v>
          </cell>
          <cell r="G43">
            <v>7.9505021864011857E-2</v>
          </cell>
          <cell r="H43">
            <v>3.0064817283884603E-3</v>
          </cell>
          <cell r="I43">
            <v>0</v>
          </cell>
          <cell r="J43">
            <v>0</v>
          </cell>
          <cell r="K43">
            <v>0</v>
          </cell>
          <cell r="L43">
            <v>3.1363648863416945E-3</v>
          </cell>
          <cell r="M43">
            <v>6.5969885309860956E-4</v>
          </cell>
          <cell r="N43">
            <v>0.13122090606875636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4">
          <cell r="A44" t="str">
            <v>F80</v>
          </cell>
          <cell r="B44" t="str">
            <v>Uncollectables</v>
          </cell>
          <cell r="C44">
            <v>0</v>
          </cell>
          <cell r="D44">
            <v>0</v>
          </cell>
          <cell r="E44">
            <v>0</v>
          </cell>
          <cell r="F44">
            <v>0.81065129837697247</v>
          </cell>
          <cell r="G44">
            <v>8.9623473350243746E-2</v>
          </cell>
          <cell r="H44">
            <v>2.7060566570668406E-2</v>
          </cell>
          <cell r="I44">
            <v>0</v>
          </cell>
          <cell r="J44">
            <v>4.2008370112631192E-2</v>
          </cell>
          <cell r="K44">
            <v>6.9250332500972005E-3</v>
          </cell>
          <cell r="L44">
            <v>0</v>
          </cell>
          <cell r="M44">
            <v>0</v>
          </cell>
          <cell r="N44">
            <v>2.3731258339386784E-2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</row>
        <row r="45">
          <cell r="A45" t="str">
            <v>F85</v>
          </cell>
          <cell r="B45" t="str">
            <v>Firm Sales - Utah Share</v>
          </cell>
          <cell r="C45">
            <v>0</v>
          </cell>
          <cell r="D45">
            <v>0</v>
          </cell>
          <cell r="E45">
            <v>0</v>
          </cell>
          <cell r="F45">
            <v>0.33643911685941369</v>
          </cell>
          <cell r="G45">
            <v>0.27844030436176387</v>
          </cell>
          <cell r="H45">
            <v>9.0747831870374704E-2</v>
          </cell>
          <cell r="I45">
            <v>2.1032880770656031E-3</v>
          </cell>
          <cell r="J45">
            <v>0.17158763334158497</v>
          </cell>
          <cell r="K45">
            <v>5.5538087700705971E-3</v>
          </cell>
          <cell r="L45">
            <v>2.0805063036667589E-4</v>
          </cell>
          <cell r="M45">
            <v>4.2118250800580954E-4</v>
          </cell>
          <cell r="N45">
            <v>6.5281456317390962E-2</v>
          </cell>
          <cell r="O45">
            <v>6.0592213968437589E-4</v>
          </cell>
          <cell r="P45">
            <v>8.6653162059154958E-3</v>
          </cell>
          <cell r="Q45">
            <v>2.2195812505219254E-2</v>
          </cell>
          <cell r="R45">
            <v>1.7750276413143921E-2</v>
          </cell>
          <cell r="S45">
            <v>1</v>
          </cell>
        </row>
        <row r="46">
          <cell r="A46" t="str">
            <v>F86</v>
          </cell>
          <cell r="B46" t="str">
            <v>Non Firm Sales - Utah Share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</row>
        <row r="47">
          <cell r="A47" t="str">
            <v>F87</v>
          </cell>
          <cell r="B47" t="str">
            <v>Firm Purchases (Non-Seasonal) - Utah Share</v>
          </cell>
          <cell r="C47">
            <v>0</v>
          </cell>
          <cell r="D47">
            <v>0</v>
          </cell>
          <cell r="E47">
            <v>0</v>
          </cell>
          <cell r="F47">
            <v>0.33498974344285004</v>
          </cell>
          <cell r="G47">
            <v>0.28084078818422581</v>
          </cell>
          <cell r="H47">
            <v>9.0054501965800449E-2</v>
          </cell>
          <cell r="I47">
            <v>1.7613441456342423E-3</v>
          </cell>
          <cell r="J47">
            <v>0.17018925634585255</v>
          </cell>
          <cell r="K47">
            <v>6.8123959913749038E-3</v>
          </cell>
          <cell r="L47">
            <v>2.0644925068073665E-4</v>
          </cell>
          <cell r="M47">
            <v>3.5087871195536835E-4</v>
          </cell>
          <cell r="N47">
            <v>6.5938301165770777E-2</v>
          </cell>
          <cell r="O47">
            <v>5.9761458220806822E-4</v>
          </cell>
          <cell r="P47">
            <v>8.5905776801710881E-3</v>
          </cell>
          <cell r="Q47">
            <v>2.2559342487497944E-2</v>
          </cell>
          <cell r="R47">
            <v>1.7108806045978326E-2</v>
          </cell>
          <cell r="S47">
            <v>1</v>
          </cell>
        </row>
        <row r="48">
          <cell r="A48" t="str">
            <v>F88</v>
          </cell>
          <cell r="B48" t="str">
            <v>Seasonal Purchases - Utah Share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</row>
        <row r="49">
          <cell r="A49" t="str">
            <v>F89</v>
          </cell>
          <cell r="B49" t="str">
            <v>Non firm Purchases - Utah Share</v>
          </cell>
          <cell r="C49">
            <v>0</v>
          </cell>
          <cell r="D49">
            <v>0</v>
          </cell>
          <cell r="E49">
            <v>0</v>
          </cell>
          <cell r="F49">
            <v>0.29979815750086991</v>
          </cell>
          <cell r="G49">
            <v>0.27153082767593717</v>
          </cell>
          <cell r="H49">
            <v>9.5725995590261306E-2</v>
          </cell>
          <cell r="I49">
            <v>3.7181488555205976E-3</v>
          </cell>
          <cell r="J49">
            <v>0.18749351497293129</v>
          </cell>
          <cell r="K49">
            <v>8.0535911679366912E-3</v>
          </cell>
          <cell r="L49">
            <v>2.3886121799682582E-4</v>
          </cell>
          <cell r="M49">
            <v>7.3423736915794228E-4</v>
          </cell>
          <cell r="N49">
            <v>6.1501767050476976E-2</v>
          </cell>
          <cell r="O49">
            <v>5.3622013078342295E-4</v>
          </cell>
          <cell r="P49">
            <v>1.0234264766295255E-2</v>
          </cell>
          <cell r="Q49">
            <v>3.7128983369368061E-2</v>
          </cell>
          <cell r="R49">
            <v>2.330543033246444E-2</v>
          </cell>
          <cell r="S49">
            <v>1</v>
          </cell>
        </row>
        <row r="50">
          <cell r="A50" t="str">
            <v>F90</v>
          </cell>
          <cell r="B50" t="str">
            <v>Coal (Non-Seasonal) - Utah Share</v>
          </cell>
          <cell r="C50">
            <v>0</v>
          </cell>
          <cell r="D50">
            <v>0</v>
          </cell>
          <cell r="E50">
            <v>0</v>
          </cell>
          <cell r="F50">
            <v>0.29747059687518912</v>
          </cell>
          <cell r="G50">
            <v>0.27117620780948143</v>
          </cell>
          <cell r="H50">
            <v>9.6063618438134102E-2</v>
          </cell>
          <cell r="I50">
            <v>3.7582113100422783E-3</v>
          </cell>
          <cell r="J50">
            <v>0.18905544445537212</v>
          </cell>
          <cell r="K50">
            <v>7.8104509563704924E-3</v>
          </cell>
          <cell r="L50">
            <v>2.4225345556404138E-4</v>
          </cell>
          <cell r="M50">
            <v>7.4034957202814291E-4</v>
          </cell>
          <cell r="N50">
            <v>6.1545309447119501E-2</v>
          </cell>
          <cell r="O50">
            <v>5.3424686961272292E-4</v>
          </cell>
          <cell r="P50">
            <v>1.0270609729365249E-2</v>
          </cell>
          <cell r="Q50">
            <v>3.778039999454734E-2</v>
          </cell>
          <cell r="R50">
            <v>2.3552301087173429E-2</v>
          </cell>
          <cell r="S50">
            <v>1</v>
          </cell>
        </row>
        <row r="51">
          <cell r="A51" t="str">
            <v>F91</v>
          </cell>
          <cell r="B51" t="str">
            <v>Seasonal Cholla Coal - Utah Share</v>
          </cell>
          <cell r="C51">
            <v>0</v>
          </cell>
          <cell r="D51">
            <v>0</v>
          </cell>
          <cell r="E51">
            <v>0</v>
          </cell>
          <cell r="F51">
            <v>0.29803711209295691</v>
          </cell>
          <cell r="G51">
            <v>0.27107811080878857</v>
          </cell>
          <cell r="H51">
            <v>9.603368022917208E-2</v>
          </cell>
          <cell r="I51">
            <v>3.7646542273027501E-3</v>
          </cell>
          <cell r="J51">
            <v>0.18891679191924748</v>
          </cell>
          <cell r="K51">
            <v>7.5128668404289226E-3</v>
          </cell>
          <cell r="L51">
            <v>2.4223451999822064E-4</v>
          </cell>
          <cell r="M51">
            <v>7.384535772482102E-4</v>
          </cell>
          <cell r="N51">
            <v>6.1573998749886297E-2</v>
          </cell>
          <cell r="O51">
            <v>5.3511731405607704E-4</v>
          </cell>
          <cell r="P51">
            <v>1.0278414652935297E-2</v>
          </cell>
          <cell r="Q51">
            <v>3.7776055628917352E-2</v>
          </cell>
          <cell r="R51">
            <v>2.3512509439061569E-2</v>
          </cell>
          <cell r="S51">
            <v>1</v>
          </cell>
        </row>
        <row r="52">
          <cell r="A52" t="str">
            <v>F92</v>
          </cell>
          <cell r="B52" t="str">
            <v>Gas (Non-Seasonal) - Utah Share</v>
          </cell>
          <cell r="C52">
            <v>0</v>
          </cell>
          <cell r="D52">
            <v>0</v>
          </cell>
          <cell r="E52">
            <v>0</v>
          </cell>
          <cell r="F52">
            <v>0.29980675988418126</v>
          </cell>
          <cell r="G52">
            <v>0.27119337098099933</v>
          </cell>
          <cell r="H52">
            <v>9.5792608050297309E-2</v>
          </cell>
          <cell r="I52">
            <v>3.7388727917208654E-3</v>
          </cell>
          <cell r="J52">
            <v>0.18799420859614349</v>
          </cell>
          <cell r="K52">
            <v>7.3373034389534785E-3</v>
          </cell>
          <cell r="L52">
            <v>2.4122954559097236E-4</v>
          </cell>
          <cell r="M52">
            <v>7.35771206711764E-4</v>
          </cell>
          <cell r="N52">
            <v>6.1607347581396285E-2</v>
          </cell>
          <cell r="O52">
            <v>5.3909962349364573E-4</v>
          </cell>
          <cell r="P52">
            <v>1.0220696319511637E-2</v>
          </cell>
          <cell r="Q52">
            <v>3.7361039545440587E-2</v>
          </cell>
          <cell r="R52">
            <v>2.3431692435559603E-2</v>
          </cell>
          <cell r="S52">
            <v>1</v>
          </cell>
        </row>
        <row r="53">
          <cell r="A53" t="str">
            <v>F93</v>
          </cell>
          <cell r="B53" t="str">
            <v>Seasonal CT Gas - Utah Share</v>
          </cell>
          <cell r="C53">
            <v>0</v>
          </cell>
          <cell r="D53">
            <v>0</v>
          </cell>
          <cell r="E53">
            <v>0</v>
          </cell>
          <cell r="F53">
            <v>0.29601091350693043</v>
          </cell>
          <cell r="G53">
            <v>0.27107096281757431</v>
          </cell>
          <cell r="H53">
            <v>9.6180378447097273E-2</v>
          </cell>
          <cell r="I53">
            <v>3.7663464777364679E-3</v>
          </cell>
          <cell r="J53">
            <v>0.18990214303332312</v>
          </cell>
          <cell r="K53">
            <v>8.0618697126322528E-3</v>
          </cell>
          <cell r="L53">
            <v>2.4265412429505927E-4</v>
          </cell>
          <cell r="M53">
            <v>7.4442531661012782E-4</v>
          </cell>
          <cell r="N53">
            <v>6.1507878969924837E-2</v>
          </cell>
          <cell r="O53">
            <v>5.3193896728645376E-4</v>
          </cell>
          <cell r="P53">
            <v>1.0282127393483897E-2</v>
          </cell>
          <cell r="Q53">
            <v>3.8048258075726683E-2</v>
          </cell>
          <cell r="R53">
            <v>2.3650103157378997E-2</v>
          </cell>
          <cell r="S53">
            <v>1</v>
          </cell>
        </row>
        <row r="54">
          <cell r="A54" t="str">
            <v>F94</v>
          </cell>
          <cell r="B54" t="str">
            <v>Other Generation - Utah Share</v>
          </cell>
          <cell r="C54">
            <v>0</v>
          </cell>
          <cell r="D54">
            <v>0</v>
          </cell>
          <cell r="E54">
            <v>0</v>
          </cell>
          <cell r="F54">
            <v>0.29768750074992412</v>
          </cell>
          <cell r="G54">
            <v>0.27111580007800595</v>
          </cell>
          <cell r="H54">
            <v>9.6115817842318443E-2</v>
          </cell>
          <cell r="I54">
            <v>3.7611351026905068E-3</v>
          </cell>
          <cell r="J54">
            <v>0.18907265802723822</v>
          </cell>
          <cell r="K54">
            <v>7.5683482108941458E-3</v>
          </cell>
          <cell r="L54">
            <v>2.4302144661041399E-4</v>
          </cell>
          <cell r="M54">
            <v>7.4285179942495212E-4</v>
          </cell>
          <cell r="N54">
            <v>6.157518635005256E-2</v>
          </cell>
          <cell r="O54">
            <v>5.3611760493784875E-4</v>
          </cell>
          <cell r="P54">
            <v>1.0258304197060053E-2</v>
          </cell>
          <cell r="Q54">
            <v>3.7800308510901597E-2</v>
          </cell>
          <cell r="R54">
            <v>2.3522950079941145E-2</v>
          </cell>
          <cell r="S54">
            <v>1</v>
          </cell>
        </row>
        <row r="55">
          <cell r="A55" t="str">
            <v>F95</v>
          </cell>
          <cell r="B55" t="str">
            <v>Firm Wheeling - Utah Share</v>
          </cell>
          <cell r="C55">
            <v>0</v>
          </cell>
          <cell r="D55">
            <v>0</v>
          </cell>
          <cell r="E55">
            <v>0</v>
          </cell>
          <cell r="F55">
            <v>0.33412632373644391</v>
          </cell>
          <cell r="G55">
            <v>0.28017553674375428</v>
          </cell>
          <cell r="H55">
            <v>9.0532563236644256E-2</v>
          </cell>
          <cell r="I55">
            <v>1.9383373737231755E-3</v>
          </cell>
          <cell r="J55">
            <v>0.17132273027688091</v>
          </cell>
          <cell r="K55">
            <v>6.2431564574266674E-3</v>
          </cell>
          <cell r="L55">
            <v>2.067668069395467E-4</v>
          </cell>
          <cell r="M55">
            <v>3.8752704099499964E-4</v>
          </cell>
          <cell r="N55">
            <v>6.5792372584794034E-2</v>
          </cell>
          <cell r="O55">
            <v>5.9927538502456347E-4</v>
          </cell>
          <cell r="P55">
            <v>8.6302901635804796E-3</v>
          </cell>
          <cell r="Q55">
            <v>2.2658388464404884E-2</v>
          </cell>
          <cell r="R55">
            <v>1.738673172938817E-2</v>
          </cell>
          <cell r="S55">
            <v>1</v>
          </cell>
        </row>
        <row r="56">
          <cell r="A56" t="str">
            <v>F96</v>
          </cell>
          <cell r="B56" t="str">
            <v>Non-Firm Wheeling - Utah Share</v>
          </cell>
          <cell r="C56">
            <v>0</v>
          </cell>
          <cell r="D56">
            <v>0</v>
          </cell>
          <cell r="E56">
            <v>0</v>
          </cell>
          <cell r="F56">
            <v>0.29947784433237412</v>
          </cell>
          <cell r="G56">
            <v>0.27014360972380774</v>
          </cell>
          <cell r="H56">
            <v>9.5979968488540707E-2</v>
          </cell>
          <cell r="I56">
            <v>3.7835095344273531E-3</v>
          </cell>
          <cell r="J56">
            <v>0.18903682572612729</v>
          </cell>
          <cell r="K56">
            <v>6.7989466928714982E-3</v>
          </cell>
          <cell r="L56">
            <v>2.4338737717096326E-4</v>
          </cell>
          <cell r="M56">
            <v>7.4497679800308804E-4</v>
          </cell>
          <cell r="N56">
            <v>6.1790987552453401E-2</v>
          </cell>
          <cell r="O56">
            <v>5.4189131358046527E-4</v>
          </cell>
          <cell r="P56">
            <v>1.0145184907983088E-2</v>
          </cell>
          <cell r="Q56">
            <v>3.8003876801940617E-2</v>
          </cell>
          <cell r="R56">
            <v>2.3308990750719759E-2</v>
          </cell>
          <cell r="S56">
            <v>1</v>
          </cell>
        </row>
        <row r="57">
          <cell r="A57" t="str">
            <v>F101</v>
          </cell>
          <cell r="B57" t="str">
            <v>Rate Base</v>
          </cell>
          <cell r="C57">
            <v>0</v>
          </cell>
          <cell r="D57">
            <v>0</v>
          </cell>
          <cell r="E57">
            <v>0</v>
          </cell>
          <cell r="F57">
            <v>0.40387943064020398</v>
          </cell>
          <cell r="G57">
            <v>0.26689296553279024</v>
          </cell>
          <cell r="H57">
            <v>8.2933087793711766E-2</v>
          </cell>
          <cell r="I57">
            <v>4.662233909154833E-3</v>
          </cell>
          <cell r="J57">
            <v>0.12550926366144619</v>
          </cell>
          <cell r="K57">
            <v>8.4693605035784398E-3</v>
          </cell>
          <cell r="L57">
            <v>2.7747218159948281E-4</v>
          </cell>
          <cell r="M57">
            <v>3.6725389816889001E-4</v>
          </cell>
          <cell r="N57">
            <v>7.1480389457339838E-2</v>
          </cell>
          <cell r="O57">
            <v>6.3627218527380488E-4</v>
          </cell>
          <cell r="P57">
            <v>6.3463974311634393E-3</v>
          </cell>
          <cell r="Q57">
            <v>1.5622140590785091E-2</v>
          </cell>
          <cell r="R57">
            <v>1.2923732214783917E-2</v>
          </cell>
          <cell r="S57">
            <v>1</v>
          </cell>
        </row>
        <row r="58">
          <cell r="A58" t="str">
            <v>F101G</v>
          </cell>
          <cell r="B58" t="str">
            <v>Generation Rate Base</v>
          </cell>
          <cell r="C58">
            <v>0</v>
          </cell>
          <cell r="D58">
            <v>0</v>
          </cell>
          <cell r="E58">
            <v>0</v>
          </cell>
          <cell r="F58">
            <v>0.34242047733702197</v>
          </cell>
          <cell r="G58">
            <v>0.27667674618918187</v>
          </cell>
          <cell r="H58">
            <v>8.9435722498969791E-2</v>
          </cell>
          <cell r="I58">
            <v>1.9879904619515497E-3</v>
          </cell>
          <cell r="J58">
            <v>0.16846465218813683</v>
          </cell>
          <cell r="K58">
            <v>7.1629602227303042E-3</v>
          </cell>
          <cell r="L58">
            <v>2.031902253860918E-4</v>
          </cell>
          <cell r="M58">
            <v>3.9737259136167182E-4</v>
          </cell>
          <cell r="N58">
            <v>6.518253487310563E-2</v>
          </cell>
          <cell r="O58">
            <v>6.0854337229930902E-4</v>
          </cell>
          <cell r="P58">
            <v>8.5356078158865256E-3</v>
          </cell>
          <cell r="Q58">
            <v>2.1590414087835953E-2</v>
          </cell>
          <cell r="R58">
            <v>1.7333788136132965E-2</v>
          </cell>
          <cell r="S58">
            <v>1</v>
          </cell>
        </row>
        <row r="59">
          <cell r="A59" t="str">
            <v>F101T</v>
          </cell>
          <cell r="B59" t="str">
            <v>Transmission Rate Base</v>
          </cell>
          <cell r="C59">
            <v>0</v>
          </cell>
          <cell r="D59">
            <v>0</v>
          </cell>
          <cell r="E59">
            <v>0</v>
          </cell>
          <cell r="F59">
            <v>0.3438402316389314</v>
          </cell>
          <cell r="G59">
            <v>0.27555602443468841</v>
          </cell>
          <cell r="H59">
            <v>8.8373153347162947E-2</v>
          </cell>
          <cell r="I59">
            <v>1.6550020456530543E-3</v>
          </cell>
          <cell r="J59">
            <v>0.1718140092334865</v>
          </cell>
          <cell r="K59">
            <v>7.0401623640345551E-3</v>
          </cell>
          <cell r="L59">
            <v>1.9221650824100835E-4</v>
          </cell>
          <cell r="M59">
            <v>3.5130227880528312E-4</v>
          </cell>
          <cell r="N59">
            <v>6.4740677040601255E-2</v>
          </cell>
          <cell r="O59">
            <v>6.1133376098984377E-4</v>
          </cell>
          <cell r="P59">
            <v>8.384840063816559E-3</v>
          </cell>
          <cell r="Q59">
            <v>2.0138427935932263E-2</v>
          </cell>
          <cell r="R59">
            <v>1.7302619347657436E-2</v>
          </cell>
          <cell r="S59">
            <v>1</v>
          </cell>
        </row>
        <row r="60">
          <cell r="A60" t="str">
            <v>F101D</v>
          </cell>
          <cell r="B60" t="str">
            <v>Distribution Rate Base</v>
          </cell>
          <cell r="C60">
            <v>0</v>
          </cell>
          <cell r="D60">
            <v>0</v>
          </cell>
          <cell r="E60">
            <v>0</v>
          </cell>
          <cell r="F60">
            <v>0.57660712262796932</v>
          </cell>
          <cell r="G60">
            <v>0.23918842268196797</v>
          </cell>
          <cell r="H60">
            <v>6.556311904906631E-2</v>
          </cell>
          <cell r="I60">
            <v>1.2654865517756001E-2</v>
          </cell>
          <cell r="J60">
            <v>-2.4843182886082159E-5</v>
          </cell>
          <cell r="K60">
            <v>1.2403832878981582E-2</v>
          </cell>
          <cell r="L60">
            <v>4.8424208582078534E-4</v>
          </cell>
          <cell r="M60">
            <v>3.1572602268109263E-4</v>
          </cell>
          <cell r="N60">
            <v>9.179079119731684E-2</v>
          </cell>
          <cell r="O60">
            <v>7.1370337197621729E-4</v>
          </cell>
          <cell r="P60">
            <v>1.0065917048470323E-4</v>
          </cell>
          <cell r="Q60">
            <v>1.0145498212244967E-4</v>
          </cell>
          <cell r="R60">
            <v>1.0090359674253332E-4</v>
          </cell>
          <cell r="S60">
            <v>1</v>
          </cell>
        </row>
        <row r="61">
          <cell r="A61" t="str">
            <v>F101R</v>
          </cell>
          <cell r="B61" t="str">
            <v>Retail Rate Base</v>
          </cell>
          <cell r="C61">
            <v>0</v>
          </cell>
          <cell r="D61">
            <v>0</v>
          </cell>
          <cell r="E61">
            <v>0</v>
          </cell>
          <cell r="F61">
            <v>-3.6755537519483097</v>
          </cell>
          <cell r="G61">
            <v>7.3999564773730556E-2</v>
          </cell>
          <cell r="H61">
            <v>0.60387424979833171</v>
          </cell>
          <cell r="I61">
            <v>-5.6033058722564602E-2</v>
          </cell>
          <cell r="J61">
            <v>2.1250485311204321</v>
          </cell>
          <cell r="K61">
            <v>3.0985234679691318E-2</v>
          </cell>
          <cell r="L61">
            <v>-1.5584865733203284E-2</v>
          </cell>
          <cell r="M61">
            <v>-2.9753097980085149E-3</v>
          </cell>
          <cell r="N61">
            <v>1.412285515178362</v>
          </cell>
          <cell r="O61">
            <v>-9.2892521883968228E-5</v>
          </cell>
          <cell r="P61">
            <v>-8.4991158924146344E-5</v>
          </cell>
          <cell r="Q61">
            <v>0.50427520003501081</v>
          </cell>
          <cell r="R61">
            <v>-1.4342570266041808E-4</v>
          </cell>
          <cell r="S61">
            <v>1</v>
          </cell>
        </row>
        <row r="62">
          <cell r="A62" t="str">
            <v>F101M</v>
          </cell>
          <cell r="B62" t="str">
            <v>Misc Rate Base</v>
          </cell>
          <cell r="C62">
            <v>0</v>
          </cell>
          <cell r="D62">
            <v>0</v>
          </cell>
          <cell r="E62">
            <v>0</v>
          </cell>
          <cell r="F62">
            <v>0.37194479648276563</v>
          </cell>
          <cell r="G62">
            <v>0.27017472865114867</v>
          </cell>
          <cell r="H62">
            <v>8.6399066627692964E-2</v>
          </cell>
          <cell r="I62">
            <v>4.3838958740342413E-3</v>
          </cell>
          <cell r="J62">
            <v>0.14637292352103043</v>
          </cell>
          <cell r="K62">
            <v>7.9917244246912617E-3</v>
          </cell>
          <cell r="L62">
            <v>2.4733407066771136E-4</v>
          </cell>
          <cell r="M62">
            <v>4.1697866713456182E-4</v>
          </cell>
          <cell r="N62">
            <v>6.8699232623730316E-2</v>
          </cell>
          <cell r="O62">
            <v>6.1439919273320988E-4</v>
          </cell>
          <cell r="P62">
            <v>7.4454421015251364E-3</v>
          </cell>
          <cell r="Q62">
            <v>1.9893301994217572E-2</v>
          </cell>
          <cell r="R62">
            <v>1.5416175768628354E-2</v>
          </cell>
          <cell r="S62">
            <v>1</v>
          </cell>
        </row>
        <row r="63">
          <cell r="A63" t="str">
            <v>F102</v>
          </cell>
          <cell r="B63" t="str">
            <v>SGP - System Gross Plant</v>
          </cell>
          <cell r="C63">
            <v>0</v>
          </cell>
          <cell r="D63">
            <v>0</v>
          </cell>
          <cell r="E63">
            <v>0</v>
          </cell>
          <cell r="F63">
            <v>0.40699770433233362</v>
          </cell>
          <cell r="G63">
            <v>0.26604829024262955</v>
          </cell>
          <cell r="H63">
            <v>8.2358502052883642E-2</v>
          </cell>
          <cell r="I63">
            <v>5.9844966363501381E-3</v>
          </cell>
          <cell r="J63">
            <v>0.12315062656674258</v>
          </cell>
          <cell r="K63">
            <v>8.4484920904371388E-3</v>
          </cell>
          <cell r="L63">
            <v>2.7542354000494149E-4</v>
          </cell>
          <cell r="M63">
            <v>3.539347696718907E-4</v>
          </cell>
          <cell r="N63">
            <v>7.2502478242994509E-2</v>
          </cell>
          <cell r="O63">
            <v>6.3661179214994442E-4</v>
          </cell>
          <cell r="P63">
            <v>6.1343366117120202E-3</v>
          </cell>
          <cell r="Q63">
            <v>1.4734950200145411E-2</v>
          </cell>
          <cell r="R63">
            <v>1.2374152921944659E-2</v>
          </cell>
          <cell r="S63">
            <v>1</v>
          </cell>
        </row>
        <row r="64">
          <cell r="A64" t="str">
            <v>F102G</v>
          </cell>
          <cell r="B64" t="str">
            <v>SGGP - System Gross Generation Plant</v>
          </cell>
          <cell r="C64">
            <v>0</v>
          </cell>
          <cell r="D64">
            <v>0</v>
          </cell>
          <cell r="E64">
            <v>0</v>
          </cell>
          <cell r="F64">
            <v>0.34614840034762284</v>
          </cell>
          <cell r="G64">
            <v>0.27714190730544985</v>
          </cell>
          <cell r="H64">
            <v>8.8893933934608704E-2</v>
          </cell>
          <cell r="I64">
            <v>1.8411158366343089E-3</v>
          </cell>
          <cell r="J64">
            <v>0.16676583628548819</v>
          </cell>
          <cell r="K64">
            <v>7.0860901420777261E-3</v>
          </cell>
          <cell r="L64">
            <v>1.9995583660614694E-4</v>
          </cell>
          <cell r="M64">
            <v>3.6884508456680091E-4</v>
          </cell>
          <cell r="N64">
            <v>6.5486496063917571E-2</v>
          </cell>
          <cell r="O64">
            <v>6.1474885781010011E-4</v>
          </cell>
          <cell r="P64">
            <v>8.3923541517602687E-3</v>
          </cell>
          <cell r="Q64">
            <v>2.0243320875040226E-2</v>
          </cell>
          <cell r="R64">
            <v>1.6816995278417228E-2</v>
          </cell>
          <cell r="S64">
            <v>1</v>
          </cell>
        </row>
        <row r="65">
          <cell r="A65" t="str">
            <v>F102T</v>
          </cell>
          <cell r="B65" t="str">
            <v>SGTP - System Gross Transmission Plant</v>
          </cell>
          <cell r="C65">
            <v>0</v>
          </cell>
          <cell r="D65">
            <v>0</v>
          </cell>
          <cell r="E65">
            <v>0</v>
          </cell>
          <cell r="F65">
            <v>0.34340037373305027</v>
          </cell>
          <cell r="G65">
            <v>0.27494171416134194</v>
          </cell>
          <cell r="H65">
            <v>8.8188216687089913E-2</v>
          </cell>
          <cell r="I65">
            <v>1.826499460205872E-3</v>
          </cell>
          <cell r="J65">
            <v>0.17276601076781811</v>
          </cell>
          <cell r="K65">
            <v>7.0298346046142176E-3</v>
          </cell>
          <cell r="L65">
            <v>1.9836841352350088E-4</v>
          </cell>
          <cell r="M65">
            <v>3.6591687196195889E-4</v>
          </cell>
          <cell r="N65">
            <v>6.4966607386408096E-2</v>
          </cell>
          <cell r="O65">
            <v>6.0986844749809615E-4</v>
          </cell>
          <cell r="P65">
            <v>8.3638913257047861E-3</v>
          </cell>
          <cell r="Q65">
            <v>2.0082611813620106E-2</v>
          </cell>
          <cell r="R65">
            <v>1.7260086327163283E-2</v>
          </cell>
          <cell r="S65">
            <v>1</v>
          </cell>
        </row>
        <row r="66">
          <cell r="A66" t="str">
            <v>F102D</v>
          </cell>
          <cell r="B66" t="str">
            <v>SGDP - System Gross Distribution Plant</v>
          </cell>
          <cell r="C66">
            <v>0</v>
          </cell>
          <cell r="D66">
            <v>0</v>
          </cell>
          <cell r="E66">
            <v>0</v>
          </cell>
          <cell r="F66">
            <v>0.57228327124950928</v>
          </cell>
          <cell r="G66">
            <v>0.23812514611636967</v>
          </cell>
          <cell r="H66">
            <v>6.542531486363444E-2</v>
          </cell>
          <cell r="I66">
            <v>1.7098032327922709E-2</v>
          </cell>
          <cell r="J66">
            <v>1.3798204912094045E-3</v>
          </cell>
          <cell r="K66">
            <v>1.2144883461154256E-2</v>
          </cell>
          <cell r="L66">
            <v>4.7892714432723146E-4</v>
          </cell>
          <cell r="M66">
            <v>3.163811342316408E-4</v>
          </cell>
          <cell r="N66">
            <v>9.1726219433068079E-2</v>
          </cell>
          <cell r="O66">
            <v>6.9918422949930893E-4</v>
          </cell>
          <cell r="P66">
            <v>1.0760651635802231E-4</v>
          </cell>
          <cell r="Q66">
            <v>1.0760651635802231E-4</v>
          </cell>
          <cell r="R66">
            <v>1.0760651635802231E-4</v>
          </cell>
          <cell r="S66">
            <v>1</v>
          </cell>
        </row>
        <row r="67">
          <cell r="A67" t="str">
            <v>F102R</v>
          </cell>
          <cell r="B67" t="str">
            <v>SGTP - System Gross Retail Plant</v>
          </cell>
          <cell r="C67">
            <v>0</v>
          </cell>
          <cell r="D67">
            <v>0</v>
          </cell>
          <cell r="E67">
            <v>0</v>
          </cell>
          <cell r="F67">
            <v>0.40699770433233362</v>
          </cell>
          <cell r="G67">
            <v>0.26604829024262955</v>
          </cell>
          <cell r="H67">
            <v>8.2358502052883642E-2</v>
          </cell>
          <cell r="I67">
            <v>5.9844966363501381E-3</v>
          </cell>
          <cell r="J67">
            <v>0.12315062656674258</v>
          </cell>
          <cell r="K67">
            <v>8.4484920904371388E-3</v>
          </cell>
          <cell r="L67">
            <v>2.7542354000494149E-4</v>
          </cell>
          <cell r="M67">
            <v>3.539347696718907E-4</v>
          </cell>
          <cell r="N67">
            <v>7.2502478242994509E-2</v>
          </cell>
          <cell r="O67">
            <v>6.3661179214994442E-4</v>
          </cell>
          <cell r="P67">
            <v>6.1343366117120202E-3</v>
          </cell>
          <cell r="Q67">
            <v>1.4734950200145411E-2</v>
          </cell>
          <cell r="R67">
            <v>1.2374152921944659E-2</v>
          </cell>
          <cell r="S67">
            <v>1</v>
          </cell>
        </row>
        <row r="68">
          <cell r="A68" t="str">
            <v>F102M</v>
          </cell>
          <cell r="B68" t="str">
            <v>SGDP - System Gross Misc Plant</v>
          </cell>
          <cell r="C68">
            <v>0</v>
          </cell>
          <cell r="D68">
            <v>0</v>
          </cell>
          <cell r="E68">
            <v>0</v>
          </cell>
          <cell r="F68">
            <v>0.40699770433233362</v>
          </cell>
          <cell r="G68">
            <v>0.26604829024262955</v>
          </cell>
          <cell r="H68">
            <v>8.2358502052883642E-2</v>
          </cell>
          <cell r="I68">
            <v>5.9844966363501381E-3</v>
          </cell>
          <cell r="J68">
            <v>0.12315062656674258</v>
          </cell>
          <cell r="K68">
            <v>8.4484920904371388E-3</v>
          </cell>
          <cell r="L68">
            <v>2.7542354000494149E-4</v>
          </cell>
          <cell r="M68">
            <v>3.539347696718907E-4</v>
          </cell>
          <cell r="N68">
            <v>7.2502478242994509E-2</v>
          </cell>
          <cell r="O68">
            <v>6.3661179214994442E-4</v>
          </cell>
          <cell r="P68">
            <v>6.1343366117120202E-3</v>
          </cell>
          <cell r="Q68">
            <v>1.4734950200145411E-2</v>
          </cell>
          <cell r="R68">
            <v>1.2374152921944659E-2</v>
          </cell>
          <cell r="S68">
            <v>1</v>
          </cell>
        </row>
        <row r="69">
          <cell r="A69" t="str">
            <v>F103</v>
          </cell>
          <cell r="B69" t="str">
            <v>SGP - System Gross Plant (Regulatory fees)</v>
          </cell>
          <cell r="C69">
            <v>0</v>
          </cell>
          <cell r="D69">
            <v>0</v>
          </cell>
          <cell r="E69">
            <v>0</v>
          </cell>
          <cell r="F69">
            <v>0.25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0.25</v>
          </cell>
          <cell r="L69">
            <v>0</v>
          </cell>
          <cell r="M69">
            <v>0</v>
          </cell>
          <cell r="N69">
            <v>0.25</v>
          </cell>
          <cell r="O69">
            <v>0.25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</row>
        <row r="70">
          <cell r="A70" t="str">
            <v>F104</v>
          </cell>
          <cell r="B70" t="str">
            <v>SNP - System Net Plant</v>
          </cell>
          <cell r="C70">
            <v>0</v>
          </cell>
          <cell r="D70">
            <v>0</v>
          </cell>
          <cell r="E70">
            <v>0</v>
          </cell>
          <cell r="F70">
            <v>0.40685137361051088</v>
          </cell>
          <cell r="G70">
            <v>0.26565191032875735</v>
          </cell>
          <cell r="H70">
            <v>8.2420700219701909E-2</v>
          </cell>
          <cell r="I70">
            <v>4.7494781898919499E-3</v>
          </cell>
          <cell r="J70">
            <v>0.12422881700322501</v>
          </cell>
          <cell r="K70">
            <v>8.5005894274748379E-3</v>
          </cell>
          <cell r="L70">
            <v>2.8258285306598328E-4</v>
          </cell>
          <cell r="M70">
            <v>3.6611178844853088E-4</v>
          </cell>
          <cell r="N70">
            <v>7.2376855493827622E-2</v>
          </cell>
          <cell r="O70">
            <v>6.3680534764103645E-4</v>
          </cell>
          <cell r="P70">
            <v>6.2004998076277094E-3</v>
          </cell>
          <cell r="Q70">
            <v>1.5161025682856153E-2</v>
          </cell>
          <cell r="R70">
            <v>1.2573250246971352E-2</v>
          </cell>
          <cell r="S70">
            <v>1</v>
          </cell>
        </row>
        <row r="71">
          <cell r="A71" t="str">
            <v>F104G</v>
          </cell>
          <cell r="B71" t="str">
            <v>SNP - System Net Generation Plant</v>
          </cell>
          <cell r="C71">
            <v>0</v>
          </cell>
          <cell r="D71">
            <v>0</v>
          </cell>
          <cell r="E71">
            <v>0</v>
          </cell>
          <cell r="F71">
            <v>0.34420642446377425</v>
          </cell>
          <cell r="G71">
            <v>0.27689359500204153</v>
          </cell>
          <cell r="H71">
            <v>8.9175871851307834E-2</v>
          </cell>
          <cell r="I71">
            <v>1.9180536924996142E-3</v>
          </cell>
          <cell r="J71">
            <v>0.16765159235120625</v>
          </cell>
          <cell r="K71">
            <v>7.1298868617589656E-3</v>
          </cell>
          <cell r="L71">
            <v>2.0164023661130938E-4</v>
          </cell>
          <cell r="M71">
            <v>3.8380810841633751E-4</v>
          </cell>
          <cell r="N71">
            <v>6.5326005322296668E-2</v>
          </cell>
          <cell r="O71">
            <v>6.1149227299897113E-4</v>
          </cell>
          <cell r="P71">
            <v>8.4671711418651697E-3</v>
          </cell>
          <cell r="Q71">
            <v>2.0947260969540159E-2</v>
          </cell>
          <cell r="R71">
            <v>1.7087197725683005E-2</v>
          </cell>
          <cell r="S71">
            <v>1</v>
          </cell>
        </row>
        <row r="72">
          <cell r="A72" t="str">
            <v>F104T</v>
          </cell>
          <cell r="B72" t="str">
            <v>SNP - System Net Transmission Plant</v>
          </cell>
          <cell r="C72">
            <v>0</v>
          </cell>
          <cell r="D72">
            <v>0</v>
          </cell>
          <cell r="E72">
            <v>0</v>
          </cell>
          <cell r="F72">
            <v>0.34340052398237036</v>
          </cell>
          <cell r="G72">
            <v>0.27494183445767456</v>
          </cell>
          <cell r="H72">
            <v>8.8188255272428212E-2</v>
          </cell>
          <cell r="I72">
            <v>1.8265002593613857E-3</v>
          </cell>
          <cell r="J72">
            <v>0.17276568270617143</v>
          </cell>
          <cell r="K72">
            <v>7.0298376804054808E-3</v>
          </cell>
          <cell r="L72">
            <v>1.9836850031641534E-4</v>
          </cell>
          <cell r="M72">
            <v>3.6591703206301121E-4</v>
          </cell>
          <cell r="N72">
            <v>6.4966635811504095E-2</v>
          </cell>
          <cell r="O72">
            <v>6.0986871433624365E-4</v>
          </cell>
          <cell r="P72">
            <v>8.3638928819197954E-3</v>
          </cell>
          <cell r="Q72">
            <v>2.0082620600444471E-2</v>
          </cell>
          <cell r="R72">
            <v>1.7260062101004607E-2</v>
          </cell>
          <cell r="S72">
            <v>1</v>
          </cell>
        </row>
        <row r="73">
          <cell r="A73" t="str">
            <v>F104D</v>
          </cell>
          <cell r="B73" t="str">
            <v>SNP - System Net Distribution Plant</v>
          </cell>
          <cell r="C73">
            <v>0</v>
          </cell>
          <cell r="D73">
            <v>0</v>
          </cell>
          <cell r="E73">
            <v>0</v>
          </cell>
          <cell r="F73">
            <v>0.57613045334718493</v>
          </cell>
          <cell r="G73">
            <v>0.23846417633296926</v>
          </cell>
          <cell r="H73">
            <v>6.5362943553253811E-2</v>
          </cell>
          <cell r="I73">
            <v>1.2575185943177299E-2</v>
          </cell>
          <cell r="J73">
            <v>1.2791519146759583E-3</v>
          </cell>
          <cell r="K73">
            <v>1.2403440118704276E-2</v>
          </cell>
          <cell r="L73">
            <v>4.897227255862617E-4</v>
          </cell>
          <cell r="M73">
            <v>3.3148038799609412E-4</v>
          </cell>
          <cell r="N73">
            <v>9.1950992239916401E-2</v>
          </cell>
          <cell r="O73">
            <v>7.1318607029246595E-4</v>
          </cell>
          <cell r="P73">
            <v>9.9755788747802202E-5</v>
          </cell>
          <cell r="Q73">
            <v>9.9755788747802202E-5</v>
          </cell>
          <cell r="R73">
            <v>9.9755788747802202E-5</v>
          </cell>
          <cell r="S73">
            <v>1</v>
          </cell>
        </row>
        <row r="74">
          <cell r="A74" t="str">
            <v>F104R</v>
          </cell>
          <cell r="B74" t="str">
            <v>SNP - System Net Retail Plant</v>
          </cell>
          <cell r="C74">
            <v>0</v>
          </cell>
          <cell r="D74">
            <v>0</v>
          </cell>
          <cell r="E74">
            <v>0</v>
          </cell>
          <cell r="F74">
            <v>0.87164885972756267</v>
          </cell>
          <cell r="G74">
            <v>1.8711933791347925E-2</v>
          </cell>
          <cell r="H74">
            <v>3.6111608455106865E-4</v>
          </cell>
          <cell r="I74">
            <v>1.0725084478773038E-2</v>
          </cell>
          <cell r="J74">
            <v>1.5428423563938244E-3</v>
          </cell>
          <cell r="K74">
            <v>3.5449745149797318E-3</v>
          </cell>
          <cell r="L74">
            <v>2.4800185530835465E-3</v>
          </cell>
          <cell r="M74">
            <v>5.2164383112987165E-4</v>
          </cell>
          <cell r="N74">
            <v>9.0421278399340152E-2</v>
          </cell>
          <cell r="O74">
            <v>1.3319968655183395E-5</v>
          </cell>
          <cell r="P74">
            <v>9.6427647274614109E-6</v>
          </cell>
          <cell r="Q74">
            <v>9.6427647274614109E-6</v>
          </cell>
          <cell r="R74">
            <v>9.6427647274614109E-6</v>
          </cell>
          <cell r="S74">
            <v>1</v>
          </cell>
        </row>
        <row r="75">
          <cell r="A75" t="str">
            <v>F104M</v>
          </cell>
          <cell r="B75" t="str">
            <v>SNP - System Net Misc Plant</v>
          </cell>
          <cell r="C75">
            <v>0</v>
          </cell>
          <cell r="D75">
            <v>0</v>
          </cell>
          <cell r="E75">
            <v>0</v>
          </cell>
          <cell r="F75">
            <v>0.40685137361051088</v>
          </cell>
          <cell r="G75">
            <v>0.26565191032875735</v>
          </cell>
          <cell r="H75">
            <v>8.2420700219701909E-2</v>
          </cell>
          <cell r="I75">
            <v>4.7494781898919499E-3</v>
          </cell>
          <cell r="J75">
            <v>0.12422881700322501</v>
          </cell>
          <cell r="K75">
            <v>8.5005894274748379E-3</v>
          </cell>
          <cell r="L75">
            <v>2.8258285306598328E-4</v>
          </cell>
          <cell r="M75">
            <v>3.6611178844853088E-4</v>
          </cell>
          <cell r="N75">
            <v>7.2376855493827622E-2</v>
          </cell>
          <cell r="O75">
            <v>6.3680534764103645E-4</v>
          </cell>
          <cell r="P75">
            <v>6.2004998076277094E-3</v>
          </cell>
          <cell r="Q75">
            <v>1.5161025682856153E-2</v>
          </cell>
          <cell r="R75">
            <v>1.2573250246971352E-2</v>
          </cell>
          <cell r="S75">
            <v>1</v>
          </cell>
        </row>
        <row r="76">
          <cell r="A76" t="str">
            <v>F105</v>
          </cell>
          <cell r="B76" t="str">
            <v>STP - System Prod &amp; Trans Plant</v>
          </cell>
          <cell r="C76">
            <v>0</v>
          </cell>
          <cell r="D76">
            <v>0</v>
          </cell>
          <cell r="E76">
            <v>0</v>
          </cell>
          <cell r="F76">
            <v>0.34530906154292762</v>
          </cell>
          <cell r="G76">
            <v>0.27646989507897385</v>
          </cell>
          <cell r="H76">
            <v>8.8678384395225004E-2</v>
          </cell>
          <cell r="I76">
            <v>1.8366515087215572E-3</v>
          </cell>
          <cell r="J76">
            <v>0.16859848930684371</v>
          </cell>
          <cell r="K76">
            <v>7.0689078282960031E-3</v>
          </cell>
          <cell r="L76">
            <v>1.9947098475439691E-4</v>
          </cell>
          <cell r="M76">
            <v>3.6795071096262674E-4</v>
          </cell>
          <cell r="N76">
            <v>6.5327704755696089E-2</v>
          </cell>
          <cell r="O76">
            <v>6.1325821804119197E-4</v>
          </cell>
          <cell r="P76">
            <v>8.3836606572093176E-3</v>
          </cell>
          <cell r="Q76">
            <v>2.0194234977982041E-2</v>
          </cell>
          <cell r="R76">
            <v>1.6952330034366647E-2</v>
          </cell>
          <cell r="S76">
            <v>1</v>
          </cell>
        </row>
        <row r="77">
          <cell r="A77" t="str">
            <v>F105G</v>
          </cell>
          <cell r="B77" t="str">
            <v>SGGP - System Gross Generation Plant</v>
          </cell>
          <cell r="C77">
            <v>0</v>
          </cell>
          <cell r="D77">
            <v>0</v>
          </cell>
          <cell r="E77">
            <v>0</v>
          </cell>
          <cell r="F77">
            <v>0.34614840034762284</v>
          </cell>
          <cell r="G77">
            <v>0.27714190730544985</v>
          </cell>
          <cell r="H77">
            <v>8.8893933934608704E-2</v>
          </cell>
          <cell r="I77">
            <v>1.8411158366343089E-3</v>
          </cell>
          <cell r="J77">
            <v>0.16676583628548819</v>
          </cell>
          <cell r="K77">
            <v>7.0860901420777261E-3</v>
          </cell>
          <cell r="L77">
            <v>1.9995583660614694E-4</v>
          </cell>
          <cell r="M77">
            <v>3.6884508456680091E-4</v>
          </cell>
          <cell r="N77">
            <v>6.5486496063917571E-2</v>
          </cell>
          <cell r="O77">
            <v>6.1474885781010011E-4</v>
          </cell>
          <cell r="P77">
            <v>8.3923541517602687E-3</v>
          </cell>
          <cell r="Q77">
            <v>2.0243320875040226E-2</v>
          </cell>
          <cell r="R77">
            <v>1.6816995278417228E-2</v>
          </cell>
          <cell r="S77">
            <v>1</v>
          </cell>
        </row>
        <row r="78">
          <cell r="A78" t="str">
            <v>F105T</v>
          </cell>
          <cell r="B78" t="str">
            <v>SGTP - System Gross Transmission Plant</v>
          </cell>
          <cell r="C78">
            <v>0</v>
          </cell>
          <cell r="D78">
            <v>0</v>
          </cell>
          <cell r="E78">
            <v>0</v>
          </cell>
          <cell r="F78">
            <v>0.34340037373305027</v>
          </cell>
          <cell r="G78">
            <v>0.27494171416134194</v>
          </cell>
          <cell r="H78">
            <v>8.8188216687089913E-2</v>
          </cell>
          <cell r="I78">
            <v>1.826499460205872E-3</v>
          </cell>
          <cell r="J78">
            <v>0.17276601076781811</v>
          </cell>
          <cell r="K78">
            <v>7.0298346046142176E-3</v>
          </cell>
          <cell r="L78">
            <v>1.9836841352350088E-4</v>
          </cell>
          <cell r="M78">
            <v>3.6591687196195889E-4</v>
          </cell>
          <cell r="N78">
            <v>6.4966607386408096E-2</v>
          </cell>
          <cell r="O78">
            <v>6.0986844749809615E-4</v>
          </cell>
          <cell r="P78">
            <v>8.3638913257047861E-3</v>
          </cell>
          <cell r="Q78">
            <v>2.0082611813620106E-2</v>
          </cell>
          <cell r="R78">
            <v>1.7260086327163283E-2</v>
          </cell>
          <cell r="S78">
            <v>1</v>
          </cell>
        </row>
        <row r="79">
          <cell r="A79" t="str">
            <v>F105D</v>
          </cell>
          <cell r="B79" t="str">
            <v>SGDP - System Gross Distribution Plant</v>
          </cell>
          <cell r="C79">
            <v>0</v>
          </cell>
          <cell r="D79">
            <v>0</v>
          </cell>
          <cell r="E79">
            <v>0</v>
          </cell>
          <cell r="F79">
            <v>7.6923076923076927E-2</v>
          </cell>
          <cell r="G79">
            <v>7.6923076923076927E-2</v>
          </cell>
          <cell r="H79">
            <v>7.6923076923076927E-2</v>
          </cell>
          <cell r="I79">
            <v>7.6923076923076927E-2</v>
          </cell>
          <cell r="J79">
            <v>7.6923076923076927E-2</v>
          </cell>
          <cell r="K79">
            <v>7.6923076923076927E-2</v>
          </cell>
          <cell r="L79">
            <v>7.6923076923076927E-2</v>
          </cell>
          <cell r="M79">
            <v>7.6923076923076927E-2</v>
          </cell>
          <cell r="N79">
            <v>7.6923076923076927E-2</v>
          </cell>
          <cell r="O79">
            <v>7.6923076923076927E-2</v>
          </cell>
          <cell r="P79">
            <v>7.6923076923076927E-2</v>
          </cell>
          <cell r="Q79">
            <v>7.6923076923076927E-2</v>
          </cell>
          <cell r="R79">
            <v>7.6923076923076927E-2</v>
          </cell>
          <cell r="S79">
            <v>1</v>
          </cell>
        </row>
        <row r="80">
          <cell r="A80" t="str">
            <v>F105R</v>
          </cell>
          <cell r="B80" t="str">
            <v>SGTP - System Gross Retail Plant</v>
          </cell>
          <cell r="C80">
            <v>0</v>
          </cell>
          <cell r="D80">
            <v>0</v>
          </cell>
          <cell r="E80">
            <v>0</v>
          </cell>
          <cell r="F80">
            <v>7.6923076923076927E-2</v>
          </cell>
          <cell r="G80">
            <v>7.6923076923076927E-2</v>
          </cell>
          <cell r="H80">
            <v>7.6923076923076927E-2</v>
          </cell>
          <cell r="I80">
            <v>7.6923076923076927E-2</v>
          </cell>
          <cell r="J80">
            <v>7.6923076923076927E-2</v>
          </cell>
          <cell r="K80">
            <v>7.6923076923076927E-2</v>
          </cell>
          <cell r="L80">
            <v>7.6923076923076927E-2</v>
          </cell>
          <cell r="M80">
            <v>7.6923076923076927E-2</v>
          </cell>
          <cell r="N80">
            <v>7.6923076923076927E-2</v>
          </cell>
          <cell r="O80">
            <v>7.6923076923076927E-2</v>
          </cell>
          <cell r="P80">
            <v>7.6923076923076927E-2</v>
          </cell>
          <cell r="Q80">
            <v>7.6923076923076927E-2</v>
          </cell>
          <cell r="R80">
            <v>7.6923076923076927E-2</v>
          </cell>
          <cell r="S80">
            <v>1</v>
          </cell>
        </row>
        <row r="81">
          <cell r="A81" t="str">
            <v>F105M</v>
          </cell>
          <cell r="B81" t="str">
            <v>SGDP - System Gross Misc Plant</v>
          </cell>
          <cell r="C81">
            <v>0</v>
          </cell>
          <cell r="D81">
            <v>0</v>
          </cell>
          <cell r="E81">
            <v>0</v>
          </cell>
          <cell r="F81">
            <v>7.6923076923076927E-2</v>
          </cell>
          <cell r="G81">
            <v>7.6923076923076927E-2</v>
          </cell>
          <cell r="H81">
            <v>7.6923076923076927E-2</v>
          </cell>
          <cell r="I81">
            <v>7.6923076923076927E-2</v>
          </cell>
          <cell r="J81">
            <v>7.6923076923076927E-2</v>
          </cell>
          <cell r="K81">
            <v>7.6923076923076927E-2</v>
          </cell>
          <cell r="L81">
            <v>7.6923076923076927E-2</v>
          </cell>
          <cell r="M81">
            <v>7.6923076923076927E-2</v>
          </cell>
          <cell r="N81">
            <v>7.6923076923076927E-2</v>
          </cell>
          <cell r="O81">
            <v>7.6923076923076927E-2</v>
          </cell>
          <cell r="P81">
            <v>7.6923076923076927E-2</v>
          </cell>
          <cell r="Q81">
            <v>7.6923076923076927E-2</v>
          </cell>
          <cell r="R81">
            <v>7.6923076923076927E-2</v>
          </cell>
          <cell r="S81">
            <v>1</v>
          </cell>
        </row>
        <row r="82">
          <cell r="A82" t="str">
            <v>F106</v>
          </cell>
          <cell r="B82" t="str">
            <v>STP - System Transmission Plant</v>
          </cell>
          <cell r="C82">
            <v>0</v>
          </cell>
          <cell r="D82">
            <v>0</v>
          </cell>
          <cell r="E82">
            <v>0</v>
          </cell>
          <cell r="F82">
            <v>0.34340037373305027</v>
          </cell>
          <cell r="G82">
            <v>0.27494171416134194</v>
          </cell>
          <cell r="H82">
            <v>8.8188216687089913E-2</v>
          </cell>
          <cell r="I82">
            <v>1.826499460205872E-3</v>
          </cell>
          <cell r="J82">
            <v>0.17276601076781811</v>
          </cell>
          <cell r="K82">
            <v>7.0298346046142176E-3</v>
          </cell>
          <cell r="L82">
            <v>1.9836841352350088E-4</v>
          </cell>
          <cell r="M82">
            <v>3.6591687196195889E-4</v>
          </cell>
          <cell r="N82">
            <v>6.4966607386408096E-2</v>
          </cell>
          <cell r="O82">
            <v>6.0986844749809615E-4</v>
          </cell>
          <cell r="P82">
            <v>8.3638913257047861E-3</v>
          </cell>
          <cell r="Q82">
            <v>2.0082611813620106E-2</v>
          </cell>
          <cell r="R82">
            <v>1.7260086327163283E-2</v>
          </cell>
          <cell r="S82">
            <v>1</v>
          </cell>
        </row>
        <row r="83">
          <cell r="A83" t="str">
            <v>F107</v>
          </cell>
          <cell r="B83" t="str">
            <v>STP - System Trans &amp; Dist Plant</v>
          </cell>
          <cell r="C83">
            <v>0</v>
          </cell>
          <cell r="D83">
            <v>0</v>
          </cell>
          <cell r="E83">
            <v>0</v>
          </cell>
          <cell r="F83">
            <v>0.4692734113239776</v>
          </cell>
          <cell r="G83">
            <v>0.2546946214175056</v>
          </cell>
          <cell r="H83">
            <v>7.5669869409979079E-2</v>
          </cell>
          <cell r="I83">
            <v>1.0225004772692023E-2</v>
          </cell>
          <cell r="J83">
            <v>7.8513008008177287E-2</v>
          </cell>
          <cell r="K83">
            <v>9.8428308746933094E-3</v>
          </cell>
          <cell r="L83">
            <v>3.5266032459292163E-4</v>
          </cell>
          <cell r="M83">
            <v>3.3867493363856676E-4</v>
          </cell>
          <cell r="N83">
            <v>7.9682926035011564E-2</v>
          </cell>
          <cell r="O83">
            <v>6.5898722791939558E-4</v>
          </cell>
          <cell r="P83">
            <v>3.8233876032998581E-3</v>
          </cell>
          <cell r="Q83">
            <v>9.0974546876691001E-3</v>
          </cell>
          <cell r="R83">
            <v>7.8271633808437279E-3</v>
          </cell>
          <cell r="S83">
            <v>1</v>
          </cell>
        </row>
        <row r="84">
          <cell r="A84" t="str">
            <v>F107G</v>
          </cell>
          <cell r="B84" t="str">
            <v>SGGP - System Gross Generation Plant</v>
          </cell>
          <cell r="C84">
            <v>0</v>
          </cell>
          <cell r="D84">
            <v>0</v>
          </cell>
          <cell r="E84">
            <v>0</v>
          </cell>
          <cell r="F84">
            <v>0.34614840034762284</v>
          </cell>
          <cell r="G84">
            <v>0.27714190730544985</v>
          </cell>
          <cell r="H84">
            <v>8.8893933934608704E-2</v>
          </cell>
          <cell r="I84">
            <v>1.8411158366343089E-3</v>
          </cell>
          <cell r="J84">
            <v>0.16676583628548819</v>
          </cell>
          <cell r="K84">
            <v>7.0860901420777261E-3</v>
          </cell>
          <cell r="L84">
            <v>1.9995583660614694E-4</v>
          </cell>
          <cell r="M84">
            <v>3.6884508456680091E-4</v>
          </cell>
          <cell r="N84">
            <v>6.5486496063917571E-2</v>
          </cell>
          <cell r="O84">
            <v>6.1474885781010011E-4</v>
          </cell>
          <cell r="P84">
            <v>8.3923541517602687E-3</v>
          </cell>
          <cell r="Q84">
            <v>2.0243320875040226E-2</v>
          </cell>
          <cell r="R84">
            <v>1.6816995278417228E-2</v>
          </cell>
          <cell r="S84">
            <v>1</v>
          </cell>
        </row>
        <row r="85">
          <cell r="A85" t="str">
            <v>F107T</v>
          </cell>
          <cell r="B85" t="str">
            <v>SGTP - System Gross Transmission Plant</v>
          </cell>
          <cell r="C85">
            <v>0</v>
          </cell>
          <cell r="D85">
            <v>0</v>
          </cell>
          <cell r="E85">
            <v>0</v>
          </cell>
          <cell r="F85">
            <v>0.34340037373305027</v>
          </cell>
          <cell r="G85">
            <v>0.27494171416134194</v>
          </cell>
          <cell r="H85">
            <v>8.8188216687089913E-2</v>
          </cell>
          <cell r="I85">
            <v>1.826499460205872E-3</v>
          </cell>
          <cell r="J85">
            <v>0.17276601076781811</v>
          </cell>
          <cell r="K85">
            <v>7.0298346046142176E-3</v>
          </cell>
          <cell r="L85">
            <v>1.9836841352350088E-4</v>
          </cell>
          <cell r="M85">
            <v>3.6591687196195889E-4</v>
          </cell>
          <cell r="N85">
            <v>6.4966607386408096E-2</v>
          </cell>
          <cell r="O85">
            <v>6.0986844749809615E-4</v>
          </cell>
          <cell r="P85">
            <v>8.3638913257047861E-3</v>
          </cell>
          <cell r="Q85">
            <v>2.0082611813620106E-2</v>
          </cell>
          <cell r="R85">
            <v>1.7260086327163283E-2</v>
          </cell>
          <cell r="S85">
            <v>1</v>
          </cell>
        </row>
        <row r="86">
          <cell r="A86" t="str">
            <v>F107D</v>
          </cell>
          <cell r="B86" t="str">
            <v>SGDP - System Gross Distribution Plant</v>
          </cell>
          <cell r="C86">
            <v>0</v>
          </cell>
          <cell r="D86">
            <v>0</v>
          </cell>
          <cell r="E86">
            <v>0</v>
          </cell>
          <cell r="F86">
            <v>0.57228327124950928</v>
          </cell>
          <cell r="G86">
            <v>0.23812514611636967</v>
          </cell>
          <cell r="H86">
            <v>6.542531486363444E-2</v>
          </cell>
          <cell r="I86">
            <v>1.7098032327922709E-2</v>
          </cell>
          <cell r="J86">
            <v>1.3798204912094045E-3</v>
          </cell>
          <cell r="K86">
            <v>1.2144883461154256E-2</v>
          </cell>
          <cell r="L86">
            <v>4.7892714432723146E-4</v>
          </cell>
          <cell r="M86">
            <v>3.163811342316408E-4</v>
          </cell>
          <cell r="N86">
            <v>9.1726219433068079E-2</v>
          </cell>
          <cell r="O86">
            <v>6.9918422949930893E-4</v>
          </cell>
          <cell r="P86">
            <v>1.0760651635802231E-4</v>
          </cell>
          <cell r="Q86">
            <v>1.0760651635802231E-4</v>
          </cell>
          <cell r="R86">
            <v>1.0760651635802231E-4</v>
          </cell>
          <cell r="S86">
            <v>1</v>
          </cell>
        </row>
        <row r="87">
          <cell r="A87" t="str">
            <v>F107R</v>
          </cell>
          <cell r="B87" t="str">
            <v>SGTP - System Gross Retail Plant</v>
          </cell>
          <cell r="C87">
            <v>0</v>
          </cell>
          <cell r="D87">
            <v>0</v>
          </cell>
          <cell r="E87">
            <v>0</v>
          </cell>
          <cell r="F87">
            <v>0.57228327124950928</v>
          </cell>
          <cell r="G87">
            <v>0.23812514611636967</v>
          </cell>
          <cell r="H87">
            <v>6.542531486363444E-2</v>
          </cell>
          <cell r="I87">
            <v>1.7098032327922709E-2</v>
          </cell>
          <cell r="J87">
            <v>1.3798204912094045E-3</v>
          </cell>
          <cell r="K87">
            <v>1.2144883461154256E-2</v>
          </cell>
          <cell r="L87">
            <v>4.7892714432723146E-4</v>
          </cell>
          <cell r="M87">
            <v>3.163811342316408E-4</v>
          </cell>
          <cell r="N87">
            <v>9.1726219433068079E-2</v>
          </cell>
          <cell r="O87">
            <v>6.9918422949930893E-4</v>
          </cell>
          <cell r="P87">
            <v>1.0760651635802231E-4</v>
          </cell>
          <cell r="Q87">
            <v>1.0760651635802231E-4</v>
          </cell>
          <cell r="R87">
            <v>1.0760651635802231E-4</v>
          </cell>
          <cell r="S87">
            <v>1</v>
          </cell>
        </row>
        <row r="88">
          <cell r="A88" t="str">
            <v>F107M</v>
          </cell>
          <cell r="B88" t="str">
            <v>SGDP - System Gross Misc Plant</v>
          </cell>
          <cell r="C88">
            <v>0</v>
          </cell>
          <cell r="D88">
            <v>0</v>
          </cell>
          <cell r="E88">
            <v>0</v>
          </cell>
          <cell r="F88">
            <v>0.57228327124950928</v>
          </cell>
          <cell r="G88">
            <v>0.23812514611636967</v>
          </cell>
          <cell r="H88">
            <v>6.542531486363444E-2</v>
          </cell>
          <cell r="I88">
            <v>1.7098032327922709E-2</v>
          </cell>
          <cell r="J88">
            <v>1.3798204912094045E-3</v>
          </cell>
          <cell r="K88">
            <v>1.2144883461154256E-2</v>
          </cell>
          <cell r="L88">
            <v>4.7892714432723146E-4</v>
          </cell>
          <cell r="M88">
            <v>3.163811342316408E-4</v>
          </cell>
          <cell r="N88">
            <v>9.1726219433068079E-2</v>
          </cell>
          <cell r="O88">
            <v>6.9918422949930893E-4</v>
          </cell>
          <cell r="P88">
            <v>1.0760651635802231E-4</v>
          </cell>
          <cell r="Q88">
            <v>1.0760651635802231E-4</v>
          </cell>
          <cell r="R88">
            <v>1.0760651635802231E-4</v>
          </cell>
          <cell r="S88">
            <v>1</v>
          </cell>
        </row>
        <row r="89">
          <cell r="A89" t="str">
            <v>F108</v>
          </cell>
          <cell r="B89" t="str">
            <v>SGP - System General Plant</v>
          </cell>
          <cell r="C89">
            <v>0</v>
          </cell>
          <cell r="D89">
            <v>0</v>
          </cell>
          <cell r="E89">
            <v>0</v>
          </cell>
          <cell r="F89">
            <v>0.39962058657514998</v>
          </cell>
          <cell r="G89">
            <v>0.25900517637058285</v>
          </cell>
          <cell r="H89">
            <v>8.3226556285771428E-2</v>
          </cell>
          <cell r="I89">
            <v>6.830129603004333E-3</v>
          </cell>
          <cell r="J89">
            <v>0.12781242537183371</v>
          </cell>
          <cell r="K89">
            <v>8.7692265619291488E-3</v>
          </cell>
          <cell r="L89">
            <v>3.3421007919502292E-4</v>
          </cell>
          <cell r="M89">
            <v>4.9056652826668149E-4</v>
          </cell>
          <cell r="N89">
            <v>7.1553649843376213E-2</v>
          </cell>
          <cell r="O89">
            <v>5.9617115742151337E-4</v>
          </cell>
          <cell r="P89">
            <v>6.6494423035403797E-3</v>
          </cell>
          <cell r="Q89">
            <v>2.0650636111612497E-2</v>
          </cell>
          <cell r="R89">
            <v>1.4461223208316328E-2</v>
          </cell>
          <cell r="S89">
            <v>1</v>
          </cell>
        </row>
        <row r="90">
          <cell r="A90" t="str">
            <v>F108G</v>
          </cell>
          <cell r="B90" t="str">
            <v>SGGP - System Gen Generation Plant</v>
          </cell>
          <cell r="C90">
            <v>0</v>
          </cell>
          <cell r="D90">
            <v>0</v>
          </cell>
          <cell r="E90">
            <v>0</v>
          </cell>
          <cell r="F90">
            <v>0.31305531109819079</v>
          </cell>
          <cell r="G90">
            <v>0.27291043291549044</v>
          </cell>
          <cell r="H90">
            <v>9.3698420291891682E-2</v>
          </cell>
          <cell r="I90">
            <v>3.1522090134272797E-3</v>
          </cell>
          <cell r="J90">
            <v>0.181859949852924</v>
          </cell>
          <cell r="K90">
            <v>7.8324272955398212E-3</v>
          </cell>
          <cell r="L90">
            <v>2.2865959146025518E-4</v>
          </cell>
          <cell r="M90">
            <v>6.2382903560987107E-4</v>
          </cell>
          <cell r="N90">
            <v>6.2751583400819919E-2</v>
          </cell>
          <cell r="O90">
            <v>5.5925360027401876E-4</v>
          </cell>
          <cell r="P90">
            <v>9.6673057881361234E-3</v>
          </cell>
          <cell r="Q90">
            <v>3.2239119879182328E-2</v>
          </cell>
          <cell r="R90">
            <v>2.1421498237053457E-2</v>
          </cell>
          <cell r="S90">
            <v>1</v>
          </cell>
        </row>
        <row r="91">
          <cell r="A91" t="str">
            <v>F108T</v>
          </cell>
          <cell r="B91" t="str">
            <v>SGTP - System Gen Transmission Plant</v>
          </cell>
          <cell r="C91">
            <v>0</v>
          </cell>
          <cell r="D91">
            <v>0</v>
          </cell>
          <cell r="E91">
            <v>0</v>
          </cell>
          <cell r="F91">
            <v>0.34340257188918805</v>
          </cell>
          <cell r="G91">
            <v>0.27494347410356312</v>
          </cell>
          <cell r="H91">
            <v>8.818878119279408E-2</v>
          </cell>
          <cell r="I91">
            <v>1.8265111518966973E-3</v>
          </cell>
          <cell r="J91">
            <v>0.17276121120718207</v>
          </cell>
          <cell r="K91">
            <v>7.0298796036161564E-3</v>
          </cell>
          <cell r="L91">
            <v>1.9836968330879838E-4</v>
          </cell>
          <cell r="M91">
            <v>3.6591921424950294E-4</v>
          </cell>
          <cell r="N91">
            <v>6.4967023247186645E-2</v>
          </cell>
          <cell r="O91">
            <v>6.0987235135544075E-4</v>
          </cell>
          <cell r="P91">
            <v>8.3639140932192848E-3</v>
          </cell>
          <cell r="Q91">
            <v>2.0082740365362613E-2</v>
          </cell>
          <cell r="R91">
            <v>1.7259731897077621E-2</v>
          </cell>
          <cell r="S91">
            <v>1</v>
          </cell>
        </row>
        <row r="92">
          <cell r="A92" t="str">
            <v>F108D</v>
          </cell>
          <cell r="B92" t="str">
            <v>SGDP - System Gen Distribution Plant</v>
          </cell>
          <cell r="C92">
            <v>0</v>
          </cell>
          <cell r="D92">
            <v>0</v>
          </cell>
          <cell r="E92">
            <v>0</v>
          </cell>
          <cell r="F92">
            <v>0.5722832712495094</v>
          </cell>
          <cell r="G92">
            <v>0.23812514611636967</v>
          </cell>
          <cell r="H92">
            <v>6.542531486363444E-2</v>
          </cell>
          <cell r="I92">
            <v>1.7098032327922705E-2</v>
          </cell>
          <cell r="J92">
            <v>1.3798204912094047E-3</v>
          </cell>
          <cell r="K92">
            <v>1.2144883461154258E-2</v>
          </cell>
          <cell r="L92">
            <v>4.7892714432723162E-4</v>
          </cell>
          <cell r="M92">
            <v>3.1638113423164085E-4</v>
          </cell>
          <cell r="N92">
            <v>9.1726219433068107E-2</v>
          </cell>
          <cell r="O92">
            <v>6.9918422949930882E-4</v>
          </cell>
          <cell r="P92">
            <v>1.0760651635802233E-4</v>
          </cell>
          <cell r="Q92">
            <v>1.0760651635802233E-4</v>
          </cell>
          <cell r="R92">
            <v>1.0760651635802233E-4</v>
          </cell>
          <cell r="S92">
            <v>1</v>
          </cell>
        </row>
        <row r="93">
          <cell r="A93" t="str">
            <v>F108R</v>
          </cell>
          <cell r="B93" t="str">
            <v>SGTP - System Gen Retail Plant</v>
          </cell>
          <cell r="C93">
            <v>0</v>
          </cell>
          <cell r="D93">
            <v>0</v>
          </cell>
          <cell r="E93">
            <v>0</v>
          </cell>
          <cell r="F93">
            <v>0.87121091198399014</v>
          </cell>
          <cell r="G93">
            <v>1.8685618887272257E-2</v>
          </cell>
          <cell r="H93">
            <v>3.6060824098817972E-4</v>
          </cell>
          <cell r="I93">
            <v>1.0806265281044006E-2</v>
          </cell>
          <cell r="J93">
            <v>1.4291196877289566E-3</v>
          </cell>
          <cell r="K93">
            <v>3.5368533735182328E-3</v>
          </cell>
          <cell r="L93">
            <v>2.4986356816757084E-3</v>
          </cell>
          <cell r="M93">
            <v>5.2555973340059469E-4</v>
          </cell>
          <cell r="N93">
            <v>9.0906317860013006E-2</v>
          </cell>
          <cell r="O93">
            <v>1.3313276223762299E-5</v>
          </cell>
          <cell r="P93">
            <v>8.9319980483059787E-6</v>
          </cell>
          <cell r="Q93">
            <v>8.9319980483059787E-6</v>
          </cell>
          <cell r="R93">
            <v>8.9319980483059787E-6</v>
          </cell>
          <cell r="S93">
            <v>1</v>
          </cell>
        </row>
        <row r="94">
          <cell r="A94" t="str">
            <v>F108M</v>
          </cell>
          <cell r="B94" t="str">
            <v>SGDP - System Gen Misc Plant</v>
          </cell>
          <cell r="C94">
            <v>0</v>
          </cell>
          <cell r="D94">
            <v>0</v>
          </cell>
          <cell r="E94">
            <v>0</v>
          </cell>
          <cell r="F94">
            <v>7.6923076923076927E-2</v>
          </cell>
          <cell r="G94">
            <v>7.6923076923076927E-2</v>
          </cell>
          <cell r="H94">
            <v>7.6923076923076927E-2</v>
          </cell>
          <cell r="I94">
            <v>7.6923076923076927E-2</v>
          </cell>
          <cell r="J94">
            <v>7.6923076923076927E-2</v>
          </cell>
          <cell r="K94">
            <v>7.6923076923076927E-2</v>
          </cell>
          <cell r="L94">
            <v>7.6923076923076927E-2</v>
          </cell>
          <cell r="M94">
            <v>7.6923076923076927E-2</v>
          </cell>
          <cell r="N94">
            <v>7.6923076923076927E-2</v>
          </cell>
          <cell r="O94">
            <v>7.6923076923076927E-2</v>
          </cell>
          <cell r="P94">
            <v>7.6923076923076927E-2</v>
          </cell>
          <cell r="Q94">
            <v>7.6923076923076927E-2</v>
          </cell>
          <cell r="R94">
            <v>7.6923076923076927E-2</v>
          </cell>
          <cell r="S94">
            <v>1</v>
          </cell>
        </row>
        <row r="95">
          <cell r="A95" t="str">
            <v>F110</v>
          </cell>
          <cell r="B95" t="str">
            <v>SIP - System Intangible Plant</v>
          </cell>
          <cell r="C95">
            <v>0</v>
          </cell>
          <cell r="D95">
            <v>0</v>
          </cell>
          <cell r="E95">
            <v>0</v>
          </cell>
          <cell r="F95">
            <v>0.45665947910921073</v>
          </cell>
          <cell r="G95">
            <v>0.23158901732916684</v>
          </cell>
          <cell r="H95">
            <v>7.2009738952105204E-2</v>
          </cell>
          <cell r="I95">
            <v>5.2325962910293655E-3</v>
          </cell>
          <cell r="J95">
            <v>0.1203954023106211</v>
          </cell>
          <cell r="K95">
            <v>7.1927072962992061E-3</v>
          </cell>
          <cell r="L95">
            <v>5.9320580506181005E-4</v>
          </cell>
          <cell r="M95">
            <v>3.872933416527607E-4</v>
          </cell>
          <cell r="N95">
            <v>7.2775809131081989E-2</v>
          </cell>
          <cell r="O95">
            <v>5.3143987190643267E-4</v>
          </cell>
          <cell r="P95">
            <v>6.0107693613809981E-3</v>
          </cell>
          <cell r="Q95">
            <v>1.4512544058634372E-2</v>
          </cell>
          <cell r="R95">
            <v>1.2109997141849198E-2</v>
          </cell>
          <cell r="S95">
            <v>1</v>
          </cell>
        </row>
        <row r="96">
          <cell r="A96" t="str">
            <v>F118</v>
          </cell>
          <cell r="B96" t="str">
            <v>Account 360</v>
          </cell>
          <cell r="C96">
            <v>0</v>
          </cell>
          <cell r="D96">
            <v>0</v>
          </cell>
          <cell r="E96">
            <v>0</v>
          </cell>
          <cell r="F96">
            <v>0.4707810800032789</v>
          </cell>
          <cell r="G96">
            <v>0.33195406095819258</v>
          </cell>
          <cell r="H96">
            <v>9.6141941246542115E-2</v>
          </cell>
          <cell r="I96">
            <v>7.492994782912029E-4</v>
          </cell>
          <cell r="J96">
            <v>0</v>
          </cell>
          <cell r="K96">
            <v>1.3031919730716126E-2</v>
          </cell>
          <cell r="L96">
            <v>1.7660135383184555E-4</v>
          </cell>
          <cell r="M96">
            <v>1.6273362534603863E-4</v>
          </cell>
          <cell r="N96">
            <v>8.619861671738005E-2</v>
          </cell>
          <cell r="O96">
            <v>8.0374688642115581E-4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</row>
        <row r="97">
          <cell r="A97" t="str">
            <v>F119</v>
          </cell>
          <cell r="B97" t="str">
            <v>Account 361</v>
          </cell>
          <cell r="C97">
            <v>0</v>
          </cell>
          <cell r="D97">
            <v>0</v>
          </cell>
          <cell r="E97">
            <v>0</v>
          </cell>
          <cell r="F97">
            <v>0.4707810800032789</v>
          </cell>
          <cell r="G97">
            <v>0.33195406095819258</v>
          </cell>
          <cell r="H97">
            <v>9.6141941246542115E-2</v>
          </cell>
          <cell r="I97">
            <v>7.492994782912029E-4</v>
          </cell>
          <cell r="J97">
            <v>0</v>
          </cell>
          <cell r="K97">
            <v>1.3031919730716126E-2</v>
          </cell>
          <cell r="L97">
            <v>1.7660135383184555E-4</v>
          </cell>
          <cell r="M97">
            <v>1.6273362534603863E-4</v>
          </cell>
          <cell r="N97">
            <v>8.619861671738005E-2</v>
          </cell>
          <cell r="O97">
            <v>8.0374688642115581E-4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</row>
        <row r="98">
          <cell r="A98" t="str">
            <v>F120</v>
          </cell>
          <cell r="B98" t="str">
            <v>Account 362</v>
          </cell>
          <cell r="C98">
            <v>0</v>
          </cell>
          <cell r="D98">
            <v>0</v>
          </cell>
          <cell r="E98">
            <v>0</v>
          </cell>
          <cell r="F98">
            <v>0.47078108000327895</v>
          </cell>
          <cell r="G98">
            <v>0.33195406095819258</v>
          </cell>
          <cell r="H98">
            <v>9.6141941246542115E-2</v>
          </cell>
          <cell r="I98">
            <v>7.492994782912029E-4</v>
          </cell>
          <cell r="J98">
            <v>0</v>
          </cell>
          <cell r="K98">
            <v>1.3031919730716126E-2</v>
          </cell>
          <cell r="L98">
            <v>1.7660135383184555E-4</v>
          </cell>
          <cell r="M98">
            <v>1.6273362534603863E-4</v>
          </cell>
          <cell r="N98">
            <v>8.619861671738005E-2</v>
          </cell>
          <cell r="O98">
            <v>8.0374688642115581E-4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</row>
        <row r="99">
          <cell r="A99" t="str">
            <v>F121</v>
          </cell>
          <cell r="B99" t="str">
            <v>Account 364</v>
          </cell>
          <cell r="C99">
            <v>0</v>
          </cell>
          <cell r="D99">
            <v>0</v>
          </cell>
          <cell r="E99">
            <v>0</v>
          </cell>
          <cell r="F99">
            <v>0.46650143808336253</v>
          </cell>
          <cell r="G99">
            <v>0.32643931427058126</v>
          </cell>
          <cell r="H99">
            <v>9.4544736951166233E-2</v>
          </cell>
          <cell r="I99">
            <v>1.3361247569268569E-2</v>
          </cell>
          <cell r="J99">
            <v>0</v>
          </cell>
          <cell r="K99">
            <v>1.2815420688768167E-2</v>
          </cell>
          <cell r="L99">
            <v>1.7366747880028055E-4</v>
          </cell>
          <cell r="M99">
            <v>1.6003013463184286E-4</v>
          </cell>
          <cell r="N99">
            <v>8.521375056918884E-2</v>
          </cell>
          <cell r="O99">
            <v>7.9039425423230842E-4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</row>
        <row r="100">
          <cell r="A100" t="str">
            <v>F122</v>
          </cell>
          <cell r="B100" t="str">
            <v>Account 365</v>
          </cell>
          <cell r="C100">
            <v>0</v>
          </cell>
          <cell r="D100">
            <v>0</v>
          </cell>
          <cell r="E100">
            <v>0</v>
          </cell>
          <cell r="F100">
            <v>0.62630032180128248</v>
          </cell>
          <cell r="G100">
            <v>0.20263236706771157</v>
          </cell>
          <cell r="H100">
            <v>5.8687244473039427E-2</v>
          </cell>
          <cell r="I100">
            <v>8.316280907041753E-3</v>
          </cell>
          <cell r="J100">
            <v>0</v>
          </cell>
          <cell r="K100">
            <v>7.9549824901946307E-3</v>
          </cell>
          <cell r="L100">
            <v>1.0780151401376061E-4</v>
          </cell>
          <cell r="M100">
            <v>9.9336334703044779E-5</v>
          </cell>
          <cell r="N100">
            <v>9.5411039890973603E-2</v>
          </cell>
          <cell r="O100">
            <v>4.9062552103959261E-4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</row>
        <row r="101">
          <cell r="A101" t="str">
            <v>F123</v>
          </cell>
          <cell r="B101" t="str">
            <v>Account 366</v>
          </cell>
          <cell r="C101">
            <v>0</v>
          </cell>
          <cell r="D101">
            <v>0</v>
          </cell>
          <cell r="E101">
            <v>0</v>
          </cell>
          <cell r="F101">
            <v>0.62854085366896428</v>
          </cell>
          <cell r="G101">
            <v>0.20629135114531277</v>
          </cell>
          <cell r="H101">
            <v>5.9746974940548529E-2</v>
          </cell>
          <cell r="I101">
            <v>6.2296750022582548E-4</v>
          </cell>
          <cell r="J101">
            <v>0</v>
          </cell>
          <cell r="K101">
            <v>8.0986276278911772E-3</v>
          </cell>
          <cell r="L101">
            <v>1.0974811331092939E-4</v>
          </cell>
          <cell r="M101">
            <v>1.0113007610904755E-4</v>
          </cell>
          <cell r="N101">
            <v>9.5988862057050053E-2</v>
          </cell>
          <cell r="O101">
            <v>4.9948487058738117E-4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</row>
        <row r="102">
          <cell r="A102" t="str">
            <v>F124</v>
          </cell>
          <cell r="B102" t="str">
            <v>Account 367</v>
          </cell>
          <cell r="C102">
            <v>0</v>
          </cell>
          <cell r="D102">
            <v>0</v>
          </cell>
          <cell r="E102">
            <v>0</v>
          </cell>
          <cell r="F102">
            <v>0.5984560038114245</v>
          </cell>
          <cell r="G102">
            <v>0.22838765526518298</v>
          </cell>
          <cell r="H102">
            <v>6.6146600136656117E-2</v>
          </cell>
          <cell r="I102">
            <v>3.2858791544882475E-3</v>
          </cell>
          <cell r="J102">
            <v>0</v>
          </cell>
          <cell r="K102">
            <v>8.9660888085269716E-3</v>
          </cell>
          <cell r="L102">
            <v>1.2150346647933277E-4</v>
          </cell>
          <cell r="M102">
            <v>1.1196233303579126E-4</v>
          </cell>
          <cell r="N102">
            <v>9.3971321269832264E-2</v>
          </cell>
          <cell r="O102">
            <v>5.529857543738199E-4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</row>
        <row r="103">
          <cell r="A103" t="str">
            <v>F125</v>
          </cell>
          <cell r="B103" t="str">
            <v>Account 368</v>
          </cell>
          <cell r="C103">
            <v>0</v>
          </cell>
          <cell r="D103">
            <v>0</v>
          </cell>
          <cell r="E103">
            <v>0</v>
          </cell>
          <cell r="F103">
            <v>0.59055368391181151</v>
          </cell>
          <cell r="G103">
            <v>0.23978681675195562</v>
          </cell>
          <cell r="H103">
            <v>6.3362723263065746E-2</v>
          </cell>
          <cell r="I103">
            <v>3.6483710767670928E-3</v>
          </cell>
          <cell r="J103">
            <v>0</v>
          </cell>
          <cell r="K103">
            <v>2.5710409495489625E-2</v>
          </cell>
          <cell r="L103">
            <v>1.1517789034312014E-4</v>
          </cell>
          <cell r="M103">
            <v>8.5950976985743111E-4</v>
          </cell>
          <cell r="N103">
            <v>7.4564681784161146E-2</v>
          </cell>
          <cell r="O103">
            <v>1.3986260565486365E-3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</row>
        <row r="104">
          <cell r="A104" t="str">
            <v>F126</v>
          </cell>
          <cell r="B104" t="str">
            <v>Account 369</v>
          </cell>
          <cell r="C104">
            <v>0</v>
          </cell>
          <cell r="D104">
            <v>0</v>
          </cell>
          <cell r="E104">
            <v>0</v>
          </cell>
          <cell r="F104">
            <v>0.78247152659940289</v>
          </cell>
          <cell r="G104">
            <v>7.9505021864011857E-2</v>
          </cell>
          <cell r="H104">
            <v>3.0064817283884599E-3</v>
          </cell>
          <cell r="I104">
            <v>0</v>
          </cell>
          <cell r="J104">
            <v>0</v>
          </cell>
          <cell r="K104">
            <v>0</v>
          </cell>
          <cell r="L104">
            <v>3.1363648863416945E-3</v>
          </cell>
          <cell r="M104">
            <v>6.5969885309860956E-4</v>
          </cell>
          <cell r="N104">
            <v>0.13122090606875636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</row>
        <row r="105">
          <cell r="A105" t="str">
            <v>F127</v>
          </cell>
          <cell r="B105" t="str">
            <v>Account 370</v>
          </cell>
          <cell r="C105">
            <v>0</v>
          </cell>
          <cell r="D105">
            <v>0</v>
          </cell>
          <cell r="E105">
            <v>0</v>
          </cell>
          <cell r="F105">
            <v>0.68497890837007003</v>
          </cell>
          <cell r="G105">
            <v>0.10902835722412574</v>
          </cell>
          <cell r="H105">
            <v>1.3486620889471449E-2</v>
          </cell>
          <cell r="I105">
            <v>0</v>
          </cell>
          <cell r="J105">
            <v>3.8957800440214296E-2</v>
          </cell>
          <cell r="K105">
            <v>1.1135492495671355E-2</v>
          </cell>
          <cell r="L105">
            <v>2.0350891354208589E-3</v>
          </cell>
          <cell r="M105">
            <v>4.2805796431312178E-4</v>
          </cell>
          <cell r="N105">
            <v>0.1306353806924791</v>
          </cell>
          <cell r="O105">
            <v>1.9981764371414633E-4</v>
          </cell>
          <cell r="P105">
            <v>3.03815838150666E-3</v>
          </cell>
          <cell r="Q105">
            <v>3.03815838150666E-3</v>
          </cell>
          <cell r="R105">
            <v>3.03815838150666E-3</v>
          </cell>
          <cell r="S105">
            <v>1</v>
          </cell>
        </row>
        <row r="106">
          <cell r="A106" t="str">
            <v>F128</v>
          </cell>
          <cell r="B106" t="str">
            <v>Account 371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</row>
        <row r="107">
          <cell r="A107" t="str">
            <v>F129</v>
          </cell>
          <cell r="B107" t="str">
            <v>Account 372</v>
          </cell>
          <cell r="C107">
            <v>0</v>
          </cell>
          <cell r="D107">
            <v>0</v>
          </cell>
          <cell r="E107">
            <v>0</v>
          </cell>
          <cell r="F107">
            <v>7.6923076923076927E-2</v>
          </cell>
          <cell r="G107">
            <v>7.6923076923076927E-2</v>
          </cell>
          <cell r="H107">
            <v>7.6923076923076927E-2</v>
          </cell>
          <cell r="I107">
            <v>7.6923076923076927E-2</v>
          </cell>
          <cell r="J107">
            <v>7.6923076923076927E-2</v>
          </cell>
          <cell r="K107">
            <v>7.6923076923076927E-2</v>
          </cell>
          <cell r="L107">
            <v>7.6923076923076927E-2</v>
          </cell>
          <cell r="M107">
            <v>7.6923076923076927E-2</v>
          </cell>
          <cell r="N107">
            <v>7.6923076923076927E-2</v>
          </cell>
          <cell r="O107">
            <v>7.6923076923076927E-2</v>
          </cell>
          <cell r="P107">
            <v>7.6923076923076927E-2</v>
          </cell>
          <cell r="Q107">
            <v>7.6923076923076927E-2</v>
          </cell>
          <cell r="R107">
            <v>7.6923076923076927E-2</v>
          </cell>
          <cell r="S107">
            <v>1</v>
          </cell>
        </row>
        <row r="108">
          <cell r="A108" t="str">
            <v>F130</v>
          </cell>
          <cell r="B108" t="str">
            <v>Account 373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</row>
        <row r="109">
          <cell r="A109" t="str">
            <v>F131</v>
          </cell>
          <cell r="B109" t="str">
            <v>Account 581 thru 587 &amp; 591 thru 597</v>
          </cell>
          <cell r="C109">
            <v>0</v>
          </cell>
          <cell r="D109">
            <v>0</v>
          </cell>
          <cell r="E109">
            <v>0</v>
          </cell>
          <cell r="F109">
            <v>0.5431178716251488</v>
          </cell>
          <cell r="G109">
            <v>0.24651479307064361</v>
          </cell>
          <cell r="H109">
            <v>6.8434723782509047E-2</v>
          </cell>
          <cell r="I109">
            <v>3.5081888691545951E-2</v>
          </cell>
          <cell r="J109">
            <v>2.2844854412390034E-3</v>
          </cell>
          <cell r="K109">
            <v>9.8890964518531053E-3</v>
          </cell>
          <cell r="L109">
            <v>5.3505083595494331E-4</v>
          </cell>
          <cell r="M109">
            <v>2.0515278338273965E-4</v>
          </cell>
          <cell r="N109">
            <v>9.2822255042778745E-2</v>
          </cell>
          <cell r="O109">
            <v>5.8020944698907698E-4</v>
          </cell>
          <cell r="P109">
            <v>1.7815760931835713E-4</v>
          </cell>
          <cell r="Q109">
            <v>1.7815760931835713E-4</v>
          </cell>
          <cell r="R109">
            <v>1.7815760931835713E-4</v>
          </cell>
          <cell r="S109">
            <v>1</v>
          </cell>
        </row>
        <row r="110">
          <cell r="A110" t="str">
            <v>F132</v>
          </cell>
          <cell r="B110" t="str">
            <v>Account 364 + 365</v>
          </cell>
          <cell r="C110">
            <v>0</v>
          </cell>
          <cell r="D110">
            <v>0</v>
          </cell>
          <cell r="E110">
            <v>0</v>
          </cell>
          <cell r="F110">
            <v>0.53119782782208946</v>
          </cell>
          <cell r="G110">
            <v>0.27631466807631871</v>
          </cell>
          <cell r="H110">
            <v>8.0027424599263916E-2</v>
          </cell>
          <cell r="I110">
            <v>1.1318735620471341E-2</v>
          </cell>
          <cell r="J110">
            <v>0</v>
          </cell>
          <cell r="K110">
            <v>1.0847617180509703E-2</v>
          </cell>
          <cell r="L110">
            <v>1.4700089622347065E-4</v>
          </cell>
          <cell r="M110">
            <v>1.3545756163534266E-4</v>
          </cell>
          <cell r="N110">
            <v>8.9342238759414938E-2</v>
          </cell>
          <cell r="O110">
            <v>6.6902948407311907E-4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</row>
        <row r="111">
          <cell r="A111" t="str">
            <v>F133</v>
          </cell>
          <cell r="B111" t="str">
            <v>Account 366 + 367</v>
          </cell>
          <cell r="C111">
            <v>0</v>
          </cell>
          <cell r="D111">
            <v>0</v>
          </cell>
          <cell r="E111">
            <v>0</v>
          </cell>
          <cell r="F111">
            <v>0.60634676110342911</v>
          </cell>
          <cell r="G111">
            <v>0.22259216106508412</v>
          </cell>
          <cell r="H111">
            <v>6.4468084557505675E-2</v>
          </cell>
          <cell r="I111">
            <v>2.5874415803160363E-3</v>
          </cell>
          <cell r="J111">
            <v>0</v>
          </cell>
          <cell r="K111">
            <v>8.7385681238951549E-3</v>
          </cell>
          <cell r="L111">
            <v>1.1842023225436881E-4</v>
          </cell>
          <cell r="M111">
            <v>1.0912121164950157E-4</v>
          </cell>
          <cell r="N111">
            <v>9.4500488766231308E-2</v>
          </cell>
          <cell r="O111">
            <v>5.3895335963475384E-4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</row>
        <row r="112">
          <cell r="A112" t="str">
            <v>F134</v>
          </cell>
          <cell r="B112" t="str">
            <v>Account 364 + 365 + 369  (OH)</v>
          </cell>
          <cell r="C112">
            <v>0</v>
          </cell>
          <cell r="D112">
            <v>0</v>
          </cell>
          <cell r="E112">
            <v>0</v>
          </cell>
          <cell r="F112">
            <v>0.5646956754982182</v>
          </cell>
          <cell r="G112">
            <v>0.25007754265454785</v>
          </cell>
          <cell r="H112">
            <v>6.9759593844534146E-2</v>
          </cell>
          <cell r="I112">
            <v>9.8098101597252907E-3</v>
          </cell>
          <cell r="J112">
            <v>0</v>
          </cell>
          <cell r="K112">
            <v>9.401497551874383E-3</v>
          </cell>
          <cell r="L112">
            <v>5.4551956362379223E-4</v>
          </cell>
          <cell r="M112">
            <v>2.053453175462253E-4</v>
          </cell>
          <cell r="N112">
            <v>9.4925175713158103E-2</v>
          </cell>
          <cell r="O112">
            <v>5.7983969677197482E-4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A113" t="str">
            <v>F135</v>
          </cell>
          <cell r="B113" t="str">
            <v>Account 366 + 367 + 369  (UG)</v>
          </cell>
          <cell r="C113">
            <v>0</v>
          </cell>
          <cell r="D113">
            <v>0</v>
          </cell>
          <cell r="E113">
            <v>0</v>
          </cell>
          <cell r="F113">
            <v>0.63847973148955328</v>
          </cell>
          <cell r="G113">
            <v>0.1964867193139728</v>
          </cell>
          <cell r="H113">
            <v>5.3254761672275774E-2</v>
          </cell>
          <cell r="I113">
            <v>2.1153774532638855E-3</v>
          </cell>
          <cell r="J113">
            <v>0</v>
          </cell>
          <cell r="K113">
            <v>7.1442656420634843E-3</v>
          </cell>
          <cell r="L113">
            <v>6.6902721772664649E-4</v>
          </cell>
          <cell r="M113">
            <v>2.0957099790259236E-4</v>
          </cell>
          <cell r="N113">
            <v>0.10119992185518628</v>
          </cell>
          <cell r="O113">
            <v>4.4062435805523664E-4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A114" t="str">
            <v>F136</v>
          </cell>
          <cell r="B114" t="str">
            <v>Account 902 + 903 + 904</v>
          </cell>
          <cell r="C114">
            <v>0</v>
          </cell>
          <cell r="D114">
            <v>0</v>
          </cell>
          <cell r="E114">
            <v>0</v>
          </cell>
          <cell r="F114">
            <v>0.85278051655847564</v>
          </cell>
          <cell r="G114">
            <v>3.1575841689494413E-2</v>
          </cell>
          <cell r="H114">
            <v>5.8266424581653008E-3</v>
          </cell>
          <cell r="I114">
            <v>7.6249230415128605E-3</v>
          </cell>
          <cell r="J114">
            <v>8.2904151394039612E-3</v>
          </cell>
          <cell r="K114">
            <v>3.4825089585814868E-3</v>
          </cell>
          <cell r="L114">
            <v>2.1749138845496823E-3</v>
          </cell>
          <cell r="M114">
            <v>4.5746851760581562E-4</v>
          </cell>
          <cell r="N114">
            <v>8.771127807081136E-2</v>
          </cell>
          <cell r="O114">
            <v>1.0739860096555443E-5</v>
          </cell>
          <cell r="P114">
            <v>1.1525982314316034E-5</v>
          </cell>
          <cell r="Q114">
            <v>2.6612919494371003E-5</v>
          </cell>
          <cell r="R114">
            <v>2.6612919494371003E-5</v>
          </cell>
          <cell r="S114">
            <v>1</v>
          </cell>
        </row>
        <row r="115">
          <cell r="A115" t="str">
            <v>F137</v>
          </cell>
          <cell r="B115" t="str">
            <v>Total O &amp; M Expense</v>
          </cell>
          <cell r="C115">
            <v>0</v>
          </cell>
          <cell r="D115">
            <v>0</v>
          </cell>
          <cell r="E115">
            <v>0</v>
          </cell>
          <cell r="F115">
            <v>0.35856042356017565</v>
          </cell>
          <cell r="G115">
            <v>0.26408203129872732</v>
          </cell>
          <cell r="H115">
            <v>8.7416190333786933E-2</v>
          </cell>
          <cell r="I115">
            <v>5.6071649845686614E-3</v>
          </cell>
          <cell r="J115">
            <v>0.1568768956047466</v>
          </cell>
          <cell r="K115">
            <v>7.3824965335934295E-3</v>
          </cell>
          <cell r="L115">
            <v>3.1879840396214099E-4</v>
          </cell>
          <cell r="M115">
            <v>5.1255252231742553E-4</v>
          </cell>
          <cell r="N115">
            <v>6.7150571991724542E-2</v>
          </cell>
          <cell r="O115">
            <v>5.5482104554298002E-4</v>
          </cell>
          <cell r="P115">
            <v>8.2044122989504802E-3</v>
          </cell>
          <cell r="Q115">
            <v>2.5660312901860344E-2</v>
          </cell>
          <cell r="R115">
            <v>1.7673328520043777E-2</v>
          </cell>
          <cell r="S115">
            <v>1</v>
          </cell>
        </row>
        <row r="116">
          <cell r="A116" t="str">
            <v>F137G</v>
          </cell>
          <cell r="B116" t="str">
            <v>Generation O &amp; M Exp</v>
          </cell>
          <cell r="C116">
            <v>0</v>
          </cell>
          <cell r="D116">
            <v>0</v>
          </cell>
          <cell r="E116">
            <v>0</v>
          </cell>
          <cell r="F116">
            <v>0.31840108073022311</v>
          </cell>
          <cell r="G116">
            <v>0.27489015835754088</v>
          </cell>
          <cell r="H116">
            <v>9.28799971629925E-2</v>
          </cell>
          <cell r="I116">
            <v>2.8373136903540215E-3</v>
          </cell>
          <cell r="J116">
            <v>0.17901149232130834</v>
          </cell>
          <cell r="K116">
            <v>7.3163055943166978E-3</v>
          </cell>
          <cell r="L116">
            <v>2.2388434206237063E-4</v>
          </cell>
          <cell r="M116">
            <v>5.5885548905086093E-4</v>
          </cell>
          <cell r="N116">
            <v>6.3557195281612508E-2</v>
          </cell>
          <cell r="O116">
            <v>5.6909834147879921E-4</v>
          </cell>
          <cell r="P116">
            <v>9.4140076515919647E-3</v>
          </cell>
          <cell r="Q116">
            <v>2.9945680984222671E-2</v>
          </cell>
          <cell r="R116">
            <v>2.0394930053245407E-2</v>
          </cell>
          <cell r="S116">
            <v>1</v>
          </cell>
        </row>
        <row r="117">
          <cell r="A117" t="str">
            <v>F137T</v>
          </cell>
          <cell r="B117" t="str">
            <v>Transmission O &amp; M Exp</v>
          </cell>
          <cell r="C117">
            <v>0</v>
          </cell>
          <cell r="D117">
            <v>0</v>
          </cell>
          <cell r="E117">
            <v>0</v>
          </cell>
          <cell r="F117">
            <v>0.33895056728158685</v>
          </cell>
          <cell r="G117">
            <v>0.2774814878170751</v>
          </cell>
          <cell r="H117">
            <v>8.9573892868729493E-2</v>
          </cell>
          <cell r="I117">
            <v>2.0966280983772609E-3</v>
          </cell>
          <cell r="J117">
            <v>0.17064686796817535</v>
          </cell>
          <cell r="K117">
            <v>6.6133241894246759E-3</v>
          </cell>
          <cell r="L117">
            <v>2.0857420033217538E-4</v>
          </cell>
          <cell r="M117">
            <v>3.8984768033234815E-4</v>
          </cell>
          <cell r="N117">
            <v>6.5627016161163718E-2</v>
          </cell>
          <cell r="O117">
            <v>6.0197378070384121E-4</v>
          </cell>
          <cell r="P117">
            <v>8.4978283758878718E-3</v>
          </cell>
          <cell r="Q117">
            <v>2.1964538398993386E-2</v>
          </cell>
          <cell r="R117">
            <v>1.7347453179217813E-2</v>
          </cell>
          <cell r="S117">
            <v>1</v>
          </cell>
        </row>
        <row r="118">
          <cell r="A118" t="str">
            <v>F137D</v>
          </cell>
          <cell r="B118" t="str">
            <v xml:space="preserve">Distribution O &amp; M Exp </v>
          </cell>
          <cell r="C118">
            <v>0</v>
          </cell>
          <cell r="D118">
            <v>0</v>
          </cell>
          <cell r="E118">
            <v>0</v>
          </cell>
          <cell r="F118">
            <v>0.54054031867854702</v>
          </cell>
          <cell r="G118">
            <v>0.2461890671172916</v>
          </cell>
          <cell r="H118">
            <v>6.8700137085952476E-2</v>
          </cell>
          <cell r="I118">
            <v>3.2343825477048005E-2</v>
          </cell>
          <cell r="J118">
            <v>6.8528358164167708E-3</v>
          </cell>
          <cell r="K118">
            <v>1.0059659944078982E-2</v>
          </cell>
          <cell r="L118">
            <v>5.2232906993957364E-4</v>
          </cell>
          <cell r="M118">
            <v>2.2619038922403308E-4</v>
          </cell>
          <cell r="N118">
            <v>9.1930770224364466E-2</v>
          </cell>
          <cell r="O118">
            <v>5.9198657123027431E-4</v>
          </cell>
          <cell r="P118">
            <v>4.1141948484687803E-4</v>
          </cell>
          <cell r="Q118">
            <v>9.3045285313566217E-4</v>
          </cell>
          <cell r="R118">
            <v>7.0100728792423265E-4</v>
          </cell>
          <cell r="S118">
            <v>1</v>
          </cell>
        </row>
        <row r="119">
          <cell r="A119" t="str">
            <v>F137R</v>
          </cell>
          <cell r="B119" t="str">
            <v>Retail O &amp; M Exp  (Customer)</v>
          </cell>
          <cell r="C119">
            <v>0</v>
          </cell>
          <cell r="D119">
            <v>0</v>
          </cell>
          <cell r="E119">
            <v>0</v>
          </cell>
          <cell r="F119">
            <v>0.85462793204989895</v>
          </cell>
          <cell r="G119">
            <v>2.9766302619335355E-2</v>
          </cell>
          <cell r="H119">
            <v>5.1027399152060414E-3</v>
          </cell>
          <cell r="I119">
            <v>8.1562395414022278E-3</v>
          </cell>
          <cell r="J119">
            <v>7.2382114561459843E-3</v>
          </cell>
          <cell r="K119">
            <v>3.4786308743713595E-3</v>
          </cell>
          <cell r="L119">
            <v>2.2438569753083942E-3</v>
          </cell>
          <cell r="M119">
            <v>4.7260755430000574E-4</v>
          </cell>
          <cell r="N119">
            <v>8.8805752511835381E-2</v>
          </cell>
          <cell r="O119">
            <v>1.0661010195594862E-5</v>
          </cell>
          <cell r="P119">
            <v>1.1511389664271826E-5</v>
          </cell>
          <cell r="Q119">
            <v>5.3512403418519102E-5</v>
          </cell>
          <cell r="R119">
            <v>3.2041698918036537E-5</v>
          </cell>
          <cell r="S119">
            <v>1</v>
          </cell>
        </row>
        <row r="120">
          <cell r="A120" t="str">
            <v>F137M</v>
          </cell>
          <cell r="B120" t="str">
            <v xml:space="preserve">Misc &amp; Customer O &amp; M Exp </v>
          </cell>
          <cell r="C120">
            <v>0</v>
          </cell>
          <cell r="D120">
            <v>0</v>
          </cell>
          <cell r="E120">
            <v>0</v>
          </cell>
          <cell r="F120">
            <v>0.40699770433233368</v>
          </cell>
          <cell r="G120">
            <v>0.26604829024262955</v>
          </cell>
          <cell r="H120">
            <v>8.2358502052883642E-2</v>
          </cell>
          <cell r="I120">
            <v>5.9844966363501381E-3</v>
          </cell>
          <cell r="J120">
            <v>0.12315062656674258</v>
          </cell>
          <cell r="K120">
            <v>8.4484920904371388E-3</v>
          </cell>
          <cell r="L120">
            <v>2.7542354000494149E-4</v>
          </cell>
          <cell r="M120">
            <v>3.539347696718907E-4</v>
          </cell>
          <cell r="N120">
            <v>7.2502478242994509E-2</v>
          </cell>
          <cell r="O120">
            <v>6.3661179214994442E-4</v>
          </cell>
          <cell r="P120">
            <v>6.1343366117120202E-3</v>
          </cell>
          <cell r="Q120">
            <v>1.4734950200145413E-2</v>
          </cell>
          <cell r="R120">
            <v>1.2374152921944659E-2</v>
          </cell>
          <cell r="S120">
            <v>1</v>
          </cell>
        </row>
        <row r="121">
          <cell r="A121" t="str">
            <v>F138</v>
          </cell>
          <cell r="B121" t="str">
            <v>GTD O&amp;M Exp  (less fuel, purchased p &amp; wheeling)</v>
          </cell>
          <cell r="C121">
            <v>0</v>
          </cell>
          <cell r="D121">
            <v>0</v>
          </cell>
          <cell r="E121">
            <v>0</v>
          </cell>
          <cell r="F121">
            <v>0.46517393622124814</v>
          </cell>
          <cell r="G121">
            <v>0.23729080594656712</v>
          </cell>
          <cell r="H121">
            <v>7.2588071346608274E-2</v>
          </cell>
          <cell r="I121">
            <v>1.2031280264176913E-2</v>
          </cell>
          <cell r="J121">
            <v>0.1007919216307373</v>
          </cell>
          <cell r="K121">
            <v>7.42366622621758E-3</v>
          </cell>
          <cell r="L121">
            <v>5.5102135080567125E-4</v>
          </cell>
          <cell r="M121">
            <v>3.3698989659877856E-4</v>
          </cell>
          <cell r="N121">
            <v>7.6082075124231374E-2</v>
          </cell>
          <cell r="O121">
            <v>5.2857010985461598E-4</v>
          </cell>
          <cell r="P121">
            <v>5.0265419999859689E-3</v>
          </cell>
          <cell r="Q121">
            <v>1.2105576169874109E-2</v>
          </cell>
          <cell r="R121">
            <v>1.0069543713093786E-2</v>
          </cell>
          <cell r="S121">
            <v>1</v>
          </cell>
        </row>
        <row r="122">
          <cell r="A122" t="str">
            <v>F138G</v>
          </cell>
          <cell r="B122" t="str">
            <v xml:space="preserve">Generation O &amp; M Exp (less fuel &amp; purchased power) </v>
          </cell>
          <cell r="C122">
            <v>0</v>
          </cell>
          <cell r="D122">
            <v>0</v>
          </cell>
          <cell r="E122">
            <v>0</v>
          </cell>
          <cell r="F122">
            <v>0.34573284175561814</v>
          </cell>
          <cell r="G122">
            <v>0.27709023300000502</v>
          </cell>
          <cell r="H122">
            <v>8.8955862930045884E-2</v>
          </cell>
          <cell r="I122">
            <v>1.8575802547006596E-3</v>
          </cell>
          <cell r="J122">
            <v>0.16695712064381904</v>
          </cell>
          <cell r="K122">
            <v>7.0902242885279038E-3</v>
          </cell>
          <cell r="L122">
            <v>2.003251320436722E-4</v>
          </cell>
          <cell r="M122">
            <v>3.7205224265470145E-4</v>
          </cell>
          <cell r="N122">
            <v>6.5452956264633835E-2</v>
          </cell>
          <cell r="O122">
            <v>6.1407458999095165E-4</v>
          </cell>
          <cell r="P122">
            <v>8.408354916744255E-3</v>
          </cell>
          <cell r="Q122">
            <v>2.0393874334921392E-2</v>
          </cell>
          <cell r="R122">
            <v>1.6874499646294477E-2</v>
          </cell>
          <cell r="S122">
            <v>1</v>
          </cell>
        </row>
        <row r="123">
          <cell r="A123" t="str">
            <v>F138T</v>
          </cell>
          <cell r="B123" t="str">
            <v>Transmission O &amp; M Exp - (less wheeling exp)</v>
          </cell>
          <cell r="C123">
            <v>0</v>
          </cell>
          <cell r="D123">
            <v>0</v>
          </cell>
          <cell r="E123">
            <v>0</v>
          </cell>
          <cell r="F123">
            <v>0.34347145415227098</v>
          </cell>
          <cell r="G123">
            <v>0.27499862432742989</v>
          </cell>
          <cell r="H123">
            <v>8.820647075986307E-2</v>
          </cell>
          <cell r="I123">
            <v>1.8268775272007522E-3</v>
          </cell>
          <cell r="J123">
            <v>0.17261081033586431</v>
          </cell>
          <cell r="K123">
            <v>7.0312897095848852E-3</v>
          </cell>
          <cell r="L123">
            <v>1.9840947378747239E-4</v>
          </cell>
          <cell r="M123">
            <v>3.6599261306956515E-4</v>
          </cell>
          <cell r="N123">
            <v>6.4980054819904362E-2</v>
          </cell>
          <cell r="O123">
            <v>6.0999468412517479E-4</v>
          </cell>
          <cell r="P123">
            <v>8.3646275447783174E-3</v>
          </cell>
          <cell r="Q123">
            <v>2.0086768712027765E-2</v>
          </cell>
          <cell r="R123">
            <v>1.724862534009319E-2</v>
          </cell>
          <cell r="S123">
            <v>1</v>
          </cell>
        </row>
        <row r="124">
          <cell r="A124" t="str">
            <v>F138D</v>
          </cell>
          <cell r="B124" t="str">
            <v xml:space="preserve">Distribution O &amp; M Exp </v>
          </cell>
          <cell r="C124">
            <v>0</v>
          </cell>
          <cell r="D124">
            <v>0</v>
          </cell>
          <cell r="E124">
            <v>0</v>
          </cell>
          <cell r="F124">
            <v>0.5431178716251488</v>
          </cell>
          <cell r="G124">
            <v>0.24651479307064361</v>
          </cell>
          <cell r="H124">
            <v>6.8434723782509033E-2</v>
          </cell>
          <cell r="I124">
            <v>3.5081888691545951E-2</v>
          </cell>
          <cell r="J124">
            <v>2.2844854412390034E-3</v>
          </cell>
          <cell r="K124">
            <v>9.8890964518531053E-3</v>
          </cell>
          <cell r="L124">
            <v>5.3505083595494331E-4</v>
          </cell>
          <cell r="M124">
            <v>2.0515278338273965E-4</v>
          </cell>
          <cell r="N124">
            <v>9.2822255042778745E-2</v>
          </cell>
          <cell r="O124">
            <v>5.8020944698907698E-4</v>
          </cell>
          <cell r="P124">
            <v>1.7815760931835713E-4</v>
          </cell>
          <cell r="Q124">
            <v>1.7815760931835713E-4</v>
          </cell>
          <cell r="R124">
            <v>1.7815760931835713E-4</v>
          </cell>
          <cell r="S124">
            <v>1</v>
          </cell>
        </row>
        <row r="125">
          <cell r="A125" t="str">
            <v>F138R</v>
          </cell>
          <cell r="B125" t="str">
            <v>Retail O &amp; M Exp  (Customer)</v>
          </cell>
          <cell r="C125">
            <v>0</v>
          </cell>
          <cell r="D125">
            <v>0</v>
          </cell>
          <cell r="E125">
            <v>0</v>
          </cell>
          <cell r="F125">
            <v>0.85454842705351874</v>
          </cell>
          <cell r="G125">
            <v>2.9871586495254121E-2</v>
          </cell>
          <cell r="H125">
            <v>5.1189405745740036E-3</v>
          </cell>
          <cell r="I125">
            <v>8.1505737721491688E-3</v>
          </cell>
          <cell r="J125">
            <v>7.2430263247767529E-3</v>
          </cell>
          <cell r="K125">
            <v>3.478116703819274E-3</v>
          </cell>
          <cell r="L125">
            <v>2.2429671332991571E-3</v>
          </cell>
          <cell r="M125">
            <v>4.7178274818057155E-4</v>
          </cell>
          <cell r="N125">
            <v>8.8806672142818829E-2</v>
          </cell>
          <cell r="O125">
            <v>1.1063298841235599E-5</v>
          </cell>
          <cell r="P125">
            <v>1.0190875656186684E-5</v>
          </cell>
          <cell r="Q125">
            <v>2.3326438556021258E-5</v>
          </cell>
          <cell r="R125">
            <v>2.3326438556021258E-5</v>
          </cell>
          <cell r="S125">
            <v>1</v>
          </cell>
        </row>
        <row r="126">
          <cell r="A126" t="str">
            <v>F138M</v>
          </cell>
          <cell r="B126" t="str">
            <v xml:space="preserve">Misc &amp; Customer O &amp; M Exp </v>
          </cell>
          <cell r="C126">
            <v>0</v>
          </cell>
          <cell r="D126">
            <v>0</v>
          </cell>
          <cell r="E126">
            <v>0</v>
          </cell>
          <cell r="F126">
            <v>7.6923076923076927E-2</v>
          </cell>
          <cell r="G126">
            <v>7.6923076923076927E-2</v>
          </cell>
          <cell r="H126">
            <v>7.6923076923076927E-2</v>
          </cell>
          <cell r="I126">
            <v>7.6923076923076927E-2</v>
          </cell>
          <cell r="J126">
            <v>7.6923076923076927E-2</v>
          </cell>
          <cell r="K126">
            <v>7.6923076923076927E-2</v>
          </cell>
          <cell r="L126">
            <v>7.6923076923076927E-2</v>
          </cell>
          <cell r="M126">
            <v>7.6923076923076927E-2</v>
          </cell>
          <cell r="N126">
            <v>7.6923076923076927E-2</v>
          </cell>
          <cell r="O126">
            <v>7.6923076923076927E-2</v>
          </cell>
          <cell r="P126">
            <v>7.6923076923076927E-2</v>
          </cell>
          <cell r="Q126">
            <v>7.6923076923076927E-2</v>
          </cell>
          <cell r="R126">
            <v>7.6923076923076927E-2</v>
          </cell>
          <cell r="S126">
            <v>1</v>
          </cell>
        </row>
        <row r="127">
          <cell r="A127" t="str">
            <v>F140</v>
          </cell>
          <cell r="B127" t="str">
            <v>Revenue Requirement Before Rev Credits</v>
          </cell>
          <cell r="C127">
            <v>0</v>
          </cell>
          <cell r="D127">
            <v>0</v>
          </cell>
          <cell r="E127">
            <v>0</v>
          </cell>
          <cell r="F127">
            <v>0.37505823624434115</v>
          </cell>
          <cell r="G127">
            <v>0.26948475987658699</v>
          </cell>
          <cell r="H127">
            <v>8.5323444400192405E-2</v>
          </cell>
          <cell r="I127">
            <v>6.2248956332308421E-3</v>
          </cell>
          <cell r="J127">
            <v>0.14112117538759233</v>
          </cell>
          <cell r="K127">
            <v>7.5848585070070248E-3</v>
          </cell>
          <cell r="L127">
            <v>3.0627381927896295E-4</v>
          </cell>
          <cell r="M127">
            <v>5.4240176599364414E-4</v>
          </cell>
          <cell r="N127">
            <v>7.058829374083897E-2</v>
          </cell>
          <cell r="O127">
            <v>5.5952035071762539E-4</v>
          </cell>
          <cell r="P127">
            <v>7.1657475890743588E-3</v>
          </cell>
          <cell r="Q127">
            <v>2.0780556627261665E-2</v>
          </cell>
          <cell r="R127">
            <v>1.5259835962699805E-2</v>
          </cell>
          <cell r="S127">
            <v>1</v>
          </cell>
        </row>
        <row r="128">
          <cell r="A128" t="str">
            <v>F140G</v>
          </cell>
          <cell r="B128" t="str">
            <v>Revenue Requirement Before Rev Credits</v>
          </cell>
          <cell r="C128">
            <v>0</v>
          </cell>
          <cell r="D128">
            <v>0</v>
          </cell>
          <cell r="E128">
            <v>0</v>
          </cell>
          <cell r="F128">
            <v>0.32345560665046424</v>
          </cell>
          <cell r="G128">
            <v>0.27990417112480165</v>
          </cell>
          <cell r="H128">
            <v>9.1972295333427032E-2</v>
          </cell>
          <cell r="I128">
            <v>2.8535491497781004E-3</v>
          </cell>
          <cell r="J128">
            <v>0.17356925245933538</v>
          </cell>
          <cell r="K128">
            <v>7.1343074034468353E-3</v>
          </cell>
          <cell r="L128">
            <v>2.1913600479901653E-4</v>
          </cell>
          <cell r="M128">
            <v>5.8940176295765097E-4</v>
          </cell>
          <cell r="N128">
            <v>6.4992486347540679E-2</v>
          </cell>
          <cell r="O128">
            <v>5.6176801710514513E-4</v>
          </cell>
          <cell r="P128">
            <v>8.925116767555908E-3</v>
          </cell>
          <cell r="Q128">
            <v>2.6688648812033706E-2</v>
          </cell>
          <cell r="R128">
            <v>1.9134260166837561E-2</v>
          </cell>
          <cell r="S128">
            <v>1</v>
          </cell>
        </row>
        <row r="129">
          <cell r="A129" t="str">
            <v>F140T</v>
          </cell>
          <cell r="B129" t="str">
            <v>Revenue Requirement Before Rev Credits</v>
          </cell>
          <cell r="C129">
            <v>0</v>
          </cell>
          <cell r="D129">
            <v>0</v>
          </cell>
          <cell r="E129">
            <v>0</v>
          </cell>
          <cell r="F129">
            <v>0.34040366652016457</v>
          </cell>
          <cell r="G129">
            <v>0.28594839817307288</v>
          </cell>
          <cell r="H129">
            <v>8.8673588226581029E-2</v>
          </cell>
          <cell r="I129">
            <v>2.2135475988279999E-3</v>
          </cell>
          <cell r="J129">
            <v>0.16518041477589901</v>
          </cell>
          <cell r="K129">
            <v>6.5742527057948662E-3</v>
          </cell>
          <cell r="L129">
            <v>1.9901201700667784E-4</v>
          </cell>
          <cell r="M129">
            <v>4.9595426863632505E-4</v>
          </cell>
          <cell r="N129">
            <v>6.727319024616378E-2</v>
          </cell>
          <cell r="O129">
            <v>5.7197402841294414E-4</v>
          </cell>
          <cell r="P129">
            <v>7.853655965978654E-3</v>
          </cell>
          <cell r="Q129">
            <v>1.8390929579941828E-2</v>
          </cell>
          <cell r="R129">
            <v>1.6221415892982562E-2</v>
          </cell>
          <cell r="S129">
            <v>1</v>
          </cell>
        </row>
        <row r="130">
          <cell r="A130" t="str">
            <v>F140D</v>
          </cell>
          <cell r="B130" t="str">
            <v>Revenue Requirement Before Rev Credits</v>
          </cell>
          <cell r="C130">
            <v>0</v>
          </cell>
          <cell r="D130">
            <v>0</v>
          </cell>
          <cell r="E130">
            <v>0</v>
          </cell>
          <cell r="F130">
            <v>0.5535515496212009</v>
          </cell>
          <cell r="G130">
            <v>0.24732836856459947</v>
          </cell>
          <cell r="H130">
            <v>6.5904103533668282E-2</v>
          </cell>
          <cell r="I130">
            <v>2.3523698505864148E-2</v>
          </cell>
          <cell r="J130">
            <v>2.6127361761412293E-3</v>
          </cell>
          <cell r="K130">
            <v>1.0876179184792356E-2</v>
          </cell>
          <cell r="L130">
            <v>4.9069884425070062E-4</v>
          </cell>
          <cell r="M130">
            <v>3.9392832348767733E-4</v>
          </cell>
          <cell r="N130">
            <v>9.3801614168634126E-2</v>
          </cell>
          <cell r="O130">
            <v>6.1975327041352416E-4</v>
          </cell>
          <cell r="P130">
            <v>2.051151184985279E-4</v>
          </cell>
          <cell r="Q130">
            <v>3.8416839711429446E-4</v>
          </cell>
          <cell r="R130">
            <v>3.0808629187298905E-4</v>
          </cell>
          <cell r="S130">
            <v>1</v>
          </cell>
        </row>
        <row r="131">
          <cell r="A131" t="str">
            <v>F140R</v>
          </cell>
          <cell r="B131" t="str">
            <v>Revenue Requirement Before Rev Credits</v>
          </cell>
          <cell r="C131">
            <v>0</v>
          </cell>
          <cell r="D131">
            <v>0</v>
          </cell>
          <cell r="E131">
            <v>0</v>
          </cell>
          <cell r="F131">
            <v>0.83449756794297336</v>
          </cell>
          <cell r="G131">
            <v>3.1776467014015243E-2</v>
          </cell>
          <cell r="H131">
            <v>7.9134955238763238E-3</v>
          </cell>
          <cell r="I131">
            <v>8.0083814809114601E-3</v>
          </cell>
          <cell r="J131">
            <v>1.6644601801912223E-2</v>
          </cell>
          <cell r="K131">
            <v>3.6765803802998945E-3</v>
          </cell>
          <cell r="L131">
            <v>2.1418791277244783E-3</v>
          </cell>
          <cell r="M131">
            <v>4.6284605287676416E-4</v>
          </cell>
          <cell r="N131">
            <v>9.2217271981541463E-2</v>
          </cell>
          <cell r="O131">
            <v>1.414913500044821E-5</v>
          </cell>
          <cell r="P131">
            <v>4.9453532526993607E-5</v>
          </cell>
          <cell r="Q131">
            <v>2.4897081761200883E-3</v>
          </cell>
          <cell r="R131">
            <v>1.0759785025636462E-4</v>
          </cell>
          <cell r="S131">
            <v>1</v>
          </cell>
        </row>
        <row r="132">
          <cell r="A132" t="str">
            <v>F140M</v>
          </cell>
          <cell r="B132" t="str">
            <v>Revenue Requirement Before Rev Credits</v>
          </cell>
          <cell r="C132">
            <v>0</v>
          </cell>
          <cell r="D132">
            <v>0</v>
          </cell>
          <cell r="E132">
            <v>0</v>
          </cell>
          <cell r="F132">
            <v>0.4008933906799596</v>
          </cell>
          <cell r="G132">
            <v>0.27005325479842512</v>
          </cell>
          <cell r="H132">
            <v>8.2857855476646716E-2</v>
          </cell>
          <cell r="I132">
            <v>6.1279199469340909E-3</v>
          </cell>
          <cell r="J132">
            <v>0.12456007410233134</v>
          </cell>
          <cell r="K132">
            <v>8.2459172449810669E-3</v>
          </cell>
          <cell r="L132">
            <v>2.7132674499582009E-4</v>
          </cell>
          <cell r="M132">
            <v>4.2077989136409498E-4</v>
          </cell>
          <cell r="N132">
            <v>7.2762968101757447E-2</v>
          </cell>
          <cell r="O132">
            <v>6.194589706302586E-4</v>
          </cell>
          <cell r="P132">
            <v>6.1358459068860862E-3</v>
          </cell>
          <cell r="Q132">
            <v>1.4596525376861914E-2</v>
          </cell>
          <cell r="R132">
            <v>1.2454657765642975E-2</v>
          </cell>
          <cell r="S132">
            <v>1</v>
          </cell>
        </row>
        <row r="133">
          <cell r="A133" t="str">
            <v>F141</v>
          </cell>
          <cell r="B133" t="str">
            <v>Firm Revenues</v>
          </cell>
          <cell r="C133">
            <v>0</v>
          </cell>
          <cell r="D133">
            <v>0</v>
          </cell>
          <cell r="E133">
            <v>0</v>
          </cell>
          <cell r="F133">
            <v>0.37643136257302112</v>
          </cell>
          <cell r="G133">
            <v>0.27920039270360569</v>
          </cell>
          <cell r="H133">
            <v>8.4185226772836047E-2</v>
          </cell>
          <cell r="I133">
            <v>8.3493834430601373E-3</v>
          </cell>
          <cell r="J133">
            <v>0.130425341209151</v>
          </cell>
          <cell r="K133">
            <v>7.3454479183869981E-3</v>
          </cell>
          <cell r="L133">
            <v>3.1777179730256154E-4</v>
          </cell>
          <cell r="M133">
            <v>7.3596122162594702E-4</v>
          </cell>
          <cell r="N133">
            <v>7.3955908745865995E-2</v>
          </cell>
          <cell r="O133">
            <v>5.0233728575399561E-4</v>
          </cell>
          <cell r="P133">
            <v>6.3787094230879655E-3</v>
          </cell>
          <cell r="Q133">
            <v>1.831085355368715E-2</v>
          </cell>
          <cell r="R133">
            <v>1.3861303352615281E-2</v>
          </cell>
          <cell r="S133">
            <v>1</v>
          </cell>
        </row>
        <row r="134">
          <cell r="A134" t="str">
            <v>F150</v>
          </cell>
          <cell r="B134" t="str">
            <v>Income Before State Taxes</v>
          </cell>
          <cell r="C134">
            <v>0</v>
          </cell>
          <cell r="D134">
            <v>0</v>
          </cell>
          <cell r="E134">
            <v>0</v>
          </cell>
          <cell r="F134">
            <v>0.31666138585334658</v>
          </cell>
          <cell r="G134">
            <v>8.9171824318046752E-2</v>
          </cell>
          <cell r="H134">
            <v>0.10668090369819894</v>
          </cell>
          <cell r="I134">
            <v>-1.4240228783217282E-2</v>
          </cell>
          <cell r="J134">
            <v>0.33924515920253306</v>
          </cell>
          <cell r="K134">
            <v>1.3993169810290165E-2</v>
          </cell>
          <cell r="L134">
            <v>-1.4288530914343792E-5</v>
          </cell>
          <cell r="M134">
            <v>-2.7658728452215398E-3</v>
          </cell>
          <cell r="N134">
            <v>1.8540335250869303E-2</v>
          </cell>
          <cell r="O134">
            <v>1.4466366042718783E-3</v>
          </cell>
          <cell r="P134">
            <v>2.0628587185430741E-2</v>
          </cell>
          <cell r="Q134">
            <v>7.0892999980082902E-2</v>
          </cell>
          <cell r="R134">
            <v>3.9759391446429593E-2</v>
          </cell>
          <cell r="S134">
            <v>1</v>
          </cell>
        </row>
        <row r="135">
          <cell r="A135" t="str">
            <v>F150G</v>
          </cell>
          <cell r="B135" t="str">
            <v>Income Before State Taxes</v>
          </cell>
          <cell r="C135">
            <v>0</v>
          </cell>
          <cell r="D135">
            <v>0</v>
          </cell>
          <cell r="E135">
            <v>0</v>
          </cell>
          <cell r="F135">
            <v>0.3664803480421388</v>
          </cell>
          <cell r="G135">
            <v>0.18993481795861258</v>
          </cell>
          <cell r="H135">
            <v>8.9477495835339482E-2</v>
          </cell>
          <cell r="I135">
            <v>-2.6228811862979481E-3</v>
          </cell>
          <cell r="J135">
            <v>0.21953354386115048</v>
          </cell>
          <cell r="K135">
            <v>9.7873251761557232E-3</v>
          </cell>
          <cell r="L135">
            <v>1.8996303571067411E-4</v>
          </cell>
          <cell r="M135">
            <v>-1.0063348324610677E-3</v>
          </cell>
          <cell r="N135">
            <v>4.5955033580527646E-2</v>
          </cell>
          <cell r="O135">
            <v>9.4763608294083537E-4</v>
          </cell>
          <cell r="P135">
            <v>1.3468458172939476E-2</v>
          </cell>
          <cell r="Q135">
            <v>4.1847360533803592E-2</v>
          </cell>
          <cell r="R135">
            <v>2.6007233739583992E-2</v>
          </cell>
          <cell r="S135">
            <v>1</v>
          </cell>
        </row>
        <row r="136">
          <cell r="A136" t="str">
            <v>F150T</v>
          </cell>
          <cell r="B136" t="str">
            <v>Income Before State Taxes</v>
          </cell>
          <cell r="C136">
            <v>0</v>
          </cell>
          <cell r="D136">
            <v>0</v>
          </cell>
          <cell r="E136">
            <v>0</v>
          </cell>
          <cell r="F136">
            <v>0.71636574804674691</v>
          </cell>
          <cell r="G136">
            <v>-2.1206826505314131</v>
          </cell>
          <cell r="H136">
            <v>0.11770708047220943</v>
          </cell>
          <cell r="I136">
            <v>-8.7241580725519935E-2</v>
          </cell>
          <cell r="J136">
            <v>1.7308353919995922</v>
          </cell>
          <cell r="K136">
            <v>8.1428714941926925E-2</v>
          </cell>
          <cell r="L136">
            <v>2.9714131411404446E-4</v>
          </cell>
          <cell r="M136">
            <v>-3.0935013713150605E-2</v>
          </cell>
          <cell r="N136">
            <v>-0.46475524902484888</v>
          </cell>
          <cell r="O136">
            <v>9.3350258619898062E-3</v>
          </cell>
          <cell r="P136">
            <v>0.14815682120157744</v>
          </cell>
          <cell r="Q136">
            <v>0.6147722944335634</v>
          </cell>
          <cell r="R136">
            <v>0.28471627586296622</v>
          </cell>
          <cell r="S136">
            <v>1</v>
          </cell>
        </row>
        <row r="137">
          <cell r="A137" t="str">
            <v>F150D</v>
          </cell>
          <cell r="B137" t="str">
            <v>Income Before State Taxes</v>
          </cell>
          <cell r="C137">
            <v>0</v>
          </cell>
          <cell r="D137">
            <v>0</v>
          </cell>
          <cell r="E137">
            <v>0</v>
          </cell>
          <cell r="F137">
            <v>0.46437534894583243</v>
          </cell>
          <cell r="G137">
            <v>0.33074361408834801</v>
          </cell>
          <cell r="H137">
            <v>4.9100560283442292E-2</v>
          </cell>
          <cell r="I137">
            <v>2.4765836803917498E-2</v>
          </cell>
          <cell r="J137">
            <v>-3.0461432710225458E-3</v>
          </cell>
          <cell r="K137">
            <v>2.1012263446690254E-3</v>
          </cell>
          <cell r="L137">
            <v>5.3873188602831515E-4</v>
          </cell>
          <cell r="M137">
            <v>2.2751245684578445E-3</v>
          </cell>
          <cell r="N137">
            <v>0.12972623532896871</v>
          </cell>
          <cell r="O137">
            <v>-6.0497095257040286E-5</v>
          </cell>
          <cell r="P137">
            <v>-1.3152163557565805E-4</v>
          </cell>
          <cell r="Q137">
            <v>-2.4637450950914174E-4</v>
          </cell>
          <cell r="R137">
            <v>-1.4214173729466963E-4</v>
          </cell>
          <cell r="S137">
            <v>1</v>
          </cell>
        </row>
        <row r="138">
          <cell r="A138" t="str">
            <v>F150R</v>
          </cell>
          <cell r="B138" t="str">
            <v>Income Before State Taxes</v>
          </cell>
          <cell r="C138">
            <v>0</v>
          </cell>
          <cell r="D138">
            <v>0</v>
          </cell>
          <cell r="E138">
            <v>0</v>
          </cell>
          <cell r="F138">
            <v>-0.7284519173381554</v>
          </cell>
          <cell r="G138">
            <v>-2.3140820483842885E-2</v>
          </cell>
          <cell r="H138">
            <v>0.21113123964315733</v>
          </cell>
          <cell r="I138">
            <v>-1.7748653057892805E-2</v>
          </cell>
          <cell r="J138">
            <v>0.76238558308846149</v>
          </cell>
          <cell r="K138">
            <v>1.24876025064596E-2</v>
          </cell>
          <cell r="L138">
            <v>-3.8325206137654923E-3</v>
          </cell>
          <cell r="M138">
            <v>-1.1275161713342223E-3</v>
          </cell>
          <cell r="N138">
            <v>0.62310998056064038</v>
          </cell>
          <cell r="O138">
            <v>-1.8811757764999331E-4</v>
          </cell>
          <cell r="P138">
            <v>-1.6216749477372112E-3</v>
          </cell>
          <cell r="Q138">
            <v>0.17026653858454344</v>
          </cell>
          <cell r="R138">
            <v>-3.2697242925947513E-3</v>
          </cell>
          <cell r="S138">
            <v>1</v>
          </cell>
        </row>
        <row r="139">
          <cell r="A139" t="str">
            <v>F150M</v>
          </cell>
          <cell r="B139" t="str">
            <v>Income Before State Taxes</v>
          </cell>
          <cell r="C139">
            <v>0</v>
          </cell>
          <cell r="D139">
            <v>0</v>
          </cell>
          <cell r="E139">
            <v>0</v>
          </cell>
          <cell r="F139">
            <v>-7.3082206488909334</v>
          </cell>
          <cell r="G139">
            <v>9.500589471304183</v>
          </cell>
          <cell r="H139">
            <v>0.45409862282010766</v>
          </cell>
          <cell r="I139">
            <v>0.7232728932764001</v>
          </cell>
          <cell r="J139">
            <v>-1.4406154377606339</v>
          </cell>
          <cell r="K139">
            <v>-0.40379667697870431</v>
          </cell>
          <cell r="L139">
            <v>-3.8932620093799718E-3</v>
          </cell>
          <cell r="M139">
            <v>0.1557724397605236</v>
          </cell>
          <cell r="N139">
            <v>1.5734212332865798</v>
          </cell>
          <cell r="O139">
            <v>-3.7910166992317772E-2</v>
          </cell>
          <cell r="P139">
            <v>-0.27994303639762358</v>
          </cell>
          <cell r="Q139">
            <v>-1.4765511830878328</v>
          </cell>
          <cell r="R139">
            <v>-0.45628752199981226</v>
          </cell>
          <cell r="S139">
            <v>1</v>
          </cell>
        </row>
        <row r="140">
          <cell r="A140" t="str">
            <v>F151</v>
          </cell>
          <cell r="B140" t="str">
            <v>Depreciation Expense</v>
          </cell>
          <cell r="C140">
            <v>0</v>
          </cell>
          <cell r="D140">
            <v>0</v>
          </cell>
          <cell r="E140">
            <v>0</v>
          </cell>
          <cell r="F140">
            <v>0.40655676078437381</v>
          </cell>
          <cell r="G140">
            <v>0.26569875790327996</v>
          </cell>
          <cell r="H140">
            <v>8.2247042388827102E-2</v>
          </cell>
          <cell r="I140">
            <v>9.2158223793638305E-3</v>
          </cell>
          <cell r="J140">
            <v>0.12137056696613006</v>
          </cell>
          <cell r="K140">
            <v>8.4296489272596056E-3</v>
          </cell>
          <cell r="L140">
            <v>2.717684120988252E-4</v>
          </cell>
          <cell r="M140">
            <v>3.4696836014617462E-4</v>
          </cell>
          <cell r="N140">
            <v>7.2421446268088205E-2</v>
          </cell>
          <cell r="O140">
            <v>6.3269706723910208E-4</v>
          </cell>
          <cell r="P140">
            <v>6.0607738225710479E-3</v>
          </cell>
          <cell r="Q140">
            <v>1.4549449408987119E-2</v>
          </cell>
          <cell r="R140">
            <v>1.2198297311635352E-2</v>
          </cell>
          <cell r="S140">
            <v>1</v>
          </cell>
        </row>
        <row r="141">
          <cell r="A141" t="str">
            <v>F151G</v>
          </cell>
          <cell r="B141" t="str">
            <v>Depreciation Expense</v>
          </cell>
          <cell r="C141">
            <v>0</v>
          </cell>
          <cell r="D141">
            <v>0</v>
          </cell>
          <cell r="E141">
            <v>0</v>
          </cell>
          <cell r="F141">
            <v>0.34614523771625788</v>
          </cell>
          <cell r="G141">
            <v>0.27714150291305473</v>
          </cell>
          <cell r="H141">
            <v>8.8894393088455981E-2</v>
          </cell>
          <cell r="I141">
            <v>1.841241134830924E-3</v>
          </cell>
          <cell r="J141">
            <v>0.16676727879563391</v>
          </cell>
          <cell r="K141">
            <v>7.0861614678240977E-3</v>
          </cell>
          <cell r="L141">
            <v>1.9995857975879463E-4</v>
          </cell>
          <cell r="M141">
            <v>3.6886945280377838E-4</v>
          </cell>
          <cell r="N141">
            <v>6.5486234694526996E-2</v>
          </cell>
          <cell r="O141">
            <v>6.1474355425440112E-4</v>
          </cell>
          <cell r="P141">
            <v>8.3924759959919659E-3</v>
          </cell>
          <cell r="Q141">
            <v>2.024446728630129E-2</v>
          </cell>
          <cell r="R141">
            <v>1.6817435320305354E-2</v>
          </cell>
          <cell r="S141">
            <v>1</v>
          </cell>
        </row>
        <row r="142">
          <cell r="A142" t="str">
            <v>F151T</v>
          </cell>
          <cell r="B142" t="str">
            <v>Depreciation Expense</v>
          </cell>
          <cell r="C142">
            <v>0</v>
          </cell>
          <cell r="D142">
            <v>0</v>
          </cell>
          <cell r="E142">
            <v>0</v>
          </cell>
          <cell r="F142">
            <v>0.34340037373305027</v>
          </cell>
          <cell r="G142">
            <v>0.27494171416134194</v>
          </cell>
          <cell r="H142">
            <v>8.8188216687089913E-2</v>
          </cell>
          <cell r="I142">
            <v>1.826499460205872E-3</v>
          </cell>
          <cell r="J142">
            <v>0.17276601076781811</v>
          </cell>
          <cell r="K142">
            <v>7.0298346046142185E-3</v>
          </cell>
          <cell r="L142">
            <v>1.9836841352350088E-4</v>
          </cell>
          <cell r="M142">
            <v>3.6591687196195889E-4</v>
          </cell>
          <cell r="N142">
            <v>6.4966607386408096E-2</v>
          </cell>
          <cell r="O142">
            <v>6.0986844749809615E-4</v>
          </cell>
          <cell r="P142">
            <v>8.3638913257047861E-3</v>
          </cell>
          <cell r="Q142">
            <v>2.0082611813620106E-2</v>
          </cell>
          <cell r="R142">
            <v>1.7260086327163283E-2</v>
          </cell>
          <cell r="S142">
            <v>1</v>
          </cell>
        </row>
        <row r="143">
          <cell r="A143" t="str">
            <v>F151D</v>
          </cell>
          <cell r="B143" t="str">
            <v>Depreciation Expense</v>
          </cell>
          <cell r="C143">
            <v>0</v>
          </cell>
          <cell r="D143">
            <v>0</v>
          </cell>
          <cell r="E143">
            <v>0</v>
          </cell>
          <cell r="F143">
            <v>0.55880700310046749</v>
          </cell>
          <cell r="G143">
            <v>0.24047358165360042</v>
          </cell>
          <cell r="H143">
            <v>6.650933156768081E-2</v>
          </cell>
          <cell r="I143">
            <v>2.8225694445843497E-2</v>
          </cell>
          <cell r="J143">
            <v>1.7421816323298744E-3</v>
          </cell>
          <cell r="K143">
            <v>1.1987641390655664E-2</v>
          </cell>
          <cell r="L143">
            <v>4.3237965121809441E-4</v>
          </cell>
          <cell r="M143">
            <v>2.9036822740779382E-4</v>
          </cell>
          <cell r="N143">
            <v>9.0434899826545845E-2</v>
          </cell>
          <cell r="O143">
            <v>6.8932179689858066E-4</v>
          </cell>
          <cell r="P143">
            <v>1.3586556911735254E-4</v>
          </cell>
          <cell r="Q143">
            <v>1.3586556911735254E-4</v>
          </cell>
          <cell r="R143">
            <v>1.3586556911735254E-4</v>
          </cell>
          <cell r="S143">
            <v>1</v>
          </cell>
        </row>
        <row r="144">
          <cell r="A144" t="str">
            <v>F151R</v>
          </cell>
          <cell r="B144" t="str">
            <v>Depreciation Expense</v>
          </cell>
          <cell r="C144">
            <v>0</v>
          </cell>
          <cell r="D144">
            <v>0</v>
          </cell>
          <cell r="E144">
            <v>0</v>
          </cell>
          <cell r="F144">
            <v>0.87121091198399003</v>
          </cell>
          <cell r="G144">
            <v>1.8685618887272257E-2</v>
          </cell>
          <cell r="H144">
            <v>3.6060824098817966E-4</v>
          </cell>
          <cell r="I144">
            <v>1.0806265281044006E-2</v>
          </cell>
          <cell r="J144">
            <v>1.4291196877289564E-3</v>
          </cell>
          <cell r="K144">
            <v>3.5368533735182337E-3</v>
          </cell>
          <cell r="L144">
            <v>2.4986356816757084E-3</v>
          </cell>
          <cell r="M144">
            <v>5.2555973340059469E-4</v>
          </cell>
          <cell r="N144">
            <v>9.0906317860013006E-2</v>
          </cell>
          <cell r="O144">
            <v>1.3313276223762299E-5</v>
          </cell>
          <cell r="P144">
            <v>8.9319980483059787E-6</v>
          </cell>
          <cell r="Q144">
            <v>8.9319980483059787E-6</v>
          </cell>
          <cell r="R144">
            <v>8.9319980483059787E-6</v>
          </cell>
          <cell r="S144">
            <v>1</v>
          </cell>
        </row>
        <row r="145">
          <cell r="A145" t="str">
            <v>F151M</v>
          </cell>
          <cell r="B145" t="str">
            <v>Depreciation Expense</v>
          </cell>
          <cell r="C145">
            <v>0</v>
          </cell>
          <cell r="D145">
            <v>0</v>
          </cell>
          <cell r="E145">
            <v>0</v>
          </cell>
          <cell r="F145">
            <v>7.6923076923076927E-2</v>
          </cell>
          <cell r="G145">
            <v>7.6923076923076927E-2</v>
          </cell>
          <cell r="H145">
            <v>7.6923076923076927E-2</v>
          </cell>
          <cell r="I145">
            <v>7.6923076923076927E-2</v>
          </cell>
          <cell r="J145">
            <v>7.6923076923076927E-2</v>
          </cell>
          <cell r="K145">
            <v>7.6923076923076927E-2</v>
          </cell>
          <cell r="L145">
            <v>7.6923076923076927E-2</v>
          </cell>
          <cell r="M145">
            <v>7.6923076923076927E-2</v>
          </cell>
          <cell r="N145">
            <v>7.6923076923076927E-2</v>
          </cell>
          <cell r="O145">
            <v>7.6923076923076927E-2</v>
          </cell>
          <cell r="P145">
            <v>7.6923076923076927E-2</v>
          </cell>
          <cell r="Q145">
            <v>7.6923076923076927E-2</v>
          </cell>
          <cell r="R145">
            <v>7.6923076923076927E-2</v>
          </cell>
          <cell r="S145">
            <v>1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7">
          <cell r="H17">
            <v>0.37950999999999996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  <row r="722">
          <cell r="Y722">
            <v>11440.454450226256</v>
          </cell>
        </row>
        <row r="724">
          <cell r="Y724">
            <v>38084.035315421454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778">
          <cell r="Y1778">
            <v>0</v>
          </cell>
        </row>
        <row r="1867">
          <cell r="F1867">
            <v>-2239290.6767274253</v>
          </cell>
        </row>
        <row r="1912">
          <cell r="F1912">
            <v>1.0719561604796075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S56"/>
  <sheetViews>
    <sheetView topLeftCell="A28" zoomScale="70" zoomScaleNormal="70" zoomScalePageLayoutView="70" workbookViewId="0">
      <selection activeCell="C5" sqref="C5"/>
    </sheetView>
  </sheetViews>
  <sheetFormatPr defaultColWidth="8.875" defaultRowHeight="15.75"/>
  <cols>
    <col min="1" max="1" width="4.625" style="108" customWidth="1"/>
    <col min="2" max="2" width="1.625" style="108" customWidth="1"/>
    <col min="3" max="3" width="39.375" style="108" customWidth="1"/>
    <col min="4" max="4" width="0.625" style="109" customWidth="1"/>
    <col min="5" max="5" width="7.625" style="108" customWidth="1"/>
    <col min="6" max="6" width="0.625" style="109" customWidth="1"/>
    <col min="7" max="7" width="11.625" style="109" customWidth="1"/>
    <col min="8" max="8" width="0.625" style="109" customWidth="1"/>
    <col min="9" max="9" width="12.125" style="109" bestFit="1" customWidth="1"/>
    <col min="10" max="10" width="1.125" style="109" customWidth="1"/>
    <col min="11" max="11" width="11.5" style="109" bestFit="1" customWidth="1"/>
    <col min="12" max="12" width="1.125" style="109" customWidth="1"/>
    <col min="13" max="13" width="11.5" style="109" bestFit="1" customWidth="1"/>
    <col min="14" max="14" width="1" style="109" customWidth="1"/>
    <col min="15" max="15" width="9.875" style="109" bestFit="1" customWidth="1"/>
    <col min="16" max="16" width="1" style="109" customWidth="1"/>
    <col min="17" max="17" width="8.5" style="115" bestFit="1" customWidth="1"/>
    <col min="18" max="18" width="1.125" style="109" customWidth="1"/>
    <col min="19" max="19" width="7.125" style="28" customWidth="1"/>
    <col min="20" max="16384" width="8.875" style="108"/>
  </cols>
  <sheetData>
    <row r="1" spans="1:19">
      <c r="A1" s="104" t="s">
        <v>75</v>
      </c>
      <c r="B1" s="104"/>
      <c r="C1" s="104"/>
      <c r="D1" s="105"/>
      <c r="E1" s="104"/>
      <c r="F1" s="105"/>
      <c r="G1" s="105"/>
      <c r="H1" s="105"/>
      <c r="I1" s="105"/>
      <c r="J1" s="105"/>
      <c r="K1" s="106"/>
      <c r="L1" s="105"/>
      <c r="M1" s="106"/>
      <c r="N1" s="105"/>
      <c r="O1" s="106"/>
      <c r="P1" s="105"/>
      <c r="Q1" s="107"/>
      <c r="R1" s="105"/>
      <c r="S1" s="5"/>
    </row>
    <row r="2" spans="1:19" s="8" customFormat="1">
      <c r="A2" s="104" t="s">
        <v>372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10"/>
      <c r="R2" s="7"/>
      <c r="S2" s="7"/>
    </row>
    <row r="3" spans="1:19" s="8" customFormat="1">
      <c r="A3" s="104" t="s">
        <v>373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10"/>
      <c r="R3" s="7"/>
      <c r="S3" s="7"/>
    </row>
    <row r="4" spans="1:19" s="8" customFormat="1">
      <c r="A4" s="104" t="s">
        <v>374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0"/>
      <c r="R4" s="7"/>
      <c r="S4" s="7"/>
    </row>
    <row r="5" spans="1:19" s="8" customFormat="1">
      <c r="A5" s="104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10"/>
      <c r="R5" s="7"/>
      <c r="S5" s="7"/>
    </row>
    <row r="6" spans="1:19">
      <c r="A6" s="104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106"/>
      <c r="M6" s="111"/>
      <c r="N6" s="111"/>
      <c r="O6" s="111"/>
      <c r="P6" s="111"/>
      <c r="Q6" s="112"/>
      <c r="R6" s="111"/>
      <c r="S6" s="111"/>
    </row>
    <row r="7" spans="1:19" ht="10.5" customHeight="1">
      <c r="A7" s="104"/>
      <c r="B7" s="104"/>
      <c r="C7" s="104"/>
      <c r="D7" s="105"/>
      <c r="E7" s="104"/>
      <c r="F7" s="105"/>
      <c r="G7" s="105"/>
      <c r="H7" s="105"/>
      <c r="I7" s="105"/>
      <c r="J7" s="105"/>
      <c r="K7" s="106"/>
      <c r="L7" s="105"/>
      <c r="M7" s="106"/>
      <c r="N7" s="105"/>
      <c r="O7" s="106"/>
      <c r="P7" s="105"/>
      <c r="Q7" s="107"/>
      <c r="R7" s="105"/>
      <c r="S7" s="5"/>
    </row>
    <row r="8" spans="1:19">
      <c r="D8" s="113"/>
      <c r="F8" s="113"/>
      <c r="G8" s="114"/>
      <c r="H8" s="113"/>
      <c r="J8" s="113"/>
      <c r="L8" s="113"/>
    </row>
    <row r="9" spans="1:19">
      <c r="D9" s="114"/>
      <c r="E9" s="117"/>
      <c r="F9" s="114"/>
      <c r="G9" s="114" t="s">
        <v>375</v>
      </c>
      <c r="H9" s="114"/>
      <c r="I9" s="114"/>
      <c r="J9" s="114"/>
      <c r="K9" s="116" t="s">
        <v>376</v>
      </c>
      <c r="L9" s="114"/>
      <c r="M9" s="118" t="s">
        <v>377</v>
      </c>
      <c r="N9" s="118"/>
      <c r="O9" s="118"/>
      <c r="P9" s="118"/>
      <c r="Q9" s="119"/>
      <c r="R9" s="118"/>
      <c r="S9" s="120"/>
    </row>
    <row r="10" spans="1:19" s="121" customFormat="1">
      <c r="A10" s="121" t="s">
        <v>378</v>
      </c>
      <c r="D10" s="114"/>
      <c r="E10" s="117" t="s">
        <v>379</v>
      </c>
      <c r="F10" s="114"/>
      <c r="G10" s="116" t="s">
        <v>380</v>
      </c>
      <c r="H10" s="114"/>
      <c r="I10" s="114" t="s">
        <v>381</v>
      </c>
      <c r="J10" s="116"/>
      <c r="K10" s="114" t="s">
        <v>382</v>
      </c>
      <c r="L10" s="116"/>
      <c r="M10" s="116" t="s">
        <v>382</v>
      </c>
      <c r="N10" s="116"/>
      <c r="O10" s="118" t="s">
        <v>388</v>
      </c>
      <c r="P10" s="118"/>
      <c r="Q10" s="119"/>
      <c r="R10" s="114"/>
      <c r="S10" s="122" t="s">
        <v>383</v>
      </c>
    </row>
    <row r="11" spans="1:19" s="121" customFormat="1">
      <c r="A11" s="121" t="s">
        <v>384</v>
      </c>
      <c r="C11" s="117" t="s">
        <v>385</v>
      </c>
      <c r="E11" s="124" t="s">
        <v>384</v>
      </c>
      <c r="G11" s="125" t="s">
        <v>386</v>
      </c>
      <c r="I11" s="125" t="s">
        <v>386</v>
      </c>
      <c r="K11" s="126" t="s">
        <v>387</v>
      </c>
      <c r="M11" s="126" t="s">
        <v>387</v>
      </c>
      <c r="O11" s="126" t="s">
        <v>387</v>
      </c>
      <c r="Q11" s="127" t="s">
        <v>389</v>
      </c>
      <c r="S11" s="22" t="s">
        <v>390</v>
      </c>
    </row>
    <row r="12" spans="1:19" s="121" customFormat="1">
      <c r="C12" s="23">
        <v>-1</v>
      </c>
      <c r="D12" s="24"/>
      <c r="E12" s="23">
        <f>MIN($A12:D12)-1</f>
        <v>-2</v>
      </c>
      <c r="F12" s="24"/>
      <c r="G12" s="23">
        <f>MIN($A12:F12)-1</f>
        <v>-3</v>
      </c>
      <c r="H12" s="24"/>
      <c r="I12" s="23">
        <f>MIN($A12:H12)-1</f>
        <v>-4</v>
      </c>
      <c r="J12" s="24"/>
      <c r="K12" s="23">
        <f>MIN($A12:J12)-1</f>
        <v>-5</v>
      </c>
      <c r="L12" s="24"/>
      <c r="M12" s="23">
        <f>MIN($A12:L12)-1</f>
        <v>-6</v>
      </c>
      <c r="N12" s="24"/>
      <c r="O12" s="23">
        <f>MIN($A12:N12)-1</f>
        <v>-7</v>
      </c>
      <c r="P12" s="24"/>
      <c r="Q12" s="23">
        <f>MIN($A12:P12)-1</f>
        <v>-8</v>
      </c>
      <c r="R12" s="24"/>
      <c r="S12" s="23">
        <f>MIN($A12:R12)-1</f>
        <v>-9</v>
      </c>
    </row>
    <row r="13" spans="1:19" s="121" customFormat="1">
      <c r="D13" s="123"/>
      <c r="F13" s="123"/>
      <c r="G13" s="123"/>
      <c r="H13" s="123"/>
      <c r="I13" s="123"/>
      <c r="J13" s="123"/>
      <c r="K13" s="123"/>
      <c r="L13" s="123"/>
      <c r="M13" s="123"/>
      <c r="N13" s="123"/>
      <c r="O13" s="114" t="str">
        <f>"(" &amp; -M12 &amp; ")-(" &amp; -K12 &amp; ")"</f>
        <v>(6)-(5)</v>
      </c>
      <c r="P13" s="123"/>
      <c r="Q13" s="128" t="str">
        <f>"(" &amp; -O12 &amp; ")/(" &amp; -K12 &amp; ")"</f>
        <v>(7)/(5)</v>
      </c>
      <c r="R13" s="123"/>
      <c r="S13" s="114" t="str">
        <f>"(" &amp; -M12 &amp; ")/(" &amp; -I12 &amp; ")"</f>
        <v>(6)/(4)</v>
      </c>
    </row>
    <row r="14" spans="1:19">
      <c r="C14" s="121" t="s">
        <v>392</v>
      </c>
    </row>
    <row r="15" spans="1:19">
      <c r="A15" s="108">
        <v>1</v>
      </c>
      <c r="C15" s="108" t="s">
        <v>392</v>
      </c>
      <c r="E15" s="130" t="s">
        <v>393</v>
      </c>
      <c r="G15" s="30">
        <v>719579.21600691369</v>
      </c>
      <c r="I15" s="30">
        <f>('Resid Rate Calc (rev WRG-3)'!G32+'Resid Rate Calc (rev WRG-3)'!G55)/1000</f>
        <v>6618984.2947155023</v>
      </c>
      <c r="K15" s="31">
        <f>('Resid Rate Calc (rev WRG-3)'!M32+'Resid Rate Calc (rev WRG-3)'!M55)/1000</f>
        <v>649669.90700000001</v>
      </c>
      <c r="L15" s="32"/>
      <c r="M15" s="31">
        <f>('Resid Rate Calc (rev WRG-3)'!Q32+'Resid Rate Calc (rev WRG-3)'!Q55)/1000</f>
        <v>680171.99699999997</v>
      </c>
      <c r="N15" s="32"/>
      <c r="O15" s="31">
        <f>M15-K15</f>
        <v>30502.089999999967</v>
      </c>
      <c r="Q15" s="131">
        <f>O15/K15</f>
        <v>4.695013524768351E-2</v>
      </c>
      <c r="R15" s="132"/>
      <c r="S15" s="133">
        <f>ROUND(100*M15/I15,2)</f>
        <v>10.28</v>
      </c>
    </row>
    <row r="16" spans="1:19">
      <c r="A16" s="108">
        <f>MAX(A$14:A15)+1</f>
        <v>2</v>
      </c>
      <c r="C16" s="108" t="s">
        <v>394</v>
      </c>
      <c r="E16" s="134">
        <v>2</v>
      </c>
      <c r="G16" s="30">
        <v>360.45065975289282</v>
      </c>
      <c r="I16" s="30">
        <f>'Resid Rate Calc (rev WRG-3)'!G74/1000</f>
        <v>3259.9751844998164</v>
      </c>
      <c r="K16" s="31">
        <f>('Resid Rate Calc (rev WRG-3)'!M74)/1000</f>
        <v>310.99200000000002</v>
      </c>
      <c r="L16" s="32"/>
      <c r="M16" s="31">
        <f>('Resid Rate Calc (rev WRG-3)'!Q74)/1000</f>
        <v>326.42</v>
      </c>
      <c r="N16" s="32"/>
      <c r="O16" s="31">
        <f>M16-K16</f>
        <v>15.427999999999997</v>
      </c>
      <c r="Q16" s="131">
        <f>O16/K16</f>
        <v>4.9608993157380245E-2</v>
      </c>
      <c r="R16" s="132"/>
      <c r="S16" s="133">
        <f>ROUND(100*M16/I16,2)</f>
        <v>10.01</v>
      </c>
    </row>
    <row r="17" spans="1:19">
      <c r="A17" s="108">
        <f>MAX(A$14:A16)+1</f>
        <v>3</v>
      </c>
      <c r="C17" s="135" t="s">
        <v>395</v>
      </c>
      <c r="E17" s="136" t="s">
        <v>396</v>
      </c>
      <c r="G17" s="137"/>
      <c r="I17" s="137"/>
      <c r="K17" s="39">
        <v>36.561</v>
      </c>
      <c r="L17" s="32"/>
      <c r="M17" s="39">
        <f>K17</f>
        <v>36.561</v>
      </c>
      <c r="N17" s="32"/>
      <c r="O17" s="39">
        <f>M17-K17</f>
        <v>0</v>
      </c>
      <c r="Q17" s="138">
        <f>O17/K17</f>
        <v>0</v>
      </c>
      <c r="S17" s="42"/>
    </row>
    <row r="18" spans="1:19">
      <c r="A18" s="108">
        <f>MAX(A$14:A17)+1</f>
        <v>4</v>
      </c>
      <c r="C18" s="121" t="s">
        <v>397</v>
      </c>
      <c r="G18" s="30">
        <f>SUM(G15:G17)</f>
        <v>719939.66666666663</v>
      </c>
      <c r="I18" s="30">
        <f>SUM(I15:I17)</f>
        <v>6622244.2699000025</v>
      </c>
      <c r="K18" s="31">
        <f>SUM(K15:K17)</f>
        <v>650017.46</v>
      </c>
      <c r="L18" s="32"/>
      <c r="M18" s="31">
        <f>SUM(M15:M17)</f>
        <v>680534.978</v>
      </c>
      <c r="N18" s="32"/>
      <c r="O18" s="31">
        <f>SUM(O15:O17)</f>
        <v>30517.517999999967</v>
      </c>
      <c r="Q18" s="131">
        <f>O18/K18</f>
        <v>4.6948766576208535E-2</v>
      </c>
      <c r="S18" s="28">
        <f>ROUND(100*M18/I18,2)</f>
        <v>10.28</v>
      </c>
    </row>
    <row r="19" spans="1:19" ht="24.95" customHeight="1">
      <c r="C19" s="121" t="s">
        <v>398</v>
      </c>
      <c r="G19" s="30"/>
      <c r="I19" s="30"/>
      <c r="K19" s="45"/>
      <c r="L19" s="32"/>
      <c r="M19" s="45"/>
      <c r="N19" s="32"/>
      <c r="O19" s="31"/>
      <c r="Q19" s="131"/>
    </row>
    <row r="20" spans="1:19">
      <c r="A20" s="108">
        <f>MAX(A$14:A19)+1</f>
        <v>5</v>
      </c>
      <c r="C20" s="108" t="s">
        <v>399</v>
      </c>
      <c r="E20" s="139">
        <v>6</v>
      </c>
      <c r="G20" s="30">
        <v>13479.916666666668</v>
      </c>
      <c r="I20" s="30">
        <f>SUM('Resid Rate Calc (rev WRG-3)'!G86)/1000</f>
        <v>5746434.2788172225</v>
      </c>
      <c r="K20" s="31">
        <f>('Resid Rate Calc (rev WRG-3)'!M86)/1000</f>
        <v>443566.413</v>
      </c>
      <c r="L20" s="32"/>
      <c r="M20" s="31">
        <f>('Resid Rate Calc (rev WRG-3)'!Q86)/1000</f>
        <v>459957.33100000001</v>
      </c>
      <c r="N20" s="32"/>
      <c r="O20" s="31">
        <f>M20-K20</f>
        <v>16390.918000000005</v>
      </c>
      <c r="Q20" s="131">
        <f t="shared" ref="Q20:Q39" si="0">O20/K20</f>
        <v>3.6952567912304952E-2</v>
      </c>
      <c r="S20" s="28">
        <f t="shared" ref="S20:S36" si="1">ROUND(100*M20/I20,2)</f>
        <v>8</v>
      </c>
    </row>
    <row r="21" spans="1:19">
      <c r="A21" s="108">
        <f>MAX(A$14:A20)+1</f>
        <v>6</v>
      </c>
      <c r="C21" s="108" t="s">
        <v>400</v>
      </c>
      <c r="E21" s="134" t="s">
        <v>401</v>
      </c>
      <c r="G21" s="30">
        <v>2394.25</v>
      </c>
      <c r="I21" s="30">
        <f>SUM('Resid Rate Calc (rev WRG-3)'!G170)/1000</f>
        <v>277735.08199999999</v>
      </c>
      <c r="K21" s="31">
        <f>('Resid Rate Calc (rev WRG-3)'!M170)/1000</f>
        <v>29859.053</v>
      </c>
      <c r="L21" s="32"/>
      <c r="M21" s="31">
        <f>('Resid Rate Calc (rev WRG-3)'!Q170)/1000</f>
        <v>30962.421999999999</v>
      </c>
      <c r="N21" s="32"/>
      <c r="O21" s="31">
        <f>M21-K21</f>
        <v>1103.3689999999988</v>
      </c>
      <c r="Q21" s="131">
        <f t="shared" si="0"/>
        <v>3.6952578502740821E-2</v>
      </c>
      <c r="S21" s="28">
        <f t="shared" si="1"/>
        <v>11.15</v>
      </c>
    </row>
    <row r="22" spans="1:19">
      <c r="A22" s="108">
        <f>MAX(A$14:A21)+1</f>
        <v>7</v>
      </c>
      <c r="C22" s="108" t="s">
        <v>402</v>
      </c>
      <c r="E22" s="134" t="s">
        <v>403</v>
      </c>
      <c r="G22" s="47">
        <v>32</v>
      </c>
      <c r="I22" s="47">
        <f>'Resid Rate Calc (rev WRG-3)'!G134/1000</f>
        <v>21133.17</v>
      </c>
      <c r="K22" s="39">
        <f>'Resid Rate Calc (rev WRG-3)'!M134/1000</f>
        <v>1657.327</v>
      </c>
      <c r="L22" s="32"/>
      <c r="M22" s="39">
        <f>'Resid Rate Calc (rev WRG-3)'!Q134/1000</f>
        <v>1718.529</v>
      </c>
      <c r="N22" s="32"/>
      <c r="O22" s="39">
        <f>M22-K22</f>
        <v>61.201999999999998</v>
      </c>
      <c r="Q22" s="138">
        <f t="shared" si="0"/>
        <v>3.6928137899159309E-2</v>
      </c>
      <c r="S22" s="42">
        <f t="shared" si="1"/>
        <v>8.1300000000000008</v>
      </c>
    </row>
    <row r="23" spans="1:19">
      <c r="A23" s="108">
        <f>MAX(A$14:A22)+1</f>
        <v>8</v>
      </c>
      <c r="C23" s="140" t="s">
        <v>404</v>
      </c>
      <c r="G23" s="30">
        <f>SUM(G20:G22)</f>
        <v>15906.166666666668</v>
      </c>
      <c r="I23" s="30">
        <f>SUM(I20:I22)</f>
        <v>6045302.5308172228</v>
      </c>
      <c r="K23" s="31">
        <f>SUM(K20:K22)</f>
        <v>475082.79300000001</v>
      </c>
      <c r="L23" s="32"/>
      <c r="M23" s="31">
        <f>SUM(M20:M22)</f>
        <v>492638.28200000001</v>
      </c>
      <c r="N23" s="32"/>
      <c r="O23" s="31">
        <f>SUM(O20:O22)</f>
        <v>17555.489000000005</v>
      </c>
      <c r="Q23" s="131">
        <f t="shared" si="0"/>
        <v>3.6952483353780409E-2</v>
      </c>
      <c r="S23" s="28">
        <f t="shared" si="1"/>
        <v>8.15</v>
      </c>
    </row>
    <row r="24" spans="1:19" ht="21.95" customHeight="1">
      <c r="A24" s="108">
        <f>MAX(A$14:A23)+1</f>
        <v>9</v>
      </c>
      <c r="C24" s="135" t="s">
        <v>405</v>
      </c>
      <c r="E24" s="108">
        <v>8</v>
      </c>
      <c r="F24" s="30"/>
      <c r="G24" s="30">
        <v>297.08333333333331</v>
      </c>
      <c r="I24" s="30">
        <f>'Resid Rate Calc (rev WRG-3)'!G246/1000</f>
        <v>2076915.6910000001</v>
      </c>
      <c r="K24" s="31">
        <f>('Resid Rate Calc (rev WRG-3)'!M246)/1000</f>
        <v>141558.614</v>
      </c>
      <c r="L24" s="32"/>
      <c r="M24" s="31">
        <f>('Resid Rate Calc (rev WRG-3)'!Q246)/1000</f>
        <v>148205.057</v>
      </c>
      <c r="N24" s="32"/>
      <c r="O24" s="31">
        <f>M24-K24</f>
        <v>6646.4429999999993</v>
      </c>
      <c r="Q24" s="131">
        <f t="shared" si="0"/>
        <v>4.6951879593847952E-2</v>
      </c>
      <c r="S24" s="28">
        <f t="shared" si="1"/>
        <v>7.14</v>
      </c>
    </row>
    <row r="25" spans="1:19" ht="21.95" customHeight="1">
      <c r="A25" s="108">
        <f>MAX(A$14:A24)+1</f>
        <v>10</v>
      </c>
      <c r="C25" s="108" t="s">
        <v>406</v>
      </c>
      <c r="E25" s="108">
        <v>9</v>
      </c>
      <c r="G25" s="30">
        <v>142.5</v>
      </c>
      <c r="I25" s="30">
        <f>('Resid Rate Calc (rev WRG-3)'!G281)/1000</f>
        <v>4538067.2419739999</v>
      </c>
      <c r="K25" s="31">
        <f>('Resid Rate Calc (rev WRG-3)'!M281)/1000</f>
        <v>226409.34400000001</v>
      </c>
      <c r="L25" s="32"/>
      <c r="M25" s="31">
        <f>('Resid Rate Calc (rev WRG-3)'!Q281)/1000</f>
        <v>241570.64499999999</v>
      </c>
      <c r="N25" s="32"/>
      <c r="O25" s="31">
        <f>M25-K25</f>
        <v>15161.300999999978</v>
      </c>
      <c r="Q25" s="131">
        <f t="shared" si="0"/>
        <v>6.696411345991081E-2</v>
      </c>
      <c r="S25" s="28">
        <f t="shared" si="1"/>
        <v>5.32</v>
      </c>
    </row>
    <row r="26" spans="1:19">
      <c r="A26" s="108">
        <f>MAX(A$14:A25)+1</f>
        <v>11</v>
      </c>
      <c r="C26" s="108" t="s">
        <v>407</v>
      </c>
      <c r="E26" s="134" t="s">
        <v>408</v>
      </c>
      <c r="G26" s="47">
        <v>8.9999986111111081</v>
      </c>
      <c r="I26" s="47">
        <f>'Resid Rate Calc (rev WRG-3)'!G322/1000</f>
        <v>42717.705999999998</v>
      </c>
      <c r="K26" s="39">
        <f>'Resid Rate Calc (rev WRG-3)'!M322/1000</f>
        <v>2911.8290000000002</v>
      </c>
      <c r="L26" s="32"/>
      <c r="M26" s="39">
        <f>'Resid Rate Calc (rev WRG-3)'!Q322/1000</f>
        <v>3106.7809999999999</v>
      </c>
      <c r="N26" s="32"/>
      <c r="O26" s="39">
        <f>M26-K26</f>
        <v>194.95199999999977</v>
      </c>
      <c r="Q26" s="138">
        <f t="shared" si="0"/>
        <v>6.6951733772827926E-2</v>
      </c>
      <c r="S26" s="42">
        <f t="shared" si="1"/>
        <v>7.27</v>
      </c>
    </row>
    <row r="27" spans="1:19">
      <c r="A27" s="108">
        <f>MAX(A$14:A26)+1</f>
        <v>12</v>
      </c>
      <c r="C27" s="140" t="s">
        <v>409</v>
      </c>
      <c r="G27" s="30">
        <f>SUM(G25:G26)</f>
        <v>151.4999986111111</v>
      </c>
      <c r="I27" s="30">
        <f>SUM(I25:I26)</f>
        <v>4580784.9479740001</v>
      </c>
      <c r="K27" s="31">
        <f>SUM(K25:K26)</f>
        <v>229321.17300000001</v>
      </c>
      <c r="L27" s="32"/>
      <c r="M27" s="31">
        <f>SUM(M25:M26)</f>
        <v>244677.42599999998</v>
      </c>
      <c r="N27" s="32"/>
      <c r="O27" s="31">
        <f>SUM(O25:O26)</f>
        <v>15356.252999999977</v>
      </c>
      <c r="Q27" s="131">
        <f t="shared" si="0"/>
        <v>6.6963956267570526E-2</v>
      </c>
      <c r="S27" s="28">
        <f t="shared" si="1"/>
        <v>5.34</v>
      </c>
    </row>
    <row r="28" spans="1:19" ht="21.95" customHeight="1">
      <c r="A28" s="108">
        <f>MAX(A$14:A27)+1</f>
        <v>13</v>
      </c>
      <c r="C28" s="108" t="s">
        <v>410</v>
      </c>
      <c r="E28" s="134">
        <v>10</v>
      </c>
      <c r="G28" s="30">
        <f>'Resid Rate Calc (rev WRG-3)'!G341+'Resid Rate Calc (rev WRG-3)'!G342</f>
        <v>2647</v>
      </c>
      <c r="I28" s="30">
        <f>'Resid Rate Calc (rev WRG-3)'!G354/1000</f>
        <v>170955.53200000001</v>
      </c>
      <c r="K28" s="31">
        <f>('Resid Rate Calc (rev WRG-3)'!M354)/1000</f>
        <v>11991.091</v>
      </c>
      <c r="L28" s="32"/>
      <c r="M28" s="31">
        <f>('Resid Rate Calc (rev WRG-3)'!Q354)/1000</f>
        <v>12554.829</v>
      </c>
      <c r="N28" s="32"/>
      <c r="O28" s="31">
        <f>M28-K28</f>
        <v>563.73799999999937</v>
      </c>
      <c r="Q28" s="131">
        <f t="shared" si="0"/>
        <v>4.7013069953351146E-2</v>
      </c>
      <c r="S28" s="28">
        <f t="shared" si="1"/>
        <v>7.34</v>
      </c>
    </row>
    <row r="29" spans="1:19">
      <c r="A29" s="108">
        <f>MAX(A$14:A28)+1</f>
        <v>14</v>
      </c>
      <c r="C29" s="108" t="s">
        <v>411</v>
      </c>
      <c r="E29" s="134" t="s">
        <v>412</v>
      </c>
      <c r="G29" s="47">
        <f>'Resid Rate Calc (rev WRG-3)'!G357+'Resid Rate Calc (rev WRG-3)'!G358</f>
        <v>263</v>
      </c>
      <c r="I29" s="47">
        <f>'Resid Rate Calc (rev WRG-3)'!G370/1000</f>
        <v>16324.472</v>
      </c>
      <c r="K29" s="39">
        <f>('Resid Rate Calc (rev WRG-3)'!M370)/1000</f>
        <v>1183.432</v>
      </c>
      <c r="L29" s="32"/>
      <c r="M29" s="39">
        <f>('Resid Rate Calc (rev WRG-3)'!Q370)/1000</f>
        <v>1238.2629999999999</v>
      </c>
      <c r="N29" s="32"/>
      <c r="O29" s="39">
        <f>M29-K29</f>
        <v>54.830999999999904</v>
      </c>
      <c r="Q29" s="138">
        <f t="shared" si="0"/>
        <v>4.6332193146712192E-2</v>
      </c>
      <c r="S29" s="42">
        <f t="shared" si="1"/>
        <v>7.59</v>
      </c>
    </row>
    <row r="30" spans="1:19">
      <c r="A30" s="108">
        <f>MAX(A$14:A29)+1</f>
        <v>15</v>
      </c>
      <c r="C30" s="140" t="s">
        <v>413</v>
      </c>
      <c r="G30" s="30">
        <f>SUM(G28:G29)</f>
        <v>2910</v>
      </c>
      <c r="I30" s="30">
        <f>SUM(I28:I29)</f>
        <v>187280.00400000002</v>
      </c>
      <c r="K30" s="31">
        <f>SUM(K28:K29)</f>
        <v>13174.523000000001</v>
      </c>
      <c r="L30" s="32"/>
      <c r="M30" s="31">
        <f>SUM(M28:M29)</f>
        <v>13793.092000000001</v>
      </c>
      <c r="N30" s="32"/>
      <c r="O30" s="31">
        <f>SUM(O28:O29)</f>
        <v>618.56899999999928</v>
      </c>
      <c r="Q30" s="131">
        <f t="shared" si="0"/>
        <v>4.6951908619386008E-2</v>
      </c>
      <c r="S30" s="28">
        <f t="shared" si="1"/>
        <v>7.36</v>
      </c>
    </row>
    <row r="31" spans="1:19" ht="21.95" customHeight="1">
      <c r="A31" s="108">
        <f>MAX(A$14:A30)+1</f>
        <v>16</v>
      </c>
      <c r="C31" s="108" t="s">
        <v>414</v>
      </c>
      <c r="E31" s="108">
        <v>21</v>
      </c>
      <c r="G31" s="30">
        <v>5</v>
      </c>
      <c r="I31" s="30">
        <f>'Resid Rate Calc (rev WRG-3)'!G548/1000</f>
        <v>3287.9389999999999</v>
      </c>
      <c r="K31" s="31">
        <f>('Resid Rate Calc (rev WRG-3)'!M548)/1000</f>
        <v>342.79199999999997</v>
      </c>
      <c r="L31" s="32"/>
      <c r="M31" s="31">
        <f>('Resid Rate Calc (rev WRG-3)'!Q548)/1000</f>
        <v>365.74299999999999</v>
      </c>
      <c r="N31" s="32"/>
      <c r="O31" s="31">
        <f t="shared" ref="O31:O37" si="2">M31-K31</f>
        <v>22.951000000000022</v>
      </c>
      <c r="Q31" s="131">
        <f t="shared" si="0"/>
        <v>6.6953137762841675E-2</v>
      </c>
      <c r="S31" s="28">
        <f t="shared" si="1"/>
        <v>11.12</v>
      </c>
    </row>
    <row r="32" spans="1:19">
      <c r="A32" s="108">
        <f>MAX(A$14:A31)+1</f>
        <v>17</v>
      </c>
      <c r="C32" s="108" t="s">
        <v>415</v>
      </c>
      <c r="E32" s="139">
        <v>23</v>
      </c>
      <c r="G32" s="30">
        <v>78052</v>
      </c>
      <c r="I32" s="30">
        <f>SUM('Resid Rate Calc (rev WRG-3)'!G561)/1000</f>
        <v>1419326.149632778</v>
      </c>
      <c r="K32" s="31">
        <f>('Resid Rate Calc (rev WRG-3)'!M561)/1000</f>
        <v>129897.91099999999</v>
      </c>
      <c r="L32" s="32"/>
      <c r="M32" s="31">
        <f>('Resid Rate Calc (rev WRG-3)'!Q561)/1000</f>
        <v>134696.29999999999</v>
      </c>
      <c r="N32" s="32"/>
      <c r="O32" s="31">
        <f t="shared" si="2"/>
        <v>4798.3889999999956</v>
      </c>
      <c r="Q32" s="131">
        <f t="shared" si="0"/>
        <v>3.6939693356577506E-2</v>
      </c>
      <c r="S32" s="28">
        <f t="shared" si="1"/>
        <v>9.49</v>
      </c>
    </row>
    <row r="33" spans="1:19">
      <c r="A33" s="108">
        <f>MAX(A$14:A32)+1</f>
        <v>18</v>
      </c>
      <c r="C33" s="108" t="s">
        <v>418</v>
      </c>
      <c r="E33" s="108">
        <v>31</v>
      </c>
      <c r="G33" s="30">
        <v>4</v>
      </c>
      <c r="I33" s="30">
        <f>'Resid Rate Calc (rev WRG-3)'!G643/1000</f>
        <v>59778.839026000001</v>
      </c>
      <c r="K33" s="31">
        <f>'Resid Rate Calc (rev WRG-3)'!M643/1000</f>
        <v>4870.0309999999999</v>
      </c>
      <c r="L33" s="32"/>
      <c r="M33" s="31">
        <f>'Resid Rate Calc (rev WRG-3)'!Q643/1000</f>
        <v>5164.1480000000001</v>
      </c>
      <c r="N33" s="32"/>
      <c r="O33" s="31">
        <f t="shared" si="2"/>
        <v>294.11700000000019</v>
      </c>
      <c r="Q33" s="131">
        <f t="shared" si="0"/>
        <v>6.0393250063500659E-2</v>
      </c>
      <c r="S33" s="28">
        <f t="shared" si="1"/>
        <v>8.64</v>
      </c>
    </row>
    <row r="34" spans="1:19">
      <c r="A34" s="108">
        <f>MAX(A$14:A33)+1</f>
        <v>19</v>
      </c>
      <c r="C34" s="135" t="s">
        <v>419</v>
      </c>
      <c r="E34" s="134" t="s">
        <v>396</v>
      </c>
      <c r="G34" s="30">
        <v>1</v>
      </c>
      <c r="I34" s="30">
        <f>'Resid Rate Calc (rev WRG-3)'!G737/1000</f>
        <v>543970.59100000001</v>
      </c>
      <c r="K34" s="31">
        <f>('Resid Rate Calc (rev WRG-3)'!M737)/1000</f>
        <v>24224.835012471453</v>
      </c>
      <c r="L34" s="32"/>
      <c r="M34" s="31">
        <f>('Resid Rate Calc (rev WRG-3)'!Q737)/1000</f>
        <v>24224.835012471453</v>
      </c>
      <c r="N34" s="32"/>
      <c r="O34" s="31">
        <f t="shared" si="2"/>
        <v>0</v>
      </c>
      <c r="Q34" s="131">
        <f t="shared" si="0"/>
        <v>0</v>
      </c>
      <c r="S34" s="28">
        <f t="shared" si="1"/>
        <v>4.45</v>
      </c>
    </row>
    <row r="35" spans="1:19">
      <c r="A35" s="108">
        <f>MAX(A$14:A34)+1</f>
        <v>20</v>
      </c>
      <c r="C35" s="135" t="s">
        <v>420</v>
      </c>
      <c r="E35" s="134" t="s">
        <v>396</v>
      </c>
      <c r="G35" s="30">
        <v>1</v>
      </c>
      <c r="I35" s="30">
        <f>'Resid Rate Calc (rev WRG-3)'!G742/1000</f>
        <v>717800.15174999996</v>
      </c>
      <c r="K35" s="31">
        <f>'Resid Rate Calc (rev WRG-3)'!M742/1000</f>
        <v>26946.217696695003</v>
      </c>
      <c r="L35" s="32"/>
      <c r="M35" s="31">
        <f>'Resid Rate Calc (rev WRG-3)'!Q742/1000</f>
        <v>26946.217696695003</v>
      </c>
      <c r="N35" s="32"/>
      <c r="O35" s="31">
        <f t="shared" si="2"/>
        <v>0</v>
      </c>
      <c r="Q35" s="131">
        <f t="shared" si="0"/>
        <v>0</v>
      </c>
      <c r="S35" s="28">
        <f t="shared" si="1"/>
        <v>3.75</v>
      </c>
    </row>
    <row r="36" spans="1:19">
      <c r="A36" s="108">
        <f>MAX(A$14:A35)+1</f>
        <v>21</v>
      </c>
      <c r="C36" s="135" t="s">
        <v>421</v>
      </c>
      <c r="E36" s="134" t="s">
        <v>396</v>
      </c>
      <c r="G36" s="30">
        <v>1</v>
      </c>
      <c r="I36" s="30">
        <f>'Resid Rate Calc (rev WRG-3)'!G758/1000</f>
        <v>1371599.1</v>
      </c>
      <c r="K36" s="31">
        <f>('Resid Rate Calc (rev WRG-3)'!M758)/1000</f>
        <v>59055.879000000001</v>
      </c>
      <c r="L36" s="32"/>
      <c r="M36" s="31">
        <f>('Resid Rate Calc (rev WRG-3)'!Q758)/1000</f>
        <v>63038.976999999999</v>
      </c>
      <c r="N36" s="32"/>
      <c r="O36" s="31">
        <f t="shared" si="2"/>
        <v>3983.0979999999981</v>
      </c>
      <c r="Q36" s="131">
        <f t="shared" si="0"/>
        <v>6.7446257128777956E-2</v>
      </c>
      <c r="S36" s="28">
        <f t="shared" si="1"/>
        <v>4.5999999999999996</v>
      </c>
    </row>
    <row r="37" spans="1:19">
      <c r="A37" s="108">
        <f>MAX(A$14:A36)+1</f>
        <v>22</v>
      </c>
      <c r="C37" s="135" t="s">
        <v>395</v>
      </c>
      <c r="E37" s="136" t="s">
        <v>396</v>
      </c>
      <c r="G37" s="137"/>
      <c r="I37" s="137" t="s">
        <v>396</v>
      </c>
      <c r="K37" s="39">
        <v>4490.4250999999995</v>
      </c>
      <c r="L37" s="32"/>
      <c r="M37" s="39">
        <f>K37</f>
        <v>4490.4250999999995</v>
      </c>
      <c r="N37" s="32"/>
      <c r="O37" s="39">
        <f t="shared" si="2"/>
        <v>0</v>
      </c>
      <c r="Q37" s="138">
        <f t="shared" si="0"/>
        <v>0</v>
      </c>
      <c r="S37" s="42"/>
    </row>
    <row r="38" spans="1:19">
      <c r="A38" s="108">
        <f>MAX(A$14:A37)+1</f>
        <v>23</v>
      </c>
      <c r="C38" s="121" t="s">
        <v>422</v>
      </c>
      <c r="G38" s="30">
        <f>SUM(G20:G22,G24:G26,G28:G29,G31:G37)</f>
        <v>97328.749998611107</v>
      </c>
      <c r="I38" s="30">
        <f>SUM(I20:I22,I24:I26,I28:I29,I31:I37)</f>
        <v>17006045.944200002</v>
      </c>
      <c r="K38" s="31">
        <f>SUM(K20:K22,K24:K26,K28:K29,K31:K37)</f>
        <v>1108965.1938091666</v>
      </c>
      <c r="L38" s="32"/>
      <c r="M38" s="31">
        <f>SUM(M20:M22,M24:M26,M28:M29,M31:M37)</f>
        <v>1158240.5028091667</v>
      </c>
      <c r="N38" s="32"/>
      <c r="O38" s="31">
        <f>SUM(O20:O22,O24:O26,O28:O29,O31:O37)</f>
        <v>49275.308999999965</v>
      </c>
      <c r="Q38" s="131">
        <f t="shared" si="0"/>
        <v>4.4433593836020233E-2</v>
      </c>
      <c r="S38" s="28">
        <f>ROUND(100*M38/I38,2)</f>
        <v>6.81</v>
      </c>
    </row>
    <row r="39" spans="1:19" ht="35.1" customHeight="1">
      <c r="A39" s="108">
        <f>MAX(A$14:A38)+1</f>
        <v>24</v>
      </c>
      <c r="C39" s="141" t="s">
        <v>423</v>
      </c>
      <c r="G39" s="30">
        <f>G38-SUM(G34:G35,G37)</f>
        <v>97326.749998611107</v>
      </c>
      <c r="I39" s="30">
        <f>I38-SUM(I34:I35,I37)</f>
        <v>15744275.201450001</v>
      </c>
      <c r="K39" s="31">
        <f>K38-SUM(K34:K35,K37)</f>
        <v>1053303.716</v>
      </c>
      <c r="L39" s="32"/>
      <c r="M39" s="31">
        <f>M38-SUM(M34:M35,M37)</f>
        <v>1102579.0250000001</v>
      </c>
      <c r="N39" s="32"/>
      <c r="O39" s="31">
        <f>O38-SUM(O34:O35,O37)</f>
        <v>49275.308999999965</v>
      </c>
      <c r="Q39" s="131">
        <f t="shared" si="0"/>
        <v>4.6781672039596191E-2</v>
      </c>
      <c r="S39" s="28">
        <f>ROUND(100*M39/I39,2)</f>
        <v>7</v>
      </c>
    </row>
    <row r="40" spans="1:19" ht="24.95" customHeight="1">
      <c r="C40" s="121" t="s">
        <v>424</v>
      </c>
      <c r="G40" s="30"/>
      <c r="I40" s="30"/>
      <c r="K40" s="31"/>
      <c r="L40" s="32"/>
      <c r="M40" s="31"/>
      <c r="N40" s="32"/>
      <c r="O40" s="31"/>
      <c r="Q40" s="131"/>
    </row>
    <row r="41" spans="1:19">
      <c r="A41" s="108">
        <f>MAX(A$14:A40)+1</f>
        <v>25</v>
      </c>
      <c r="C41" s="108" t="s">
        <v>425</v>
      </c>
      <c r="E41" s="108">
        <v>7</v>
      </c>
      <c r="G41" s="30">
        <v>7865</v>
      </c>
      <c r="I41" s="30">
        <f>'Resid Rate Calc (rev WRG-3)'!G234/1000</f>
        <v>12321.574480000001</v>
      </c>
      <c r="K41" s="31">
        <f>('Resid Rate Calc (rev WRG-3)'!M234)/1000</f>
        <v>2964.7280000000001</v>
      </c>
      <c r="L41" s="32"/>
      <c r="M41" s="31">
        <f>('Resid Rate Calc (rev WRG-3)'!Q234)/1000</f>
        <v>2964.7280000000001</v>
      </c>
      <c r="N41" s="32"/>
      <c r="O41" s="31">
        <f>M41-K41</f>
        <v>0</v>
      </c>
      <c r="Q41" s="131">
        <f t="shared" ref="Q41:Q52" si="3">O41/K41</f>
        <v>0</v>
      </c>
      <c r="S41" s="28">
        <f t="shared" ref="S41:S48" si="4">ROUND(100*M41/I41,2)</f>
        <v>24.06</v>
      </c>
    </row>
    <row r="42" spans="1:19">
      <c r="A42" s="108">
        <f>MAX(A$14:A41)+1</f>
        <v>26</v>
      </c>
      <c r="C42" s="108" t="s">
        <v>426</v>
      </c>
      <c r="E42" s="108">
        <v>11</v>
      </c>
      <c r="G42" s="30">
        <f>'Resid Rate Calc (rev WRG-3)'!G420</f>
        <v>834.33333333333337</v>
      </c>
      <c r="I42" s="30">
        <f>'Resid Rate Calc (rev WRG-3)'!G422/1000</f>
        <v>17077.687000000002</v>
      </c>
      <c r="K42" s="31">
        <f>('Resid Rate Calc (rev WRG-3)'!M422)/1000</f>
        <v>5089.2430000000004</v>
      </c>
      <c r="L42" s="32"/>
      <c r="M42" s="31">
        <f>('Resid Rate Calc (rev WRG-3)'!Q422)/1000</f>
        <v>5089.2430000000004</v>
      </c>
      <c r="N42" s="32"/>
      <c r="O42" s="31">
        <f>M42-K42</f>
        <v>0</v>
      </c>
      <c r="Q42" s="131">
        <f t="shared" si="3"/>
        <v>0</v>
      </c>
      <c r="S42" s="28">
        <f t="shared" si="4"/>
        <v>29.8</v>
      </c>
    </row>
    <row r="43" spans="1:19">
      <c r="A43" s="108">
        <f>MAX(A$14:A42)+1</f>
        <v>27</v>
      </c>
      <c r="C43" s="108" t="s">
        <v>427</v>
      </c>
      <c r="E43" s="108">
        <v>12</v>
      </c>
      <c r="G43" s="30">
        <f>'Resid Rate Calc (rev WRG-3)'!G514</f>
        <v>781.66666666666674</v>
      </c>
      <c r="I43" s="53">
        <f>'Resid Rate Calc (rev WRG-3)'!G516/1000</f>
        <v>55429.428999999996</v>
      </c>
      <c r="K43" s="31">
        <f>('Resid Rate Calc (rev WRG-3)'!M516)/1000</f>
        <v>4058.8130000000001</v>
      </c>
      <c r="L43" s="32"/>
      <c r="M43" s="31">
        <f>('Resid Rate Calc (rev WRG-3)'!Q516)/1000</f>
        <v>4058.8130000000001</v>
      </c>
      <c r="N43" s="32"/>
      <c r="O43" s="31">
        <f>M43-K43</f>
        <v>0</v>
      </c>
      <c r="Q43" s="131">
        <f t="shared" si="3"/>
        <v>0</v>
      </c>
      <c r="S43" s="28">
        <f t="shared" si="4"/>
        <v>7.32</v>
      </c>
    </row>
    <row r="44" spans="1:19" s="129" customFormat="1">
      <c r="A44" s="129">
        <f>MAX(A$14:A43)+1</f>
        <v>28</v>
      </c>
      <c r="C44" s="129" t="s">
        <v>428</v>
      </c>
      <c r="D44" s="142"/>
      <c r="E44" s="129">
        <v>15</v>
      </c>
      <c r="F44" s="142"/>
      <c r="G44" s="56">
        <f>('Resid Rate Calc (rev WRG-3)'!G522)/12</f>
        <v>538.91666666666663</v>
      </c>
      <c r="H44" s="142"/>
      <c r="I44" s="56">
        <f>('Resid Rate Calc (rev WRG-3)'!G525)/1000</f>
        <v>15717.486000000001</v>
      </c>
      <c r="J44" s="142"/>
      <c r="K44" s="57">
        <f>('Resid Rate Calc (rev WRG-3)'!M525)/1000</f>
        <v>1144.626</v>
      </c>
      <c r="L44" s="58"/>
      <c r="M44" s="57">
        <f>('Resid Rate Calc (rev WRG-3)'!Q525)/1000</f>
        <v>1144.626</v>
      </c>
      <c r="N44" s="58"/>
      <c r="O44" s="57">
        <f>M44-K44</f>
        <v>0</v>
      </c>
      <c r="P44" s="142"/>
      <c r="Q44" s="143">
        <f t="shared" si="3"/>
        <v>0</v>
      </c>
      <c r="R44" s="142"/>
      <c r="S44" s="60">
        <f t="shared" si="4"/>
        <v>7.28</v>
      </c>
    </row>
    <row r="45" spans="1:19">
      <c r="A45" s="108">
        <f>MAX(A$14:A44)+1</f>
        <v>29</v>
      </c>
      <c r="C45" s="108" t="s">
        <v>429</v>
      </c>
      <c r="E45" s="108">
        <v>15</v>
      </c>
      <c r="G45" s="47">
        <f>'Resid Rate Calc (rev WRG-3)'!G528/12</f>
        <v>2478.6666666666665</v>
      </c>
      <c r="I45" s="47">
        <f>'Resid Rate Calc (rev WRG-3)'!G531/1000</f>
        <v>5662.7629999999999</v>
      </c>
      <c r="K45" s="39">
        <f>('Resid Rate Calc (rev WRG-3)'!M531)/1000</f>
        <v>584.89400000000001</v>
      </c>
      <c r="L45" s="32"/>
      <c r="M45" s="39">
        <f>('Resid Rate Calc (rev WRG-3)'!Q531)/1000</f>
        <v>612.35900000000004</v>
      </c>
      <c r="N45" s="32"/>
      <c r="O45" s="39">
        <f>M45-K45</f>
        <v>27.465000000000032</v>
      </c>
      <c r="Q45" s="138">
        <f t="shared" si="3"/>
        <v>4.6957226437610973E-2</v>
      </c>
      <c r="S45" s="42">
        <f t="shared" si="4"/>
        <v>10.81</v>
      </c>
    </row>
    <row r="46" spans="1:19">
      <c r="A46" s="108">
        <f>MAX(A$14:A45)+1</f>
        <v>30</v>
      </c>
      <c r="C46" s="140" t="s">
        <v>430</v>
      </c>
      <c r="D46" s="61"/>
      <c r="F46" s="61"/>
      <c r="G46" s="30">
        <f>SUM(G41:G45)</f>
        <v>12498.583333333332</v>
      </c>
      <c r="H46" s="61"/>
      <c r="I46" s="30">
        <f>SUM(I41:I45)</f>
        <v>106208.93948</v>
      </c>
      <c r="J46" s="61"/>
      <c r="K46" s="31">
        <f>SUM(K41:K45)</f>
        <v>13842.304</v>
      </c>
      <c r="L46" s="31"/>
      <c r="M46" s="31">
        <f>SUM(M41:M45)</f>
        <v>13869.769</v>
      </c>
      <c r="N46" s="31"/>
      <c r="O46" s="31">
        <f>SUM(O41:O45)</f>
        <v>27.465000000000032</v>
      </c>
      <c r="P46" s="61"/>
      <c r="Q46" s="131">
        <f t="shared" si="3"/>
        <v>1.9841350110501857E-3</v>
      </c>
      <c r="R46" s="61"/>
      <c r="S46" s="28">
        <f t="shared" si="4"/>
        <v>13.06</v>
      </c>
    </row>
    <row r="47" spans="1:19" ht="21.95" customHeight="1">
      <c r="A47" s="108">
        <f>MAX(A$14:A46)+1</f>
        <v>31</v>
      </c>
      <c r="C47" s="135" t="s">
        <v>431</v>
      </c>
      <c r="E47" s="134" t="s">
        <v>396</v>
      </c>
      <c r="G47" s="30">
        <v>5</v>
      </c>
      <c r="I47" s="30">
        <f>'Resid Rate Calc (rev WRG-3)'!G800/1000</f>
        <v>7.9721299999999999</v>
      </c>
      <c r="K47" s="31">
        <f>'Resid Rate Calc (rev WRG-3)'!M800/1000</f>
        <v>0.60099999999999998</v>
      </c>
      <c r="L47" s="32"/>
      <c r="M47" s="31">
        <f>'Resid Rate Calc (rev WRG-3)'!Q800/1000</f>
        <v>0.60099999999999998</v>
      </c>
      <c r="N47" s="32"/>
      <c r="O47" s="31">
        <f>M47-K47</f>
        <v>0</v>
      </c>
      <c r="Q47" s="131">
        <f t="shared" si="3"/>
        <v>0</v>
      </c>
      <c r="S47" s="28">
        <f t="shared" si="4"/>
        <v>7.54</v>
      </c>
    </row>
    <row r="48" spans="1:19">
      <c r="A48" s="108">
        <f>MAX(A$14:A47)+1</f>
        <v>32</v>
      </c>
      <c r="C48" s="144" t="s">
        <v>432</v>
      </c>
      <c r="E48" s="134" t="s">
        <v>396</v>
      </c>
      <c r="G48" s="30">
        <v>1</v>
      </c>
      <c r="I48" s="30">
        <f>'Resid Rate Calc (rev WRG-3)'!G791/1000</f>
        <v>135.42099999999999</v>
      </c>
      <c r="K48" s="31">
        <f>'Resid Rate Calc (rev WRG-3)'!M791/1000</f>
        <v>17.277000000000001</v>
      </c>
      <c r="L48" s="32"/>
      <c r="M48" s="31">
        <f>'Resid Rate Calc (rev WRG-3)'!Q791/1000</f>
        <v>17.277000000000001</v>
      </c>
      <c r="N48" s="32"/>
      <c r="O48" s="31">
        <f>M48-K48</f>
        <v>0</v>
      </c>
      <c r="Q48" s="131">
        <f t="shared" si="3"/>
        <v>0</v>
      </c>
      <c r="S48" s="28">
        <f t="shared" si="4"/>
        <v>12.76</v>
      </c>
    </row>
    <row r="49" spans="1:19">
      <c r="A49" s="108">
        <f>MAX(A$14:A48)+1</f>
        <v>33</v>
      </c>
      <c r="C49" s="135" t="s">
        <v>395</v>
      </c>
      <c r="D49" s="63"/>
      <c r="E49" s="136" t="s">
        <v>396</v>
      </c>
      <c r="F49" s="63"/>
      <c r="G49" s="64"/>
      <c r="H49" s="63"/>
      <c r="I49" s="64" t="s">
        <v>396</v>
      </c>
      <c r="J49" s="63"/>
      <c r="K49" s="39">
        <v>4.6616400000000002</v>
      </c>
      <c r="L49" s="32"/>
      <c r="M49" s="39">
        <f>K49</f>
        <v>4.6616400000000002</v>
      </c>
      <c r="N49" s="32"/>
      <c r="O49" s="39">
        <f>M49-K49</f>
        <v>0</v>
      </c>
      <c r="P49" s="63"/>
      <c r="Q49" s="138">
        <f t="shared" si="3"/>
        <v>0</v>
      </c>
      <c r="R49" s="63"/>
      <c r="S49" s="42"/>
    </row>
    <row r="50" spans="1:19" ht="21.95" customHeight="1">
      <c r="A50" s="108">
        <f>MAX(A$14:A49)+1</f>
        <v>34</v>
      </c>
      <c r="C50" s="121" t="s">
        <v>433</v>
      </c>
      <c r="E50" s="129"/>
      <c r="G50" s="47">
        <f>SUM(G47:G49)+G46</f>
        <v>12504.583333333332</v>
      </c>
      <c r="I50" s="47">
        <f>SUM(I47:I49)+I46</f>
        <v>106352.33261</v>
      </c>
      <c r="K50" s="39">
        <f>SUM(K47:K49)+K46</f>
        <v>13864.843640000001</v>
      </c>
      <c r="L50" s="32"/>
      <c r="M50" s="39">
        <f>SUM(M47:M49)+M46</f>
        <v>13892.308640000001</v>
      </c>
      <c r="N50" s="32"/>
      <c r="O50" s="39">
        <f>SUM(O47:O49)+O46</f>
        <v>27.465000000000032</v>
      </c>
      <c r="Q50" s="138">
        <f t="shared" si="3"/>
        <v>1.9809094652004332E-3</v>
      </c>
      <c r="S50" s="42">
        <f>ROUND(100*M50/I50,2)</f>
        <v>13.06</v>
      </c>
    </row>
    <row r="51" spans="1:19" ht="24.95" customHeight="1" thickBot="1">
      <c r="A51" s="108">
        <f>MAX(A$14:A50)+1</f>
        <v>35</v>
      </c>
      <c r="C51" s="121" t="s">
        <v>434</v>
      </c>
      <c r="E51" s="129"/>
      <c r="G51" s="66">
        <f>G50+G38+G18</f>
        <v>829772.99999861105</v>
      </c>
      <c r="I51" s="66">
        <f>I50+I38+I18</f>
        <v>23734642.546710003</v>
      </c>
      <c r="K51" s="67">
        <f>K50+K38+K18</f>
        <v>1772847.4974491666</v>
      </c>
      <c r="L51" s="32"/>
      <c r="M51" s="67">
        <f>M50+M38+M18</f>
        <v>1852667.7894491665</v>
      </c>
      <c r="N51" s="32"/>
      <c r="O51" s="67">
        <f>O50+O38+O18</f>
        <v>79820.291999999929</v>
      </c>
      <c r="Q51" s="145">
        <f t="shared" si="3"/>
        <v>4.502377791369426E-2</v>
      </c>
      <c r="S51" s="69">
        <f>ROUND(100*M51/I51,2)</f>
        <v>7.81</v>
      </c>
    </row>
    <row r="52" spans="1:19" ht="35.1" customHeight="1" thickTop="1" thickBot="1">
      <c r="A52" s="108">
        <f>MAX(A$14:A51)+1</f>
        <v>36</v>
      </c>
      <c r="C52" s="146" t="s">
        <v>435</v>
      </c>
      <c r="E52" s="129"/>
      <c r="G52" s="66">
        <f>G46+G39+G18-G17</f>
        <v>829764.99999861105</v>
      </c>
      <c r="I52" s="66">
        <f>I46+I39+I18-I17</f>
        <v>22472728.410830002</v>
      </c>
      <c r="K52" s="67">
        <f>K46+K39+K18-K17</f>
        <v>1717126.919</v>
      </c>
      <c r="L52" s="32"/>
      <c r="M52" s="67">
        <f>M46+M39+M18-M17</f>
        <v>1796947.2110000004</v>
      </c>
      <c r="N52" s="32"/>
      <c r="O52" s="67">
        <f>O46+O39+O18-O17</f>
        <v>79820.291999999929</v>
      </c>
      <c r="Q52" s="145">
        <f t="shared" si="3"/>
        <v>4.6484794523217146E-2</v>
      </c>
      <c r="S52" s="69">
        <f>ROUND(100*M52/I52,2)</f>
        <v>8</v>
      </c>
    </row>
    <row r="53" spans="1:19" ht="16.5" thickTop="1">
      <c r="E53" s="129"/>
    </row>
    <row r="54" spans="1:19">
      <c r="C54" s="135"/>
      <c r="K54" s="31"/>
      <c r="M54" s="31"/>
    </row>
    <row r="55" spans="1:19">
      <c r="C55" s="135"/>
      <c r="K55" s="44"/>
    </row>
    <row r="56" spans="1:19">
      <c r="K56" s="44"/>
    </row>
  </sheetData>
  <phoneticPr fontId="39" type="noConversion"/>
  <printOptions horizontalCentered="1"/>
  <pageMargins left="0.5" right="0.5" top="1" bottom="0.5" header="0.5" footer="0.2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published="0" enableFormatConditionsCalculation="0">
    <pageSetUpPr fitToPage="1"/>
  </sheetPr>
  <dimension ref="B1:AH812"/>
  <sheetViews>
    <sheetView topLeftCell="A5" zoomScaleNormal="100" zoomScalePageLayoutView="70" workbookViewId="0">
      <pane xSplit="4" ySplit="13" topLeftCell="E18" activePane="bottomRight" state="frozen"/>
      <selection activeCell="A5" sqref="A5"/>
      <selection pane="topRight" activeCell="E5" sqref="E5"/>
      <selection pane="bottomLeft" activeCell="A18" sqref="A18"/>
      <selection pane="bottomRight" activeCell="E12" sqref="E12"/>
    </sheetView>
  </sheetViews>
  <sheetFormatPr defaultColWidth="9" defaultRowHeight="15.75"/>
  <cols>
    <col min="1" max="1" width="9" style="260"/>
    <col min="2" max="2" width="33.125" style="264" customWidth="1"/>
    <col min="3" max="3" width="7.5" style="264" customWidth="1"/>
    <col min="4" max="4" width="1.875" style="264" customWidth="1"/>
    <col min="5" max="5" width="16.125" style="264" bestFit="1" customWidth="1"/>
    <col min="6" max="6" width="1" style="265" customWidth="1"/>
    <col min="7" max="7" width="16.125" style="264" bestFit="1" customWidth="1"/>
    <col min="8" max="8" width="1" style="265" customWidth="1"/>
    <col min="9" max="9" width="10" style="264" bestFit="1" customWidth="1"/>
    <col min="10" max="10" width="2.125" style="265" bestFit="1" customWidth="1"/>
    <col min="11" max="11" width="15.5" style="264" bestFit="1" customWidth="1"/>
    <col min="12" max="12" width="1.375" style="265" customWidth="1"/>
    <col min="13" max="13" width="15.5" style="264" bestFit="1" customWidth="1"/>
    <col min="14" max="14" width="1" style="265" customWidth="1"/>
    <col min="15" max="15" width="10" style="264" bestFit="1" customWidth="1"/>
    <col min="16" max="16" width="2.125" style="265" bestFit="1" customWidth="1"/>
    <col min="17" max="17" width="15.5" style="264" bestFit="1" customWidth="1"/>
    <col min="18" max="18" width="1.625" style="264" customWidth="1"/>
    <col min="19" max="19" width="15.5" style="264" customWidth="1"/>
    <col min="20" max="20" width="1.625" style="264" customWidth="1"/>
    <col min="21" max="27" width="15.5" style="264" customWidth="1"/>
    <col min="28" max="28" width="2.375" style="264" customWidth="1"/>
    <col min="29" max="29" width="18" style="264" customWidth="1"/>
    <col min="30" max="30" width="13.625" style="260" bestFit="1" customWidth="1"/>
    <col min="31" max="31" width="3.375" style="260" customWidth="1"/>
    <col min="32" max="32" width="9.625" style="260" bestFit="1" customWidth="1"/>
    <col min="33" max="33" width="8.625" style="260" bestFit="1" customWidth="1"/>
    <col min="34" max="34" width="7.125" style="260" bestFit="1" customWidth="1"/>
    <col min="35" max="35" width="9" style="260" bestFit="1"/>
    <col min="36" max="36" width="6.625" style="260" bestFit="1" customWidth="1"/>
    <col min="37" max="16384" width="9" style="260"/>
  </cols>
  <sheetData>
    <row r="1" spans="2:34" ht="18.75">
      <c r="B1" s="252" t="s">
        <v>446</v>
      </c>
      <c r="C1" s="253"/>
      <c r="D1" s="253"/>
      <c r="E1" s="253"/>
      <c r="F1" s="254"/>
      <c r="G1" s="253"/>
      <c r="H1" s="254"/>
      <c r="I1" s="253"/>
      <c r="J1" s="254"/>
      <c r="K1" s="253"/>
      <c r="L1" s="254"/>
      <c r="M1" s="253"/>
      <c r="N1" s="254"/>
      <c r="O1" s="253"/>
      <c r="P1" s="254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6"/>
      <c r="AC1" s="256"/>
      <c r="AD1" s="257"/>
      <c r="AE1" s="258"/>
      <c r="AF1" s="259"/>
      <c r="AG1" s="259"/>
      <c r="AH1" s="259"/>
    </row>
    <row r="2" spans="2:34" ht="18.75">
      <c r="B2" s="252" t="s">
        <v>298</v>
      </c>
      <c r="C2" s="253"/>
      <c r="D2" s="253"/>
      <c r="E2" s="253"/>
      <c r="F2" s="254"/>
      <c r="G2" s="253"/>
      <c r="H2" s="254"/>
      <c r="I2" s="253"/>
      <c r="J2" s="254"/>
      <c r="K2" s="253"/>
      <c r="L2" s="254"/>
      <c r="M2" s="253"/>
      <c r="N2" s="254"/>
      <c r="O2" s="253"/>
      <c r="P2" s="254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61"/>
      <c r="AC2" s="261"/>
      <c r="AD2" s="257"/>
      <c r="AE2" s="258"/>
      <c r="AF2" s="259"/>
      <c r="AG2" s="259"/>
      <c r="AH2" s="259"/>
    </row>
    <row r="3" spans="2:34" ht="18.75">
      <c r="B3" s="252" t="s">
        <v>23</v>
      </c>
      <c r="C3" s="253"/>
      <c r="D3" s="253"/>
      <c r="E3" s="253"/>
      <c r="F3" s="254"/>
      <c r="G3" s="253"/>
      <c r="H3" s="254"/>
      <c r="I3" s="253"/>
      <c r="J3" s="254"/>
      <c r="K3" s="253"/>
      <c r="L3" s="254"/>
      <c r="M3" s="253"/>
      <c r="N3" s="254"/>
      <c r="O3" s="253"/>
      <c r="P3" s="254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61"/>
      <c r="AC3" s="261"/>
      <c r="AD3" s="257"/>
      <c r="AE3" s="258"/>
      <c r="AF3" s="259"/>
      <c r="AG3" s="259"/>
      <c r="AH3" s="259"/>
    </row>
    <row r="4" spans="2:34" ht="18.75">
      <c r="B4" s="252" t="s">
        <v>24</v>
      </c>
      <c r="C4" s="253"/>
      <c r="D4" s="253"/>
      <c r="E4" s="253"/>
      <c r="F4" s="254"/>
      <c r="G4" s="253"/>
      <c r="H4" s="254"/>
      <c r="I4" s="253"/>
      <c r="J4" s="254"/>
      <c r="K4" s="253"/>
      <c r="L4" s="254"/>
      <c r="M4" s="253"/>
      <c r="N4" s="254"/>
      <c r="O4" s="253"/>
      <c r="P4" s="254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61"/>
      <c r="AC4" s="261"/>
      <c r="AD4" s="262"/>
      <c r="AE4" s="263"/>
      <c r="AF4" s="259"/>
      <c r="AG4" s="259"/>
      <c r="AH4" s="259"/>
    </row>
    <row r="5" spans="2:34">
      <c r="B5" s="403" t="s">
        <v>7</v>
      </c>
      <c r="C5" s="403">
        <v>5</v>
      </c>
      <c r="D5" s="403"/>
      <c r="E5" s="404"/>
      <c r="F5" s="405"/>
      <c r="G5" s="404"/>
      <c r="H5" s="405"/>
      <c r="I5" s="403"/>
      <c r="J5" s="406"/>
      <c r="K5" s="407"/>
      <c r="L5" s="405"/>
      <c r="M5" s="407"/>
      <c r="N5" s="405"/>
      <c r="O5" s="403"/>
      <c r="P5" s="406"/>
      <c r="Q5" s="407"/>
      <c r="R5" s="407"/>
      <c r="S5" s="407"/>
      <c r="T5" s="407"/>
      <c r="U5" s="407"/>
      <c r="V5" s="266"/>
      <c r="W5" s="266"/>
      <c r="X5" s="266"/>
      <c r="Y5" s="266"/>
      <c r="Z5" s="266"/>
      <c r="AA5" s="266"/>
      <c r="AB5" s="266"/>
    </row>
    <row r="6" spans="2:34">
      <c r="B6" s="403" t="s">
        <v>9</v>
      </c>
      <c r="C6" s="403">
        <v>8</v>
      </c>
      <c r="D6" s="403"/>
      <c r="E6" s="404"/>
      <c r="F6" s="405"/>
      <c r="G6" s="404"/>
      <c r="H6" s="405"/>
      <c r="I6" s="403"/>
      <c r="J6" s="406"/>
      <c r="K6" s="407"/>
      <c r="L6" s="405"/>
      <c r="M6" s="407"/>
      <c r="N6" s="405"/>
      <c r="O6" s="403"/>
      <c r="P6" s="406"/>
      <c r="Q6" s="407"/>
      <c r="R6" s="407"/>
      <c r="S6" s="407"/>
      <c r="T6" s="407"/>
      <c r="U6" s="407"/>
      <c r="V6" s="266"/>
      <c r="W6" s="266"/>
      <c r="X6" s="266"/>
      <c r="Y6" s="266"/>
      <c r="Z6" s="266"/>
      <c r="AA6" s="266"/>
      <c r="AB6" s="266"/>
    </row>
    <row r="7" spans="2:34">
      <c r="B7" s="408" t="s">
        <v>322</v>
      </c>
      <c r="C7" s="403">
        <v>7</v>
      </c>
      <c r="D7" s="403"/>
      <c r="E7" s="404"/>
      <c r="F7" s="405"/>
      <c r="G7" s="404"/>
      <c r="H7" s="405"/>
      <c r="I7" s="403"/>
      <c r="J7" s="406"/>
      <c r="K7" s="407"/>
      <c r="L7" s="405"/>
      <c r="M7" s="407"/>
      <c r="N7" s="405"/>
      <c r="O7" s="403"/>
      <c r="P7" s="406"/>
      <c r="Q7" s="407"/>
      <c r="R7" s="407"/>
      <c r="S7" s="407"/>
      <c r="T7" s="407"/>
      <c r="U7" s="407"/>
      <c r="V7" s="266"/>
      <c r="W7" s="266"/>
      <c r="X7" s="266"/>
      <c r="Y7" s="266"/>
      <c r="Z7" s="266"/>
      <c r="AA7" s="266"/>
      <c r="AB7" s="266"/>
    </row>
    <row r="8" spans="2:34">
      <c r="B8" s="408" t="s">
        <v>324</v>
      </c>
      <c r="C8" s="403">
        <v>14</v>
      </c>
      <c r="D8" s="403"/>
      <c r="E8" s="404"/>
      <c r="F8" s="405"/>
      <c r="G8" s="404"/>
      <c r="H8" s="405"/>
      <c r="I8" s="403"/>
      <c r="J8" s="406"/>
      <c r="K8" s="407"/>
      <c r="L8" s="405"/>
      <c r="M8" s="407"/>
      <c r="N8" s="405"/>
      <c r="O8" s="403"/>
      <c r="P8" s="406"/>
      <c r="Q8" s="407"/>
      <c r="R8" s="407"/>
      <c r="S8" s="407"/>
      <c r="T8" s="407"/>
      <c r="U8" s="407"/>
      <c r="V8" s="266"/>
      <c r="W8" s="266"/>
      <c r="X8" s="266"/>
      <c r="Y8" s="266"/>
      <c r="Z8" s="266"/>
      <c r="AA8" s="266"/>
      <c r="AB8" s="266"/>
    </row>
    <row r="9" spans="2:34">
      <c r="B9" s="408" t="s">
        <v>326</v>
      </c>
      <c r="C9" s="403">
        <v>84</v>
      </c>
      <c r="D9" s="403"/>
      <c r="E9" s="404"/>
      <c r="F9" s="405"/>
      <c r="G9" s="404"/>
      <c r="H9" s="405"/>
      <c r="I9" s="403"/>
      <c r="J9" s="406"/>
      <c r="K9" s="407"/>
      <c r="L9" s="405"/>
      <c r="M9" s="407"/>
      <c r="N9" s="405"/>
      <c r="O9" s="403"/>
      <c r="P9" s="406"/>
      <c r="Q9" s="407"/>
      <c r="R9" s="407"/>
      <c r="S9" s="407"/>
      <c r="T9" s="407"/>
      <c r="U9" s="407"/>
      <c r="V9" s="266"/>
      <c r="W9" s="266"/>
      <c r="X9" s="266"/>
      <c r="Y9" s="266"/>
      <c r="Z9" s="266"/>
      <c r="AA9" s="266"/>
      <c r="AB9" s="266"/>
    </row>
    <row r="10" spans="2:34">
      <c r="B10" s="403" t="s">
        <v>6</v>
      </c>
      <c r="C10" s="437" t="s">
        <v>447</v>
      </c>
      <c r="D10" s="437"/>
      <c r="E10" s="404"/>
      <c r="F10" s="405"/>
      <c r="G10" s="404"/>
      <c r="H10" s="405"/>
      <c r="I10" s="403"/>
      <c r="J10" s="406"/>
      <c r="K10" s="407"/>
      <c r="L10" s="405"/>
      <c r="M10" s="407"/>
      <c r="N10" s="405"/>
      <c r="O10" s="403"/>
      <c r="P10" s="406"/>
      <c r="Q10" s="407"/>
      <c r="R10" s="407"/>
      <c r="S10" s="407"/>
      <c r="T10" s="407"/>
      <c r="U10" s="407"/>
      <c r="V10" s="266"/>
      <c r="W10" s="266"/>
      <c r="X10" s="266"/>
      <c r="Y10" s="266"/>
      <c r="Z10" s="266"/>
      <c r="AA10" s="266"/>
      <c r="AB10" s="266"/>
    </row>
    <row r="11" spans="2:34">
      <c r="B11" s="403" t="s">
        <v>1</v>
      </c>
      <c r="C11" s="409">
        <v>11.6</v>
      </c>
      <c r="D11" s="410" t="s">
        <v>314</v>
      </c>
      <c r="E11" s="260"/>
      <c r="F11" s="405"/>
      <c r="G11" s="404"/>
      <c r="H11" s="405"/>
      <c r="I11" s="403"/>
      <c r="J11" s="406"/>
      <c r="K11" s="407"/>
      <c r="L11" s="405"/>
      <c r="M11" s="407"/>
      <c r="N11" s="405"/>
      <c r="O11" s="403"/>
      <c r="P11" s="406"/>
      <c r="Q11" s="407"/>
      <c r="R11" s="407"/>
      <c r="S11" s="407"/>
      <c r="T11" s="407"/>
      <c r="U11" s="407"/>
      <c r="V11" s="266"/>
      <c r="W11" s="266"/>
      <c r="X11" s="266"/>
      <c r="Y11" s="266"/>
      <c r="Z11" s="266"/>
      <c r="AA11" s="266"/>
      <c r="AB11" s="266"/>
    </row>
    <row r="12" spans="2:34">
      <c r="B12" s="403" t="s">
        <v>2</v>
      </c>
      <c r="C12" s="409">
        <v>14.5</v>
      </c>
      <c r="D12" s="410" t="s">
        <v>314</v>
      </c>
      <c r="E12" s="260">
        <f>I23*1.1054</f>
        <v>14.22749286</v>
      </c>
      <c r="F12" s="405"/>
      <c r="G12" s="411"/>
      <c r="H12" s="405"/>
      <c r="I12" s="403"/>
      <c r="J12" s="406"/>
      <c r="K12" s="407"/>
      <c r="L12" s="405"/>
      <c r="M12" s="407"/>
      <c r="N12" s="405"/>
      <c r="O12" s="403"/>
      <c r="P12" s="406"/>
      <c r="Q12" s="407"/>
      <c r="R12" s="407"/>
      <c r="S12" s="407"/>
      <c r="T12" s="407"/>
      <c r="U12" s="407"/>
      <c r="V12" s="266"/>
      <c r="W12" s="266"/>
      <c r="X12" s="266"/>
      <c r="Y12" s="266"/>
      <c r="Z12" s="266"/>
      <c r="AA12" s="266"/>
      <c r="AB12" s="266"/>
    </row>
    <row r="13" spans="2:34">
      <c r="B13" s="403" t="s">
        <v>3</v>
      </c>
      <c r="C13" s="409">
        <v>9.6199999999999992</v>
      </c>
      <c r="D13" s="410" t="s">
        <v>314</v>
      </c>
      <c r="E13" s="260"/>
      <c r="F13" s="405"/>
      <c r="G13" s="404"/>
      <c r="H13" s="405"/>
      <c r="I13" s="403"/>
      <c r="J13" s="406"/>
      <c r="K13" s="407"/>
      <c r="L13" s="405"/>
      <c r="M13" s="407"/>
      <c r="N13" s="405"/>
      <c r="O13" s="403"/>
      <c r="P13" s="406"/>
      <c r="Q13" s="407"/>
      <c r="R13" s="407"/>
      <c r="S13" s="407"/>
      <c r="T13" s="407"/>
      <c r="U13" s="407"/>
      <c r="V13" s="266"/>
      <c r="W13" s="266"/>
      <c r="X13" s="266"/>
      <c r="Y13" s="266"/>
      <c r="Z13" s="266"/>
      <c r="AA13" s="266"/>
      <c r="AB13" s="266"/>
    </row>
    <row r="14" spans="2:34" ht="16.5" thickBot="1">
      <c r="B14" s="403"/>
      <c r="C14" s="403"/>
      <c r="D14" s="403"/>
      <c r="E14" s="404"/>
      <c r="F14" s="405"/>
      <c r="G14" s="404"/>
      <c r="H14" s="405"/>
      <c r="I14" s="441" t="s">
        <v>4</v>
      </c>
      <c r="J14" s="441"/>
      <c r="K14" s="441"/>
      <c r="L14" s="441"/>
      <c r="M14" s="441"/>
      <c r="N14" s="405"/>
      <c r="O14" s="441" t="s">
        <v>5</v>
      </c>
      <c r="P14" s="441"/>
      <c r="Q14" s="441"/>
      <c r="R14" s="407"/>
      <c r="S14" s="441" t="s">
        <v>8</v>
      </c>
      <c r="T14" s="441"/>
      <c r="U14" s="441"/>
      <c r="V14" s="261"/>
      <c r="W14" s="261"/>
      <c r="X14" s="261"/>
      <c r="Y14" s="261"/>
      <c r="Z14" s="266"/>
      <c r="AA14" s="266"/>
      <c r="AB14" s="266"/>
    </row>
    <row r="15" spans="2:34" ht="14.1" customHeight="1">
      <c r="B15" s="403"/>
      <c r="C15" s="403"/>
      <c r="D15" s="403"/>
      <c r="E15" s="412"/>
      <c r="F15" s="405"/>
      <c r="G15" s="412"/>
      <c r="H15" s="405"/>
      <c r="I15" s="407"/>
      <c r="J15" s="406"/>
      <c r="K15" s="407" t="s">
        <v>376</v>
      </c>
      <c r="L15" s="405"/>
      <c r="M15" s="407" t="s">
        <v>299</v>
      </c>
      <c r="N15" s="405"/>
      <c r="O15" s="407"/>
      <c r="P15" s="406"/>
      <c r="Q15" s="407" t="s">
        <v>377</v>
      </c>
      <c r="R15" s="407"/>
      <c r="S15" s="407"/>
      <c r="T15" s="407"/>
      <c r="U15" s="407" t="s">
        <v>377</v>
      </c>
      <c r="V15" s="266"/>
      <c r="W15" s="266"/>
      <c r="X15" s="266"/>
      <c r="Y15" s="266"/>
      <c r="AA15" s="266"/>
      <c r="AB15" s="266"/>
      <c r="AD15" s="267"/>
    </row>
    <row r="16" spans="2:34" ht="14.1" customHeight="1">
      <c r="B16" s="403"/>
      <c r="C16" s="403"/>
      <c r="D16" s="403"/>
      <c r="E16" s="413" t="s">
        <v>300</v>
      </c>
      <c r="F16" s="405"/>
      <c r="G16" s="413" t="s">
        <v>299</v>
      </c>
      <c r="H16" s="405"/>
      <c r="I16" s="407" t="s">
        <v>376</v>
      </c>
      <c r="J16" s="406"/>
      <c r="K16" s="407" t="s">
        <v>301</v>
      </c>
      <c r="L16" s="405"/>
      <c r="M16" s="407" t="s">
        <v>301</v>
      </c>
      <c r="N16" s="405"/>
      <c r="O16" s="407" t="s">
        <v>377</v>
      </c>
      <c r="P16" s="406"/>
      <c r="Q16" s="407" t="s">
        <v>301</v>
      </c>
      <c r="R16" s="407"/>
      <c r="S16" s="407" t="s">
        <v>377</v>
      </c>
      <c r="T16" s="407"/>
      <c r="U16" s="407" t="s">
        <v>301</v>
      </c>
      <c r="V16" s="266"/>
      <c r="W16" s="266"/>
      <c r="X16" s="266"/>
      <c r="Y16" s="266"/>
      <c r="AA16" s="266"/>
      <c r="AB16" s="266"/>
      <c r="AC16" s="268"/>
      <c r="AD16" s="264"/>
    </row>
    <row r="17" spans="2:34" ht="14.1" customHeight="1">
      <c r="B17" s="417" t="s">
        <v>306</v>
      </c>
      <c r="C17" s="403"/>
      <c r="D17" s="403"/>
      <c r="E17" s="414" t="s">
        <v>302</v>
      </c>
      <c r="F17" s="405"/>
      <c r="G17" s="414" t="s">
        <v>303</v>
      </c>
      <c r="H17" s="405"/>
      <c r="I17" s="415" t="s">
        <v>304</v>
      </c>
      <c r="J17" s="406"/>
      <c r="K17" s="416" t="s">
        <v>305</v>
      </c>
      <c r="L17" s="405"/>
      <c r="M17" s="416" t="s">
        <v>305</v>
      </c>
      <c r="N17" s="405"/>
      <c r="O17" s="416" t="s">
        <v>304</v>
      </c>
      <c r="P17" s="406"/>
      <c r="Q17" s="416" t="s">
        <v>305</v>
      </c>
      <c r="R17" s="406"/>
      <c r="S17" s="416" t="s">
        <v>304</v>
      </c>
      <c r="T17" s="406"/>
      <c r="U17" s="416" t="s">
        <v>305</v>
      </c>
      <c r="V17" s="261"/>
      <c r="W17" s="261"/>
      <c r="X17" s="261"/>
      <c r="Y17" s="261"/>
      <c r="AA17" s="261"/>
      <c r="AB17" s="261"/>
      <c r="AC17" s="269"/>
      <c r="AD17" s="270"/>
      <c r="AE17" s="271"/>
    </row>
    <row r="18" spans="2:34">
      <c r="B18" s="408" t="s">
        <v>307</v>
      </c>
      <c r="C18" s="403"/>
      <c r="D18" s="403"/>
      <c r="E18" s="418">
        <v>8079074.015400839</v>
      </c>
      <c r="F18" s="405"/>
      <c r="G18" s="419">
        <v>8214896.8556569237</v>
      </c>
      <c r="H18" s="405"/>
      <c r="I18" s="420"/>
      <c r="J18" s="421"/>
      <c r="K18" s="422"/>
      <c r="L18" s="405"/>
      <c r="M18" s="422"/>
      <c r="N18" s="405"/>
      <c r="O18" s="420"/>
      <c r="P18" s="421"/>
      <c r="Q18" s="422"/>
      <c r="R18" s="422"/>
      <c r="S18" s="422"/>
      <c r="T18" s="422"/>
      <c r="U18" s="422"/>
      <c r="V18" s="267"/>
      <c r="W18" s="267"/>
      <c r="X18" s="267"/>
      <c r="Y18" s="267"/>
      <c r="Z18" s="267"/>
      <c r="AA18" s="267"/>
      <c r="AB18" s="267"/>
      <c r="AC18" s="277" t="s">
        <v>308</v>
      </c>
      <c r="AD18" s="278">
        <f>Q32+Q55+Q74</f>
        <v>680498417</v>
      </c>
      <c r="AF18" s="279"/>
      <c r="AG18" s="274"/>
      <c r="AH18" s="274"/>
    </row>
    <row r="19" spans="2:34">
      <c r="B19" s="408" t="s">
        <v>309</v>
      </c>
      <c r="C19" s="403"/>
      <c r="D19" s="403"/>
      <c r="E19" s="418">
        <v>7940620.9272008315</v>
      </c>
      <c r="F19" s="405"/>
      <c r="G19" s="423">
        <f>ROUND(E19/$E$18*$G$18,0)</f>
        <v>8074116</v>
      </c>
      <c r="H19" s="405"/>
      <c r="I19" s="420">
        <v>4</v>
      </c>
      <c r="J19" s="421"/>
      <c r="K19" s="422">
        <f t="shared" ref="K19:K20" si="0">ROUND($I19*E19,0)</f>
        <v>31762484</v>
      </c>
      <c r="L19" s="405"/>
      <c r="M19" s="422">
        <f t="shared" ref="M19:M20" si="1">ROUND($I19*G19,0)</f>
        <v>32296464</v>
      </c>
      <c r="N19" s="405"/>
      <c r="O19" s="420">
        <v>10</v>
      </c>
      <c r="P19" s="421"/>
      <c r="Q19" s="422">
        <f t="shared" ref="Q19:Q20" si="2">ROUND(O19*$G19,0)</f>
        <v>80741160</v>
      </c>
      <c r="R19" s="422"/>
      <c r="S19" s="422">
        <v>4</v>
      </c>
      <c r="T19" s="422"/>
      <c r="U19" s="422">
        <f>S19*G19</f>
        <v>32296464</v>
      </c>
      <c r="V19" s="267"/>
      <c r="W19" s="267"/>
      <c r="X19" s="267"/>
      <c r="Y19" s="267"/>
      <c r="Z19" s="267"/>
      <c r="AA19" s="267"/>
      <c r="AB19" s="267"/>
      <c r="AC19" s="281" t="s">
        <v>310</v>
      </c>
      <c r="AD19" s="282">
        <f>(RateSpread!M15+RateSpread!M16)*1000</f>
        <v>680498772</v>
      </c>
      <c r="AF19" s="279">
        <f t="shared" ref="AF19:AF27" si="3">O19/I19-1</f>
        <v>1.5</v>
      </c>
      <c r="AG19" s="274"/>
      <c r="AH19" s="274"/>
    </row>
    <row r="20" spans="2:34">
      <c r="B20" s="408" t="s">
        <v>311</v>
      </c>
      <c r="C20" s="403"/>
      <c r="D20" s="403"/>
      <c r="E20" s="418">
        <v>7455.5947000000097</v>
      </c>
      <c r="F20" s="405"/>
      <c r="G20" s="423">
        <f>ROUND(E20/$E$18*$G$18,0)</f>
        <v>7581</v>
      </c>
      <c r="H20" s="405"/>
      <c r="I20" s="420">
        <v>8</v>
      </c>
      <c r="J20" s="421"/>
      <c r="K20" s="422">
        <f t="shared" si="0"/>
        <v>59645</v>
      </c>
      <c r="L20" s="405"/>
      <c r="M20" s="422">
        <f t="shared" si="1"/>
        <v>60648</v>
      </c>
      <c r="N20" s="405"/>
      <c r="O20" s="420">
        <f>O19*2</f>
        <v>20</v>
      </c>
      <c r="P20" s="421"/>
      <c r="Q20" s="422">
        <f t="shared" si="2"/>
        <v>151620</v>
      </c>
      <c r="R20" s="422"/>
      <c r="S20" s="422">
        <v>8</v>
      </c>
      <c r="T20" s="422"/>
      <c r="U20" s="422">
        <f t="shared" ref="U20:U27" si="4">S20*G20</f>
        <v>60648</v>
      </c>
      <c r="V20" s="267"/>
      <c r="W20" s="267"/>
      <c r="X20" s="267"/>
      <c r="Y20" s="267"/>
      <c r="Z20" s="267"/>
      <c r="AA20" s="267"/>
      <c r="AB20" s="267"/>
      <c r="AC20" s="283" t="s">
        <v>312</v>
      </c>
      <c r="AD20" s="284">
        <f>AD19-AD18</f>
        <v>355</v>
      </c>
      <c r="AF20" s="279">
        <f t="shared" si="3"/>
        <v>1.5</v>
      </c>
      <c r="AG20" s="274"/>
      <c r="AH20" s="274"/>
    </row>
    <row r="21" spans="2:34">
      <c r="B21" s="408" t="s">
        <v>313</v>
      </c>
      <c r="C21" s="403"/>
      <c r="D21" s="403"/>
      <c r="E21" s="423">
        <v>1255919054</v>
      </c>
      <c r="F21" s="405"/>
      <c r="G21" s="419">
        <f>ROUND(E21/($E$32-$E$31)*$G$32,0)</f>
        <v>1248801465</v>
      </c>
      <c r="H21" s="405"/>
      <c r="I21" s="424">
        <v>8.4003999999999994</v>
      </c>
      <c r="J21" s="410" t="s">
        <v>314</v>
      </c>
      <c r="K21" s="422">
        <f>ROUND($I21*E21/100,0)</f>
        <v>105502224</v>
      </c>
      <c r="L21" s="405"/>
      <c r="M21" s="422">
        <f>ROUND($I21*G21/100,0)</f>
        <v>104904318</v>
      </c>
      <c r="N21" s="405"/>
      <c r="O21" s="424">
        <f>ROUND(I21*(1+$AD$23),4)</f>
        <v>8.1125000000000007</v>
      </c>
      <c r="P21" s="410" t="s">
        <v>314</v>
      </c>
      <c r="Q21" s="422">
        <f>ROUND(O21*$G21/100,0)</f>
        <v>101309019</v>
      </c>
      <c r="R21" s="422"/>
      <c r="S21" s="424">
        <f>(U32-(U19+U20+U22+U23+U24+U25+U26+U27))*100/G21</f>
        <v>6.3710215824741336</v>
      </c>
      <c r="T21" s="410" t="s">
        <v>314</v>
      </c>
      <c r="U21" s="422">
        <f>S21*G21/100</f>
        <v>79561410.857403159</v>
      </c>
      <c r="V21" s="267"/>
      <c r="W21" s="267"/>
      <c r="X21" s="267"/>
      <c r="Y21" s="267"/>
      <c r="Z21" s="267"/>
      <c r="AA21" s="267"/>
      <c r="AB21" s="267"/>
      <c r="AC21" s="287" t="s">
        <v>315</v>
      </c>
      <c r="AD21" s="288">
        <f>AD18/(M32+M55+M74)-1</f>
        <v>4.6951407413589274E-2</v>
      </c>
      <c r="AF21" s="279">
        <f t="shared" si="3"/>
        <v>-3.4272177515356272E-2</v>
      </c>
      <c r="AG21" s="289"/>
      <c r="AH21" s="290"/>
    </row>
    <row r="22" spans="2:34">
      <c r="B22" s="408" t="s">
        <v>316</v>
      </c>
      <c r="C22" s="403"/>
      <c r="D22" s="403"/>
      <c r="E22" s="423">
        <v>1040161014</v>
      </c>
      <c r="F22" s="405"/>
      <c r="G22" s="419">
        <f>ROUND(E22/($E$32-$E$31)*$G$32,0)</f>
        <v>1034266177</v>
      </c>
      <c r="H22" s="405"/>
      <c r="I22" s="424">
        <v>10.348100000000001</v>
      </c>
      <c r="J22" s="410" t="s">
        <v>314</v>
      </c>
      <c r="K22" s="422">
        <f>ROUND($I22*E22/100,0)</f>
        <v>107636902</v>
      </c>
      <c r="L22" s="405"/>
      <c r="M22" s="422">
        <f>ROUND($I22*G22/100,0)</f>
        <v>107026898</v>
      </c>
      <c r="N22" s="405"/>
      <c r="O22" s="424">
        <f>ROUND(I22*(1+$AD$23),4)</f>
        <v>9.9933999999999994</v>
      </c>
      <c r="P22" s="410" t="s">
        <v>314</v>
      </c>
      <c r="Q22" s="422">
        <f>ROUND(O22*$G22/100,0)</f>
        <v>103358356</v>
      </c>
      <c r="R22" s="422"/>
      <c r="S22" s="424">
        <f>C11</f>
        <v>11.6</v>
      </c>
      <c r="T22" s="410" t="s">
        <v>314</v>
      </c>
      <c r="U22" s="422">
        <f>S22*G22/100</f>
        <v>119974876.53199999</v>
      </c>
      <c r="V22" s="267"/>
      <c r="W22" s="267"/>
      <c r="X22" s="267"/>
      <c r="Y22" s="267"/>
      <c r="Z22" s="267"/>
      <c r="AA22" s="267"/>
      <c r="AB22" s="267"/>
      <c r="AC22" s="291" t="s">
        <v>317</v>
      </c>
      <c r="AD22" s="292">
        <f>AD19/(M32+M55+M74)-1</f>
        <v>4.6951953583485251E-2</v>
      </c>
      <c r="AF22" s="279">
        <f t="shared" si="3"/>
        <v>-3.4276823764749165E-2</v>
      </c>
      <c r="AG22" s="289"/>
      <c r="AH22" s="293"/>
    </row>
    <row r="23" spans="2:34">
      <c r="B23" s="408" t="s">
        <v>318</v>
      </c>
      <c r="C23" s="403"/>
      <c r="D23" s="403"/>
      <c r="E23" s="423">
        <v>588270360.73362422</v>
      </c>
      <c r="F23" s="405"/>
      <c r="G23" s="419">
        <f>ROUND(E23/($E$32-$E$31)*$G$32,0)</f>
        <v>584936494</v>
      </c>
      <c r="H23" s="405"/>
      <c r="I23" s="424">
        <v>12.870900000000001</v>
      </c>
      <c r="J23" s="410" t="s">
        <v>314</v>
      </c>
      <c r="K23" s="422">
        <f>ROUND($I23*E23/100,0)</f>
        <v>75715690</v>
      </c>
      <c r="L23" s="405"/>
      <c r="M23" s="422">
        <f>ROUND($I23*G23/100,0)</f>
        <v>75286591</v>
      </c>
      <c r="N23" s="405"/>
      <c r="O23" s="424">
        <f>ROUND(I23*(1+$AD$23),4)</f>
        <v>12.4298</v>
      </c>
      <c r="P23" s="410" t="s">
        <v>314</v>
      </c>
      <c r="Q23" s="422">
        <f>ROUND(O23*$G23/100,0)</f>
        <v>72706436</v>
      </c>
      <c r="R23" s="422"/>
      <c r="S23" s="424">
        <f>C12</f>
        <v>14.5</v>
      </c>
      <c r="T23" s="410" t="s">
        <v>314</v>
      </c>
      <c r="U23" s="422">
        <f>S23*G23/100</f>
        <v>84815791.629999995</v>
      </c>
      <c r="V23" s="267"/>
      <c r="W23" s="267"/>
      <c r="X23" s="267"/>
      <c r="Y23" s="267"/>
      <c r="Z23" s="267"/>
      <c r="AA23" s="267"/>
      <c r="AB23" s="267"/>
      <c r="AC23" s="291" t="s">
        <v>319</v>
      </c>
      <c r="AD23" s="294">
        <f>(AD19-SUM(Q19:Q20,Q25:Q27,Q42:Q43,Q48:Q50,Q59:Q62,Q67:Q69))/SUM(M21:M24,((G29+G52+G71)*I21+(G30+G53+G72)*I24)/100,M44:M47,M63:M66)-1</f>
        <v>-3.4273025622754916E-2</v>
      </c>
      <c r="AF23" s="279">
        <f t="shared" si="3"/>
        <v>-3.4271107692546821E-2</v>
      </c>
      <c r="AG23" s="295"/>
      <c r="AH23" s="279"/>
    </row>
    <row r="24" spans="2:34">
      <c r="B24" s="408" t="s">
        <v>320</v>
      </c>
      <c r="C24" s="403"/>
      <c r="D24" s="403"/>
      <c r="E24" s="423">
        <v>3483130164.7703419</v>
      </c>
      <c r="F24" s="405"/>
      <c r="G24" s="419">
        <f>ROUND(E24/($E$32-$E$31)*$G$32,0)</f>
        <v>3463390447</v>
      </c>
      <c r="H24" s="405"/>
      <c r="I24" s="425">
        <v>8.7035</v>
      </c>
      <c r="J24" s="410" t="s">
        <v>314</v>
      </c>
      <c r="K24" s="422">
        <f>ROUND($I24*E24/100,0)</f>
        <v>303154234</v>
      </c>
      <c r="L24" s="405"/>
      <c r="M24" s="422">
        <f>ROUND($I24*G24/100,0)</f>
        <v>301436188</v>
      </c>
      <c r="N24" s="405"/>
      <c r="O24" s="425">
        <f>ROUND((AD19-SUM(Q19:Q23,Q25:Q29,Q42:Q46,Q48:Q52,Q59:Q65,Q67:Q71))/SUM(G24,G30,G47,G53,G66,G72)*100,4)</f>
        <v>8.4052000000000007</v>
      </c>
      <c r="P24" s="410" t="s">
        <v>314</v>
      </c>
      <c r="Q24" s="422">
        <f>ROUND(O24*$G24/100,0)</f>
        <v>291104894</v>
      </c>
      <c r="R24" s="422"/>
      <c r="S24" s="424">
        <f>C13</f>
        <v>9.6199999999999992</v>
      </c>
      <c r="T24" s="410" t="s">
        <v>314</v>
      </c>
      <c r="U24" s="422">
        <f>S24*G24/100</f>
        <v>333178161.00139993</v>
      </c>
      <c r="V24" s="267"/>
      <c r="W24" s="267"/>
      <c r="X24" s="267"/>
      <c r="Y24" s="267"/>
      <c r="Z24" s="267"/>
      <c r="AA24" s="267"/>
      <c r="AB24" s="267"/>
      <c r="AC24" s="291" t="s">
        <v>321</v>
      </c>
      <c r="AD24" s="297">
        <f>SUM(Q19:Q20,Q42:Q43,Q59:Q60)/SUM(M19:M20,M42:M43,M59:M60)-1</f>
        <v>1.5</v>
      </c>
      <c r="AF24" s="279">
        <f t="shared" si="3"/>
        <v>-3.4273568104785324E-2</v>
      </c>
      <c r="AG24" s="295"/>
      <c r="AH24" s="298"/>
    </row>
    <row r="25" spans="2:34">
      <c r="B25" s="408" t="s">
        <v>322</v>
      </c>
      <c r="C25" s="403"/>
      <c r="D25" s="403"/>
      <c r="E25" s="418">
        <v>130806.51219998799</v>
      </c>
      <c r="F25" s="405"/>
      <c r="G25" s="423">
        <f>ROUND(E25/$E$18*$G$18,0)</f>
        <v>133006</v>
      </c>
      <c r="H25" s="405"/>
      <c r="I25" s="420">
        <v>7</v>
      </c>
      <c r="J25" s="421"/>
      <c r="K25" s="422">
        <f>ROUND($I25*E25,0)</f>
        <v>915646</v>
      </c>
      <c r="L25" s="405"/>
      <c r="M25" s="422">
        <f>ROUND($I25*G25,0)</f>
        <v>931042</v>
      </c>
      <c r="N25" s="405"/>
      <c r="O25" s="420">
        <f>O19</f>
        <v>10</v>
      </c>
      <c r="P25" s="421"/>
      <c r="Q25" s="422">
        <f>ROUND(O25*$G25,0)</f>
        <v>1330060</v>
      </c>
      <c r="R25" s="422"/>
      <c r="S25" s="422">
        <f>C7</f>
        <v>7</v>
      </c>
      <c r="T25" s="422"/>
      <c r="U25" s="422">
        <f t="shared" si="4"/>
        <v>931042</v>
      </c>
      <c r="V25" s="267"/>
      <c r="W25" s="267"/>
      <c r="X25" s="267"/>
      <c r="Y25" s="267"/>
      <c r="Z25" s="267"/>
      <c r="AA25" s="267"/>
      <c r="AB25" s="267"/>
      <c r="AC25" s="291" t="s">
        <v>323</v>
      </c>
      <c r="AD25" s="292">
        <f>Q32/M32-1</f>
        <v>4.6428946869523369E-2</v>
      </c>
      <c r="AE25" s="274"/>
      <c r="AF25" s="279">
        <f>O25/I25-1</f>
        <v>0.4285714285714286</v>
      </c>
      <c r="AG25" s="295"/>
      <c r="AH25" s="295"/>
    </row>
    <row r="26" spans="2:34">
      <c r="B26" s="408" t="s">
        <v>324</v>
      </c>
      <c r="C26" s="403"/>
      <c r="D26" s="403"/>
      <c r="E26" s="418">
        <v>190.9813</v>
      </c>
      <c r="F26" s="405"/>
      <c r="G26" s="419">
        <f>G18-G19-G20-G25</f>
        <v>193.8556569237262</v>
      </c>
      <c r="H26" s="405"/>
      <c r="I26" s="420">
        <v>14</v>
      </c>
      <c r="J26" s="426"/>
      <c r="K26" s="422">
        <f>ROUND($I26*E26,0)</f>
        <v>2674</v>
      </c>
      <c r="L26" s="405"/>
      <c r="M26" s="422">
        <f>ROUND($I26*G26,0)</f>
        <v>2714</v>
      </c>
      <c r="N26" s="405"/>
      <c r="O26" s="420">
        <f>O20</f>
        <v>20</v>
      </c>
      <c r="P26" s="426"/>
      <c r="Q26" s="422">
        <f>ROUND(O26*$G26,0)</f>
        <v>3877</v>
      </c>
      <c r="R26" s="422"/>
      <c r="S26" s="422">
        <f>C8</f>
        <v>14</v>
      </c>
      <c r="T26" s="422"/>
      <c r="U26" s="422">
        <f t="shared" si="4"/>
        <v>2713.9791969321668</v>
      </c>
      <c r="V26" s="267"/>
      <c r="W26" s="267"/>
      <c r="X26" s="267"/>
      <c r="Y26" s="267"/>
      <c r="Z26" s="267"/>
      <c r="AA26" s="267"/>
      <c r="AB26" s="267"/>
      <c r="AC26" s="291" t="s">
        <v>325</v>
      </c>
      <c r="AD26" s="292">
        <f>(Q32)/(M32)-1</f>
        <v>4.6428946869523369E-2</v>
      </c>
      <c r="AF26" s="279">
        <f t="shared" si="3"/>
        <v>0.4285714285714286</v>
      </c>
      <c r="AG26" s="295"/>
      <c r="AH26" s="295"/>
    </row>
    <row r="27" spans="2:34">
      <c r="B27" s="408" t="s">
        <v>326</v>
      </c>
      <c r="C27" s="403"/>
      <c r="D27" s="403"/>
      <c r="E27" s="423">
        <v>0</v>
      </c>
      <c r="F27" s="405"/>
      <c r="G27" s="419">
        <v>0</v>
      </c>
      <c r="H27" s="405"/>
      <c r="I27" s="420">
        <v>84</v>
      </c>
      <c r="J27" s="426"/>
      <c r="K27" s="422">
        <f>ROUND($I27*E27,0)</f>
        <v>0</v>
      </c>
      <c r="L27" s="405"/>
      <c r="M27" s="422">
        <f>ROUND($I27*G27,0)</f>
        <v>0</v>
      </c>
      <c r="N27" s="405"/>
      <c r="O27" s="427">
        <f>O25*12</f>
        <v>120</v>
      </c>
      <c r="P27" s="426"/>
      <c r="Q27" s="428">
        <f>ROUND(O27*$G27,0)</f>
        <v>0</v>
      </c>
      <c r="R27" s="428"/>
      <c r="S27" s="422">
        <f>C9</f>
        <v>84</v>
      </c>
      <c r="T27" s="428"/>
      <c r="U27" s="422">
        <f t="shared" si="4"/>
        <v>0</v>
      </c>
      <c r="V27" s="267"/>
      <c r="W27" s="267"/>
      <c r="X27" s="267"/>
      <c r="Y27" s="267"/>
      <c r="Z27" s="301"/>
      <c r="AA27" s="301"/>
      <c r="AB27" s="267"/>
      <c r="AC27" s="287" t="s">
        <v>327</v>
      </c>
      <c r="AD27" s="302">
        <f>(G32+G55)/(G18+G41)</f>
        <v>766.5341247909605</v>
      </c>
      <c r="AF27" s="279">
        <f t="shared" si="3"/>
        <v>0.4285714285714286</v>
      </c>
      <c r="AG27" s="295"/>
      <c r="AH27" s="295"/>
    </row>
    <row r="28" spans="2:34">
      <c r="B28" s="429" t="s">
        <v>328</v>
      </c>
      <c r="C28" s="403"/>
      <c r="D28" s="403"/>
      <c r="E28" s="423">
        <f>SUM(E29:E30)</f>
        <v>1405899</v>
      </c>
      <c r="F28" s="405"/>
      <c r="G28" s="423">
        <f>SUM(G29:G30)</f>
        <v>1397931.7133102417</v>
      </c>
      <c r="H28" s="405"/>
      <c r="I28" s="425"/>
      <c r="J28" s="410"/>
      <c r="K28" s="428"/>
      <c r="L28" s="405"/>
      <c r="M28" s="428"/>
      <c r="N28" s="405"/>
      <c r="O28" s="425"/>
      <c r="P28" s="410"/>
      <c r="Q28" s="428"/>
      <c r="R28" s="428"/>
      <c r="S28" s="428"/>
      <c r="T28" s="428"/>
      <c r="U28" s="428"/>
      <c r="V28" s="301"/>
      <c r="W28" s="301"/>
      <c r="X28" s="301"/>
      <c r="Y28" s="301"/>
      <c r="Z28" s="301"/>
      <c r="AA28" s="301"/>
      <c r="AB28" s="267"/>
      <c r="AC28" s="291" t="s">
        <v>329</v>
      </c>
      <c r="AD28" s="304">
        <f>SUM(G21:G23,G29,G44:G46,G52)/(SUM(G18,G41)*5/12)</f>
        <v>833.10766861015759</v>
      </c>
      <c r="AF28" s="265"/>
      <c r="AG28" s="295"/>
      <c r="AH28" s="279"/>
    </row>
    <row r="29" spans="2:34">
      <c r="B29" s="429" t="s">
        <v>330</v>
      </c>
      <c r="C29" s="405"/>
      <c r="D29" s="405"/>
      <c r="E29" s="423">
        <v>622884</v>
      </c>
      <c r="F29" s="405"/>
      <c r="G29" s="419">
        <f>ROUND(E29/($E$32-$E$31)*$G$32,0)</f>
        <v>619354</v>
      </c>
      <c r="H29" s="405"/>
      <c r="I29" s="425"/>
      <c r="J29" s="410"/>
      <c r="K29" s="422"/>
      <c r="L29" s="405"/>
      <c r="M29" s="422"/>
      <c r="N29" s="405"/>
      <c r="O29" s="425">
        <f>O21</f>
        <v>8.1125000000000007</v>
      </c>
      <c r="P29" s="410" t="s">
        <v>314</v>
      </c>
      <c r="Q29" s="422">
        <f>ROUND(O29*$G29/100,0)</f>
        <v>50245</v>
      </c>
      <c r="R29" s="422"/>
      <c r="S29" s="422"/>
      <c r="T29" s="422"/>
      <c r="U29" s="422"/>
      <c r="V29" s="267"/>
      <c r="W29" s="267"/>
      <c r="X29" s="267"/>
      <c r="Y29" s="267"/>
      <c r="Z29" s="267"/>
      <c r="AA29" s="267"/>
      <c r="AB29" s="301"/>
      <c r="AC29" s="305" t="s">
        <v>331</v>
      </c>
      <c r="AD29" s="306">
        <f>SUM(G24,G30,G47,G53)/(SUM(G18,G41)*7/12)</f>
        <v>718.981593491534</v>
      </c>
      <c r="AG29" s="267"/>
    </row>
    <row r="30" spans="2:34">
      <c r="B30" s="429" t="s">
        <v>332</v>
      </c>
      <c r="C30" s="405"/>
      <c r="D30" s="405"/>
      <c r="E30" s="423">
        <v>783015</v>
      </c>
      <c r="F30" s="405"/>
      <c r="G30" s="423">
        <f>G32-SUM(G21:G24,G29:G29)</f>
        <v>778577.7133102417</v>
      </c>
      <c r="H30" s="405"/>
      <c r="I30" s="425"/>
      <c r="J30" s="410"/>
      <c r="K30" s="422"/>
      <c r="L30" s="405"/>
      <c r="M30" s="422"/>
      <c r="N30" s="405"/>
      <c r="O30" s="425">
        <f>O24</f>
        <v>8.4052000000000007</v>
      </c>
      <c r="P30" s="410" t="s">
        <v>314</v>
      </c>
      <c r="Q30" s="422">
        <f>ROUND(O30*$G30/100,0)</f>
        <v>65441</v>
      </c>
      <c r="R30" s="422"/>
      <c r="S30" s="422"/>
      <c r="T30" s="422"/>
      <c r="U30" s="422"/>
      <c r="V30" s="267"/>
      <c r="W30" s="267"/>
      <c r="X30" s="267"/>
      <c r="Y30" s="267"/>
      <c r="Z30" s="267"/>
      <c r="AA30" s="267"/>
      <c r="AB30" s="301"/>
      <c r="AC30" s="305" t="s">
        <v>440</v>
      </c>
      <c r="AD30" s="307"/>
      <c r="AE30" s="267"/>
    </row>
    <row r="31" spans="2:34">
      <c r="B31" s="408" t="s">
        <v>333</v>
      </c>
      <c r="C31" s="403"/>
      <c r="D31" s="403"/>
      <c r="E31" s="430">
        <v>6094066</v>
      </c>
      <c r="F31" s="405"/>
      <c r="G31" s="430">
        <v>0</v>
      </c>
      <c r="H31" s="405"/>
      <c r="I31" s="403"/>
      <c r="J31" s="405"/>
      <c r="K31" s="431">
        <v>24928.489999999998</v>
      </c>
      <c r="L31" s="405"/>
      <c r="M31" s="431">
        <v>0</v>
      </c>
      <c r="N31" s="405"/>
      <c r="O31" s="403"/>
      <c r="P31" s="405"/>
      <c r="Q31" s="431">
        <v>0</v>
      </c>
      <c r="R31" s="431"/>
      <c r="S31" s="428"/>
      <c r="T31" s="428"/>
      <c r="U31" s="431"/>
      <c r="V31" s="301"/>
      <c r="W31" s="301"/>
      <c r="X31" s="301"/>
      <c r="Y31" s="301"/>
      <c r="Z31" s="301"/>
      <c r="AA31" s="301"/>
      <c r="AB31" s="301"/>
      <c r="AE31" s="309"/>
      <c r="AF31" s="309"/>
    </row>
    <row r="32" spans="2:34" s="274" customFormat="1" ht="16.5" thickBot="1">
      <c r="B32" s="408" t="s">
        <v>334</v>
      </c>
      <c r="C32" s="403"/>
      <c r="D32" s="403"/>
      <c r="E32" s="432">
        <f>SUM(E21:E24,E28,E31)</f>
        <v>6374980558.5039663</v>
      </c>
      <c r="F32" s="405"/>
      <c r="G32" s="433">
        <v>6332792514.7133102</v>
      </c>
      <c r="H32" s="405"/>
      <c r="I32" s="434"/>
      <c r="J32" s="405"/>
      <c r="K32" s="435">
        <f>SUM(K19:K31)</f>
        <v>624774427.49000001</v>
      </c>
      <c r="L32" s="405"/>
      <c r="M32" s="435">
        <f>SUM(M19:M31)</f>
        <v>621944863</v>
      </c>
      <c r="N32" s="405"/>
      <c r="O32" s="434"/>
      <c r="P32" s="405"/>
      <c r="Q32" s="435">
        <f>SUM(Q19:Q31)</f>
        <v>650821108</v>
      </c>
      <c r="R32" s="435"/>
      <c r="S32" s="436"/>
      <c r="T32" s="428"/>
      <c r="U32" s="435">
        <f>Q32</f>
        <v>650821108</v>
      </c>
      <c r="V32" s="301"/>
      <c r="W32" s="301"/>
      <c r="X32" s="301"/>
      <c r="Y32" s="301"/>
      <c r="Z32" s="301"/>
      <c r="AA32" s="301"/>
      <c r="AB32" s="301"/>
      <c r="AE32" s="309"/>
      <c r="AF32" s="309"/>
    </row>
    <row r="33" spans="2:34" ht="16.5" thickTop="1">
      <c r="E33" s="313"/>
      <c r="G33" s="313"/>
      <c r="AB33" s="301"/>
      <c r="AG33" s="309"/>
      <c r="AH33" s="309"/>
    </row>
    <row r="34" spans="2:34">
      <c r="E34" s="313"/>
      <c r="G34" s="313"/>
      <c r="AB34" s="301"/>
      <c r="AG34" s="309"/>
      <c r="AH34" s="309"/>
    </row>
    <row r="35" spans="2:34">
      <c r="E35" s="313"/>
      <c r="G35" s="313"/>
      <c r="AB35" s="301"/>
      <c r="AG35" s="309"/>
      <c r="AH35" s="309"/>
    </row>
    <row r="36" spans="2:34">
      <c r="E36" s="313"/>
      <c r="G36" s="313"/>
      <c r="AB36" s="301"/>
      <c r="AG36" s="309"/>
      <c r="AH36" s="309"/>
    </row>
    <row r="37" spans="2:34">
      <c r="E37" s="313"/>
      <c r="G37" s="313"/>
      <c r="AB37" s="301"/>
      <c r="AG37" s="309"/>
      <c r="AH37" s="309"/>
    </row>
    <row r="38" spans="2:34">
      <c r="E38" s="313"/>
      <c r="G38" s="313"/>
      <c r="AB38" s="301"/>
      <c r="AG38" s="309"/>
      <c r="AH38" s="309"/>
    </row>
    <row r="39" spans="2:34">
      <c r="E39" s="313"/>
      <c r="G39" s="313"/>
      <c r="AB39" s="301"/>
      <c r="AG39" s="309"/>
      <c r="AH39" s="309"/>
    </row>
    <row r="40" spans="2:34">
      <c r="B40" s="272" t="s">
        <v>335</v>
      </c>
      <c r="E40" s="102"/>
      <c r="G40" s="102"/>
      <c r="AB40" s="301"/>
      <c r="AG40" s="309"/>
      <c r="AH40" s="309"/>
    </row>
    <row r="41" spans="2:34">
      <c r="B41" s="275" t="s">
        <v>307</v>
      </c>
      <c r="E41" s="102">
        <v>392708.15610001102</v>
      </c>
      <c r="G41" s="280">
        <v>420053.73642604146</v>
      </c>
      <c r="I41" s="99"/>
      <c r="J41" s="276"/>
      <c r="K41" s="267"/>
      <c r="M41" s="267"/>
      <c r="O41" s="99"/>
      <c r="P41" s="276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F41" s="279"/>
    </row>
    <row r="42" spans="2:34">
      <c r="B42" s="275" t="s">
        <v>309</v>
      </c>
      <c r="E42" s="102">
        <v>390871.29630001105</v>
      </c>
      <c r="G42" s="280">
        <f>ROUND(E42/$E$41*$G$41,0)</f>
        <v>418089</v>
      </c>
      <c r="I42" s="99">
        <v>4</v>
      </c>
      <c r="J42" s="276"/>
      <c r="K42" s="267">
        <f>ROUND($I42*E42,0)</f>
        <v>1563485</v>
      </c>
      <c r="M42" s="267">
        <f>ROUND($I42*G42,0)</f>
        <v>1672356</v>
      </c>
      <c r="O42" s="99">
        <f t="shared" ref="O42:O47" si="5">O19</f>
        <v>10</v>
      </c>
      <c r="P42" s="276"/>
      <c r="Q42" s="267">
        <f t="shared" ref="Q42:Q43" si="6">ROUND(O42*$G42,0)</f>
        <v>4180890</v>
      </c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F42" s="279">
        <f t="shared" ref="AF42:AF50" si="7">O42/I42-1</f>
        <v>1.5</v>
      </c>
    </row>
    <row r="43" spans="2:34">
      <c r="B43" s="275" t="s">
        <v>311</v>
      </c>
      <c r="E43" s="102">
        <v>224.0967</v>
      </c>
      <c r="G43" s="280">
        <f>ROUND(E43/$E$41*$G$41,0)</f>
        <v>240</v>
      </c>
      <c r="I43" s="99">
        <v>8</v>
      </c>
      <c r="J43" s="276"/>
      <c r="K43" s="267">
        <f>ROUND($I43*E43,0)</f>
        <v>1793</v>
      </c>
      <c r="M43" s="267">
        <f>ROUND($I43*G43,0)</f>
        <v>1920</v>
      </c>
      <c r="O43" s="99">
        <f t="shared" si="5"/>
        <v>20</v>
      </c>
      <c r="P43" s="276"/>
      <c r="Q43" s="267">
        <f t="shared" si="6"/>
        <v>4800</v>
      </c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F43" s="279">
        <f t="shared" si="7"/>
        <v>1.5</v>
      </c>
    </row>
    <row r="44" spans="2:34">
      <c r="B44" s="275" t="s">
        <v>313</v>
      </c>
      <c r="E44" s="280">
        <v>63633614</v>
      </c>
      <c r="G44" s="270">
        <f>E44/($E$55-$E$54)*$G$55</f>
        <v>69051504.375377804</v>
      </c>
      <c r="I44" s="296">
        <v>8.4003999999999994</v>
      </c>
      <c r="J44" s="286" t="s">
        <v>314</v>
      </c>
      <c r="K44" s="267">
        <f>ROUND($I44*E44/100,0)</f>
        <v>5345478</v>
      </c>
      <c r="M44" s="267">
        <f>ROUND($I44*G44/100,0)</f>
        <v>5800603</v>
      </c>
      <c r="O44" s="296">
        <f t="shared" si="5"/>
        <v>8.1125000000000007</v>
      </c>
      <c r="P44" s="286" t="s">
        <v>314</v>
      </c>
      <c r="Q44" s="267">
        <f>ROUND(O44*$G44/100,0)</f>
        <v>5601803</v>
      </c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F44" s="279">
        <f t="shared" si="7"/>
        <v>-3.4272177515356272E-2</v>
      </c>
    </row>
    <row r="45" spans="2:34">
      <c r="B45" s="275" t="s">
        <v>316</v>
      </c>
      <c r="E45" s="280">
        <v>41970630</v>
      </c>
      <c r="G45" s="270">
        <f>E45/($E$55-$E$54)*$G$55</f>
        <v>45544091.540712476</v>
      </c>
      <c r="I45" s="296">
        <v>10.348100000000001</v>
      </c>
      <c r="J45" s="286" t="s">
        <v>314</v>
      </c>
      <c r="K45" s="267">
        <f>ROUND($I45*E45/100,0)</f>
        <v>4343163</v>
      </c>
      <c r="M45" s="267">
        <f>ROUND($I45*G45/100,0)</f>
        <v>4712948</v>
      </c>
      <c r="O45" s="296">
        <f t="shared" si="5"/>
        <v>9.9933999999999994</v>
      </c>
      <c r="P45" s="286" t="s">
        <v>314</v>
      </c>
      <c r="Q45" s="267">
        <f>ROUND(O45*$G45/100,0)</f>
        <v>4551403</v>
      </c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F45" s="279">
        <f t="shared" si="7"/>
        <v>-3.4276823764749165E-2</v>
      </c>
    </row>
    <row r="46" spans="2:34">
      <c r="B46" s="275" t="s">
        <v>318</v>
      </c>
      <c r="E46" s="280">
        <v>13092173.597880283</v>
      </c>
      <c r="G46" s="270">
        <f>E46/($E$55-$E$54)*$G$55</f>
        <v>14206866.868778445</v>
      </c>
      <c r="I46" s="296">
        <v>12.870900000000001</v>
      </c>
      <c r="J46" s="286" t="s">
        <v>314</v>
      </c>
      <c r="K46" s="267">
        <f>ROUND($I46*E46/100,0)</f>
        <v>1685081</v>
      </c>
      <c r="M46" s="267">
        <f>ROUND($I46*G46/100,0)</f>
        <v>1828552</v>
      </c>
      <c r="O46" s="296">
        <f t="shared" si="5"/>
        <v>12.4298</v>
      </c>
      <c r="P46" s="286" t="s">
        <v>314</v>
      </c>
      <c r="Q46" s="267">
        <f>ROUND(O46*$G46/100,0)</f>
        <v>1765885</v>
      </c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F46" s="279">
        <f t="shared" si="7"/>
        <v>-3.4271107692546821E-2</v>
      </c>
      <c r="AG46" s="309"/>
      <c r="AH46" s="309"/>
    </row>
    <row r="47" spans="2:34">
      <c r="B47" s="275" t="s">
        <v>320</v>
      </c>
      <c r="E47" s="280">
        <v>145021382.16468287</v>
      </c>
      <c r="G47" s="270">
        <f>E47/($E$55-$E$54)*$G$55</f>
        <v>157368786.33151239</v>
      </c>
      <c r="I47" s="296">
        <v>8.7035</v>
      </c>
      <c r="J47" s="286" t="s">
        <v>314</v>
      </c>
      <c r="K47" s="267">
        <f>ROUND($I47*E47/100,0)</f>
        <v>12621936</v>
      </c>
      <c r="M47" s="267">
        <f>ROUND($I47*G47/100,0)</f>
        <v>13696592</v>
      </c>
      <c r="O47" s="296">
        <f t="shared" si="5"/>
        <v>8.4052000000000007</v>
      </c>
      <c r="P47" s="286" t="s">
        <v>314</v>
      </c>
      <c r="Q47" s="267">
        <f>ROUND(O47*$G47/100,0)</f>
        <v>13227161</v>
      </c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F47" s="279">
        <f t="shared" si="7"/>
        <v>-3.4273568104785324E-2</v>
      </c>
      <c r="AG47" s="309"/>
      <c r="AH47" s="309"/>
    </row>
    <row r="48" spans="2:34">
      <c r="B48" s="275" t="s">
        <v>322</v>
      </c>
      <c r="E48" s="102">
        <v>1612.7630999999999</v>
      </c>
      <c r="G48" s="280">
        <f>G41-G42-G43-G49-G50</f>
        <v>1724.7364260414615</v>
      </c>
      <c r="I48" s="99">
        <v>7</v>
      </c>
      <c r="J48" s="276"/>
      <c r="K48" s="267">
        <f>ROUND($I48*E48,0)</f>
        <v>11289</v>
      </c>
      <c r="M48" s="267">
        <f>ROUND($I48*G48,0)</f>
        <v>12073</v>
      </c>
      <c r="O48" s="99">
        <f>O42</f>
        <v>10</v>
      </c>
      <c r="P48" s="276"/>
      <c r="Q48" s="267">
        <f>ROUND(O48*$G48,0)</f>
        <v>17247</v>
      </c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5"/>
      <c r="AD48" s="295"/>
      <c r="AE48" s="309"/>
      <c r="AF48" s="279">
        <f t="shared" si="7"/>
        <v>0.4285714285714286</v>
      </c>
      <c r="AG48" s="309"/>
      <c r="AH48" s="309"/>
    </row>
    <row r="49" spans="2:34">
      <c r="B49" s="275" t="s">
        <v>324</v>
      </c>
      <c r="E49" s="102">
        <v>0</v>
      </c>
      <c r="G49" s="280">
        <f t="shared" ref="G49:G50" si="8">ROUND(E49/$E$41*$G$41,0)</f>
        <v>0</v>
      </c>
      <c r="I49" s="99">
        <v>14</v>
      </c>
      <c r="J49" s="276"/>
      <c r="K49" s="267">
        <f>ROUND($I49*E49,0)</f>
        <v>0</v>
      </c>
      <c r="M49" s="267">
        <f>ROUND($I49*G49,0)</f>
        <v>0</v>
      </c>
      <c r="O49" s="99">
        <f>O43</f>
        <v>20</v>
      </c>
      <c r="P49" s="299"/>
      <c r="Q49" s="267">
        <f>ROUND(O49*$G49,0)</f>
        <v>0</v>
      </c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D49" s="309"/>
      <c r="AE49" s="309"/>
      <c r="AF49" s="279">
        <f t="shared" si="7"/>
        <v>0.4285714285714286</v>
      </c>
      <c r="AG49" s="309"/>
      <c r="AH49" s="309"/>
    </row>
    <row r="50" spans="2:34">
      <c r="B50" s="275" t="s">
        <v>326</v>
      </c>
      <c r="E50" s="280">
        <v>0</v>
      </c>
      <c r="G50" s="280">
        <f t="shared" si="8"/>
        <v>0</v>
      </c>
      <c r="I50" s="99">
        <v>84</v>
      </c>
      <c r="J50" s="276"/>
      <c r="K50" s="267">
        <f>ROUND($I50*E50,0)</f>
        <v>0</v>
      </c>
      <c r="M50" s="267">
        <f>ROUND($I50*G50,0)</f>
        <v>0</v>
      </c>
      <c r="O50" s="300">
        <f>O48*12</f>
        <v>120</v>
      </c>
      <c r="P50" s="299"/>
      <c r="Q50" s="301">
        <f>ROUND(O50*$G50,0)</f>
        <v>0</v>
      </c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267"/>
      <c r="AD50" s="309"/>
      <c r="AE50" s="309"/>
      <c r="AF50" s="279">
        <f t="shared" si="7"/>
        <v>0.4285714285714286</v>
      </c>
      <c r="AG50" s="309"/>
      <c r="AH50" s="309"/>
    </row>
    <row r="51" spans="2:34">
      <c r="B51" s="303" t="s">
        <v>328</v>
      </c>
      <c r="C51" s="265"/>
      <c r="D51" s="265"/>
      <c r="E51" s="280">
        <f>SUM(E52:E53)</f>
        <v>18920</v>
      </c>
      <c r="G51" s="280">
        <f>SUM(G52:G53)</f>
        <v>20530.885811121731</v>
      </c>
      <c r="I51" s="314"/>
      <c r="J51" s="286"/>
      <c r="K51" s="301"/>
      <c r="M51" s="301"/>
      <c r="O51" s="296"/>
      <c r="P51" s="286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267"/>
      <c r="AC51" s="264" t="s">
        <v>315</v>
      </c>
      <c r="AD51" s="315">
        <f>Q55/M55-1</f>
        <v>5.864174642969E-2</v>
      </c>
      <c r="AE51" s="309"/>
      <c r="AF51" s="309"/>
      <c r="AG51" s="309"/>
      <c r="AH51" s="309"/>
    </row>
    <row r="52" spans="2:34" s="274" customFormat="1">
      <c r="B52" s="303" t="s">
        <v>330</v>
      </c>
      <c r="C52" s="265"/>
      <c r="D52" s="265"/>
      <c r="E52" s="280">
        <v>8167</v>
      </c>
      <c r="F52" s="265"/>
      <c r="G52" s="270">
        <f>E52/($E$55-$E$54)*$G$55</f>
        <v>8862.3543562009618</v>
      </c>
      <c r="H52" s="265"/>
      <c r="I52" s="314"/>
      <c r="J52" s="286"/>
      <c r="K52" s="267"/>
      <c r="L52" s="265"/>
      <c r="M52" s="267"/>
      <c r="N52" s="265"/>
      <c r="O52" s="296">
        <f>O44</f>
        <v>8.1125000000000007</v>
      </c>
      <c r="P52" s="286" t="s">
        <v>314</v>
      </c>
      <c r="Q52" s="267">
        <f>ROUND(O52*$G52/100,0)</f>
        <v>719</v>
      </c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301"/>
      <c r="AC52" s="264" t="s">
        <v>336</v>
      </c>
      <c r="AD52" s="315">
        <f>(Q55)/(M55)-1</f>
        <v>5.864174642969E-2</v>
      </c>
      <c r="AE52" s="286"/>
      <c r="AF52" s="286"/>
      <c r="AG52" s="286"/>
      <c r="AH52" s="286"/>
    </row>
    <row r="53" spans="2:34" s="274" customFormat="1">
      <c r="B53" s="303" t="s">
        <v>332</v>
      </c>
      <c r="C53" s="264"/>
      <c r="D53" s="264"/>
      <c r="E53" s="280">
        <v>10753</v>
      </c>
      <c r="F53" s="265"/>
      <c r="G53" s="280">
        <f>G55-SUM(G44:G47,G52:G52)</f>
        <v>11668.531454920769</v>
      </c>
      <c r="H53" s="265"/>
      <c r="I53" s="314"/>
      <c r="J53" s="286"/>
      <c r="K53" s="267"/>
      <c r="L53" s="265"/>
      <c r="M53" s="267"/>
      <c r="N53" s="265"/>
      <c r="O53" s="296">
        <f>O47</f>
        <v>8.4052000000000007</v>
      </c>
      <c r="P53" s="286" t="s">
        <v>314</v>
      </c>
      <c r="Q53" s="267">
        <f>ROUND(O53*$G53/100,0)</f>
        <v>981</v>
      </c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301"/>
      <c r="AC53" s="264" t="s">
        <v>337</v>
      </c>
      <c r="AD53" s="316">
        <f>G55/(G41)</f>
        <v>681.32182905265461</v>
      </c>
      <c r="AE53" s="286"/>
      <c r="AF53" s="286"/>
      <c r="AG53" s="286"/>
      <c r="AH53" s="286"/>
    </row>
    <row r="54" spans="2:34">
      <c r="B54" s="275" t="s">
        <v>333</v>
      </c>
      <c r="E54" s="103">
        <v>255836</v>
      </c>
      <c r="G54" s="103">
        <v>0</v>
      </c>
      <c r="K54" s="308">
        <v>1035</v>
      </c>
      <c r="M54" s="308">
        <v>0</v>
      </c>
      <c r="Q54" s="308">
        <v>0</v>
      </c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264" t="s">
        <v>338</v>
      </c>
      <c r="AD54" s="316">
        <f>SUM(G44:G46,G52)/((G41)*5/12)</f>
        <v>735.97055215951184</v>
      </c>
      <c r="AE54" s="309"/>
      <c r="AF54" s="309"/>
      <c r="AG54" s="309"/>
      <c r="AH54" s="309"/>
    </row>
    <row r="55" spans="2:34" ht="16.5" thickBot="1">
      <c r="B55" s="275" t="s">
        <v>334</v>
      </c>
      <c r="E55" s="310">
        <f>SUM(E44:F46,E47,E51,E54)</f>
        <v>263992555.76256317</v>
      </c>
      <c r="G55" s="310">
        <v>286191780.00219226</v>
      </c>
      <c r="I55" s="311"/>
      <c r="K55" s="312">
        <f>SUM(K42:K54)</f>
        <v>25573260</v>
      </c>
      <c r="M55" s="312">
        <f>SUM(M42:M54)</f>
        <v>27725044</v>
      </c>
      <c r="O55" s="311"/>
      <c r="Q55" s="312">
        <f>SUM(Q42:Q54)</f>
        <v>29350889</v>
      </c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264" t="s">
        <v>339</v>
      </c>
      <c r="AD55" s="316">
        <f>SUM(G47,G53)/((G41)*7/12)</f>
        <v>642.2870268334708</v>
      </c>
      <c r="AE55" s="309"/>
      <c r="AF55" s="309"/>
      <c r="AG55" s="309"/>
      <c r="AH55" s="309"/>
    </row>
    <row r="56" spans="2:34" ht="16.5" thickTop="1">
      <c r="E56" s="102"/>
      <c r="G56" s="102"/>
      <c r="AE56" s="309"/>
      <c r="AF56" s="309"/>
      <c r="AG56" s="309"/>
      <c r="AH56" s="309"/>
    </row>
    <row r="57" spans="2:34">
      <c r="B57" s="272" t="s">
        <v>340</v>
      </c>
      <c r="E57" s="102"/>
      <c r="G57" s="102"/>
      <c r="AE57" s="309"/>
      <c r="AF57" s="309"/>
      <c r="AG57" s="309"/>
      <c r="AH57" s="309"/>
    </row>
    <row r="58" spans="2:34">
      <c r="B58" s="275" t="s">
        <v>307</v>
      </c>
      <c r="E58" s="102">
        <v>4433.5748999999996</v>
      </c>
      <c r="G58" s="280">
        <v>4325.407917034714</v>
      </c>
      <c r="I58" s="99"/>
      <c r="J58" s="276"/>
      <c r="K58" s="267"/>
      <c r="M58" s="267"/>
      <c r="O58" s="99"/>
      <c r="P58" s="276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D58" s="279"/>
      <c r="AE58" s="309"/>
      <c r="AF58" s="279"/>
      <c r="AG58" s="309"/>
      <c r="AH58" s="309"/>
    </row>
    <row r="59" spans="2:34">
      <c r="B59" s="275" t="s">
        <v>309</v>
      </c>
      <c r="E59" s="102">
        <v>4345.9000999999989</v>
      </c>
      <c r="G59" s="280">
        <f>ROUND(E59/$E$58*$G$58,0)</f>
        <v>4240</v>
      </c>
      <c r="I59" s="99">
        <v>4</v>
      </c>
      <c r="J59" s="276"/>
      <c r="K59" s="267">
        <f t="shared" ref="K59:K60" si="9">ROUND($I59*E59,0)</f>
        <v>17384</v>
      </c>
      <c r="M59" s="267">
        <f t="shared" ref="M59:M60" si="10">ROUND($I59*G59,0)</f>
        <v>16960</v>
      </c>
      <c r="O59" s="99">
        <f t="shared" ref="O59:O60" si="11">O19</f>
        <v>10</v>
      </c>
      <c r="P59" s="276"/>
      <c r="Q59" s="267">
        <f t="shared" ref="Q59:Q60" si="12">ROUND(O59*$G59,0)</f>
        <v>42400</v>
      </c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D59" s="279"/>
      <c r="AE59" s="309"/>
      <c r="AF59" s="279">
        <f t="shared" ref="AF59:AF69" si="13">O59/I59-1</f>
        <v>1.5</v>
      </c>
      <c r="AG59" s="309"/>
      <c r="AH59" s="309"/>
    </row>
    <row r="60" spans="2:34">
      <c r="B60" s="275" t="s">
        <v>311</v>
      </c>
      <c r="E60" s="102">
        <v>0</v>
      </c>
      <c r="G60" s="280">
        <f>ROUND(E60/$E$58*$G$58,0)</f>
        <v>0</v>
      </c>
      <c r="I60" s="99">
        <v>8</v>
      </c>
      <c r="J60" s="276"/>
      <c r="K60" s="267">
        <f t="shared" si="9"/>
        <v>0</v>
      </c>
      <c r="M60" s="267">
        <f t="shared" si="10"/>
        <v>0</v>
      </c>
      <c r="O60" s="99">
        <f t="shared" si="11"/>
        <v>20</v>
      </c>
      <c r="P60" s="276"/>
      <c r="Q60" s="267">
        <f t="shared" si="12"/>
        <v>0</v>
      </c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D60" s="279"/>
      <c r="AE60" s="309"/>
      <c r="AF60" s="279">
        <f t="shared" si="13"/>
        <v>1.5</v>
      </c>
      <c r="AG60" s="309"/>
      <c r="AH60" s="309"/>
    </row>
    <row r="61" spans="2:34">
      <c r="B61" s="275" t="s">
        <v>341</v>
      </c>
      <c r="E61" s="102">
        <v>282773</v>
      </c>
      <c r="G61" s="280">
        <f>E61/($E$74-$E$73)*$G$74</f>
        <v>285070.90634845069</v>
      </c>
      <c r="I61" s="100">
        <v>4.13</v>
      </c>
      <c r="J61" s="286" t="s">
        <v>314</v>
      </c>
      <c r="K61" s="267">
        <f t="shared" ref="K61:K66" si="14">ROUND($I61*E61/100,0)</f>
        <v>11679</v>
      </c>
      <c r="M61" s="267">
        <f t="shared" ref="M61:M66" si="15">ROUND($I61*G61/100,0)</f>
        <v>11773</v>
      </c>
      <c r="O61" s="100">
        <f>ROUND(I61*AC61,4)</f>
        <v>4.2415000000000003</v>
      </c>
      <c r="P61" s="286" t="s">
        <v>314</v>
      </c>
      <c r="Q61" s="267">
        <f t="shared" ref="Q61:Q66" si="16">ROUND(O61*$G61/100,0)</f>
        <v>12091</v>
      </c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79">
        <f>1+2.7%</f>
        <v>1.0269999999999999</v>
      </c>
      <c r="AE61" s="309"/>
      <c r="AF61" s="279">
        <f t="shared" si="13"/>
        <v>2.6997578692494084E-2</v>
      </c>
      <c r="AG61" s="309"/>
      <c r="AH61" s="309"/>
    </row>
    <row r="62" spans="2:34">
      <c r="B62" s="275" t="s">
        <v>342</v>
      </c>
      <c r="E62" s="102">
        <v>1024734.3077848302</v>
      </c>
      <c r="G62" s="280">
        <f>E62/($E$74-$E$73)*$G$74</f>
        <v>1033061.6356108035</v>
      </c>
      <c r="I62" s="100">
        <v>-1.5487</v>
      </c>
      <c r="J62" s="286" t="s">
        <v>314</v>
      </c>
      <c r="K62" s="267">
        <f t="shared" si="14"/>
        <v>-15870</v>
      </c>
      <c r="M62" s="267">
        <f t="shared" si="15"/>
        <v>-15999</v>
      </c>
      <c r="O62" s="100">
        <f>ROUND(I62*AC62,4)</f>
        <v>-1.5905</v>
      </c>
      <c r="P62" s="286" t="s">
        <v>314</v>
      </c>
      <c r="Q62" s="267">
        <f t="shared" si="16"/>
        <v>-16431</v>
      </c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79">
        <f>AC61</f>
        <v>1.0269999999999999</v>
      </c>
      <c r="AE62" s="309"/>
      <c r="AF62" s="279">
        <f t="shared" si="13"/>
        <v>2.699037902757162E-2</v>
      </c>
      <c r="AG62" s="309"/>
      <c r="AH62" s="309"/>
    </row>
    <row r="63" spans="2:34">
      <c r="B63" s="275" t="s">
        <v>313</v>
      </c>
      <c r="E63" s="280">
        <v>677328</v>
      </c>
      <c r="G63" s="280">
        <f t="shared" ref="G63:G66" si="17">E63/($E$74-$E$73)*$G$74</f>
        <v>682832.18997281697</v>
      </c>
      <c r="I63" s="296">
        <v>8.4003999999999994</v>
      </c>
      <c r="J63" s="286" t="s">
        <v>314</v>
      </c>
      <c r="K63" s="267">
        <f t="shared" si="14"/>
        <v>56898</v>
      </c>
      <c r="M63" s="267">
        <f t="shared" si="15"/>
        <v>57361</v>
      </c>
      <c r="O63" s="296">
        <f t="shared" ref="O63:O69" si="18">O21</f>
        <v>8.1125000000000007</v>
      </c>
      <c r="P63" s="286" t="s">
        <v>314</v>
      </c>
      <c r="Q63" s="267">
        <f t="shared" si="16"/>
        <v>55395</v>
      </c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E63" s="309"/>
      <c r="AF63" s="279">
        <f t="shared" si="13"/>
        <v>-3.4272177515356272E-2</v>
      </c>
      <c r="AG63" s="309"/>
      <c r="AH63" s="317"/>
    </row>
    <row r="64" spans="2:34">
      <c r="B64" s="275" t="s">
        <v>316</v>
      </c>
      <c r="E64" s="280">
        <v>467042</v>
      </c>
      <c r="G64" s="280">
        <f t="shared" si="17"/>
        <v>470837.33681360341</v>
      </c>
      <c r="I64" s="296">
        <v>10.348100000000001</v>
      </c>
      <c r="J64" s="286" t="s">
        <v>314</v>
      </c>
      <c r="K64" s="267">
        <f t="shared" si="14"/>
        <v>48330</v>
      </c>
      <c r="M64" s="267">
        <f t="shared" si="15"/>
        <v>48723</v>
      </c>
      <c r="O64" s="296">
        <f t="shared" si="18"/>
        <v>9.9933999999999994</v>
      </c>
      <c r="P64" s="286" t="s">
        <v>314</v>
      </c>
      <c r="Q64" s="267">
        <f t="shared" si="16"/>
        <v>47053</v>
      </c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E64" s="309"/>
      <c r="AF64" s="279">
        <f t="shared" si="13"/>
        <v>-3.4276823764749165E-2</v>
      </c>
      <c r="AG64" s="309"/>
      <c r="AH64" s="317"/>
    </row>
    <row r="65" spans="2:34">
      <c r="B65" s="275" t="s">
        <v>318</v>
      </c>
      <c r="E65" s="280">
        <v>197673.30778483019</v>
      </c>
      <c r="G65" s="280">
        <f t="shared" si="17"/>
        <v>199279.66606117907</v>
      </c>
      <c r="I65" s="296">
        <v>12.870900000000001</v>
      </c>
      <c r="J65" s="286" t="s">
        <v>314</v>
      </c>
      <c r="K65" s="267">
        <f t="shared" si="14"/>
        <v>25442</v>
      </c>
      <c r="M65" s="267">
        <f t="shared" si="15"/>
        <v>25649</v>
      </c>
      <c r="O65" s="296">
        <f t="shared" si="18"/>
        <v>12.4298</v>
      </c>
      <c r="P65" s="286" t="s">
        <v>314</v>
      </c>
      <c r="Q65" s="267">
        <f t="shared" si="16"/>
        <v>24770</v>
      </c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D65" s="309"/>
      <c r="AE65" s="309"/>
      <c r="AF65" s="279">
        <f t="shared" si="13"/>
        <v>-3.4271107692546821E-2</v>
      </c>
      <c r="AG65" s="309"/>
      <c r="AH65" s="309"/>
    </row>
    <row r="66" spans="2:34">
      <c r="B66" s="275" t="s">
        <v>320</v>
      </c>
      <c r="E66" s="280">
        <v>1891076.7911389819</v>
      </c>
      <c r="G66" s="280">
        <f t="shared" si="17"/>
        <v>1906444.3027605512</v>
      </c>
      <c r="I66" s="296">
        <v>8.7035</v>
      </c>
      <c r="J66" s="286" t="s">
        <v>314</v>
      </c>
      <c r="K66" s="267">
        <f t="shared" si="14"/>
        <v>164590</v>
      </c>
      <c r="M66" s="267">
        <f t="shared" si="15"/>
        <v>165927</v>
      </c>
      <c r="O66" s="296">
        <f t="shared" si="18"/>
        <v>8.4052000000000007</v>
      </c>
      <c r="P66" s="286" t="s">
        <v>314</v>
      </c>
      <c r="Q66" s="267">
        <f t="shared" si="16"/>
        <v>160240</v>
      </c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D66" s="309"/>
      <c r="AE66" s="286"/>
      <c r="AF66" s="279">
        <f t="shared" si="13"/>
        <v>-3.4273568104785324E-2</v>
      </c>
      <c r="AG66" s="309"/>
      <c r="AH66" s="309"/>
    </row>
    <row r="67" spans="2:34">
      <c r="B67" s="275" t="s">
        <v>322</v>
      </c>
      <c r="E67" s="102">
        <v>87.674800000000005</v>
      </c>
      <c r="G67" s="280">
        <f>G58-G59-G60-G68-G69</f>
        <v>85.407917034714046</v>
      </c>
      <c r="I67" s="99">
        <v>7</v>
      </c>
      <c r="J67" s="276"/>
      <c r="K67" s="267">
        <f>ROUND($I67*E67,0)</f>
        <v>614</v>
      </c>
      <c r="M67" s="267">
        <f>ROUND($I67*G67,0)</f>
        <v>598</v>
      </c>
      <c r="O67" s="99">
        <f t="shared" si="18"/>
        <v>10</v>
      </c>
      <c r="P67" s="276"/>
      <c r="Q67" s="267">
        <f>ROUND(O67*$G67,0)</f>
        <v>854</v>
      </c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D67" s="309"/>
      <c r="AE67" s="286"/>
      <c r="AF67" s="279">
        <f t="shared" si="13"/>
        <v>0.4285714285714286</v>
      </c>
      <c r="AG67" s="309"/>
      <c r="AH67" s="309"/>
    </row>
    <row r="68" spans="2:34" s="274" customFormat="1">
      <c r="B68" s="275" t="s">
        <v>324</v>
      </c>
      <c r="C68" s="264"/>
      <c r="D68" s="264"/>
      <c r="E68" s="102">
        <v>0</v>
      </c>
      <c r="F68" s="265"/>
      <c r="G68" s="280">
        <f t="shared" ref="G68:G69" si="19">ROUND(E68/$E$58*$G$58,0)</f>
        <v>0</v>
      </c>
      <c r="H68" s="265"/>
      <c r="I68" s="99">
        <v>14</v>
      </c>
      <c r="J68" s="276"/>
      <c r="K68" s="267">
        <f>ROUND($I68*E68,0)</f>
        <v>0</v>
      </c>
      <c r="L68" s="265"/>
      <c r="M68" s="267">
        <f>ROUND($I68*G68,0)</f>
        <v>0</v>
      </c>
      <c r="N68" s="265"/>
      <c r="O68" s="99">
        <f t="shared" si="18"/>
        <v>20</v>
      </c>
      <c r="P68" s="276"/>
      <c r="Q68" s="267">
        <f>ROUND(O68*$G68,0)</f>
        <v>0</v>
      </c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301"/>
      <c r="AC68" s="264"/>
      <c r="AD68" s="309"/>
      <c r="AE68" s="286"/>
      <c r="AF68" s="279">
        <f t="shared" si="13"/>
        <v>0.4285714285714286</v>
      </c>
      <c r="AG68" s="286"/>
      <c r="AH68" s="286"/>
    </row>
    <row r="69" spans="2:34" s="274" customFormat="1">
      <c r="B69" s="275" t="s">
        <v>326</v>
      </c>
      <c r="C69" s="264"/>
      <c r="D69" s="264"/>
      <c r="E69" s="280">
        <v>0</v>
      </c>
      <c r="F69" s="265"/>
      <c r="G69" s="280">
        <f t="shared" si="19"/>
        <v>0</v>
      </c>
      <c r="H69" s="265"/>
      <c r="I69" s="99">
        <v>84</v>
      </c>
      <c r="J69" s="276"/>
      <c r="K69" s="267">
        <f>ROUND($I69*E69,0)</f>
        <v>0</v>
      </c>
      <c r="L69" s="265"/>
      <c r="M69" s="267">
        <f>ROUND($I69*G69,0)</f>
        <v>0</v>
      </c>
      <c r="N69" s="265"/>
      <c r="O69" s="99">
        <f t="shared" si="18"/>
        <v>120</v>
      </c>
      <c r="P69" s="276"/>
      <c r="Q69" s="267">
        <f>ROUND(O69*$G69,0)</f>
        <v>0</v>
      </c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301"/>
      <c r="AC69" s="264"/>
      <c r="AD69" s="309"/>
      <c r="AE69" s="309"/>
      <c r="AF69" s="279">
        <f t="shared" si="13"/>
        <v>0.4285714285714286</v>
      </c>
      <c r="AG69" s="286"/>
      <c r="AH69" s="286"/>
    </row>
    <row r="70" spans="2:34" s="274" customFormat="1">
      <c r="B70" s="303" t="s">
        <v>328</v>
      </c>
      <c r="C70" s="265"/>
      <c r="D70" s="265"/>
      <c r="E70" s="280">
        <f>SUM(E71:E72)</f>
        <v>577</v>
      </c>
      <c r="F70" s="265"/>
      <c r="G70" s="280">
        <f>SUM(G71:G72)</f>
        <v>581.68889166537042</v>
      </c>
      <c r="H70" s="265"/>
      <c r="I70" s="314"/>
      <c r="J70" s="286"/>
      <c r="K70" s="301"/>
      <c r="L70" s="265"/>
      <c r="M70" s="301"/>
      <c r="N70" s="265"/>
      <c r="O70" s="314"/>
      <c r="P70" s="286"/>
      <c r="Q70" s="301"/>
      <c r="R70" s="301"/>
      <c r="S70" s="301"/>
      <c r="T70" s="301"/>
      <c r="U70" s="301"/>
      <c r="V70" s="301"/>
      <c r="W70" s="301"/>
      <c r="X70" s="301"/>
      <c r="Y70" s="301"/>
      <c r="Z70" s="301"/>
      <c r="AA70" s="301"/>
      <c r="AB70" s="301"/>
      <c r="AC70" s="264"/>
      <c r="AD70" s="309"/>
      <c r="AE70" s="309"/>
      <c r="AF70" s="286"/>
      <c r="AG70" s="286"/>
      <c r="AH70" s="286"/>
    </row>
    <row r="71" spans="2:34">
      <c r="B71" s="303" t="s">
        <v>330</v>
      </c>
      <c r="C71" s="265"/>
      <c r="D71" s="265"/>
      <c r="E71" s="280">
        <v>234</v>
      </c>
      <c r="G71" s="280">
        <f>E71/($E$74-$E$73)*$G$74</f>
        <v>235.90156091825406</v>
      </c>
      <c r="I71" s="314"/>
      <c r="J71" s="286"/>
      <c r="K71" s="267"/>
      <c r="M71" s="267"/>
      <c r="O71" s="314">
        <f>O21</f>
        <v>8.1125000000000007</v>
      </c>
      <c r="P71" s="286" t="s">
        <v>314</v>
      </c>
      <c r="Q71" s="267">
        <f>ROUND(O71*$G71/100,0)</f>
        <v>19</v>
      </c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301"/>
      <c r="AC71" s="260"/>
      <c r="AE71" s="309"/>
    </row>
    <row r="72" spans="2:34">
      <c r="B72" s="303" t="s">
        <v>332</v>
      </c>
      <c r="E72" s="280">
        <v>343</v>
      </c>
      <c r="G72" s="280">
        <f>G74-SUM(G63:G66,G71:G71)</f>
        <v>345.78733074711636</v>
      </c>
      <c r="I72" s="314"/>
      <c r="J72" s="286"/>
      <c r="K72" s="267"/>
      <c r="M72" s="267"/>
      <c r="O72" s="314">
        <f>O24</f>
        <v>8.4052000000000007</v>
      </c>
      <c r="P72" s="286" t="s">
        <v>314</v>
      </c>
      <c r="Q72" s="267">
        <f>ROUND(O72*$G72/100,0)</f>
        <v>29</v>
      </c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301"/>
      <c r="AC72" s="264" t="s">
        <v>315</v>
      </c>
      <c r="AD72" s="315">
        <f>Q74/M74-1</f>
        <v>4.960899315738021E-2</v>
      </c>
      <c r="AF72" s="309"/>
      <c r="AG72" s="309"/>
      <c r="AH72" s="309"/>
    </row>
    <row r="73" spans="2:34">
      <c r="B73" s="275" t="s">
        <v>333</v>
      </c>
      <c r="E73" s="103">
        <v>3098</v>
      </c>
      <c r="G73" s="103">
        <v>0</v>
      </c>
      <c r="K73" s="308">
        <v>12</v>
      </c>
      <c r="M73" s="308">
        <v>0</v>
      </c>
      <c r="Q73" s="308">
        <v>0</v>
      </c>
      <c r="R73" s="301"/>
      <c r="S73" s="301"/>
      <c r="T73" s="301"/>
      <c r="U73" s="301"/>
      <c r="V73" s="301"/>
      <c r="W73" s="301"/>
      <c r="X73" s="301"/>
      <c r="Y73" s="301"/>
      <c r="Z73" s="301"/>
      <c r="AA73" s="301"/>
      <c r="AC73" s="264" t="s">
        <v>336</v>
      </c>
      <c r="AD73" s="315">
        <f>(Q74)/(M74)-1</f>
        <v>4.960899315738021E-2</v>
      </c>
      <c r="AF73" s="309"/>
      <c r="AG73" s="309"/>
    </row>
    <row r="74" spans="2:34" ht="16.5" thickBot="1">
      <c r="B74" s="275" t="s">
        <v>334</v>
      </c>
      <c r="E74" s="310">
        <f>SUM(E63:E65,E66,E70,E73)</f>
        <v>3236795.0989238122</v>
      </c>
      <c r="G74" s="310">
        <v>3259975.1844998165</v>
      </c>
      <c r="I74" s="318"/>
      <c r="K74" s="319">
        <f>SUM(K59:K73)</f>
        <v>309079</v>
      </c>
      <c r="M74" s="319">
        <f>SUM(M59:M73)</f>
        <v>310992</v>
      </c>
      <c r="O74" s="318"/>
      <c r="Q74" s="319">
        <f>SUM(Q59:Q73)</f>
        <v>326420</v>
      </c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C74" s="264" t="s">
        <v>343</v>
      </c>
      <c r="AD74" s="316">
        <f>G74/(G58)</f>
        <v>753.68040356635186</v>
      </c>
      <c r="AE74" s="320"/>
      <c r="AF74" s="309"/>
      <c r="AG74" s="309"/>
    </row>
    <row r="75" spans="2:34" ht="16.5" thickTop="1">
      <c r="E75" s="102"/>
      <c r="G75" s="102"/>
      <c r="AB75" s="267"/>
      <c r="AD75" s="309"/>
      <c r="AE75" s="320"/>
      <c r="AF75" s="320"/>
      <c r="AG75" s="267"/>
      <c r="AH75" s="102"/>
    </row>
    <row r="76" spans="2:34">
      <c r="B76" s="272" t="s">
        <v>344</v>
      </c>
      <c r="E76" s="102"/>
      <c r="G76" s="102"/>
      <c r="AB76" s="267"/>
      <c r="AE76" s="320"/>
      <c r="AH76" s="264"/>
    </row>
    <row r="77" spans="2:34">
      <c r="B77" s="275" t="s">
        <v>345</v>
      </c>
      <c r="E77" s="102">
        <f t="shared" ref="E77:E86" si="20">E89+E101+E113</f>
        <v>151410.19301851271</v>
      </c>
      <c r="G77" s="102">
        <f t="shared" ref="G77:G86" si="21">G89+G101+G113</f>
        <v>161759</v>
      </c>
      <c r="I77" s="99">
        <v>50</v>
      </c>
      <c r="J77" s="276"/>
      <c r="K77" s="267">
        <f>ROUND($I77*E77,0)</f>
        <v>7570510</v>
      </c>
      <c r="M77" s="267">
        <f>ROUND($I77*G77,0)</f>
        <v>8087950</v>
      </c>
      <c r="O77" s="99">
        <f>ROUND(I77*(1+AD84),0)</f>
        <v>52</v>
      </c>
      <c r="P77" s="276"/>
      <c r="Q77" s="267">
        <f>ROUND(O77*$G77,0)</f>
        <v>8411468</v>
      </c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F77" s="279">
        <f t="shared" ref="AF77:AF80" si="22">O77/I77-1</f>
        <v>4.0000000000000036E-2</v>
      </c>
      <c r="AH77" s="100"/>
    </row>
    <row r="78" spans="2:34">
      <c r="B78" s="275" t="s">
        <v>346</v>
      </c>
      <c r="E78" s="102">
        <f t="shared" si="20"/>
        <v>7099969.9663321152</v>
      </c>
      <c r="G78" s="102">
        <f t="shared" si="21"/>
        <v>7236066</v>
      </c>
      <c r="I78" s="99">
        <v>16.84</v>
      </c>
      <c r="J78" s="276"/>
      <c r="K78" s="267">
        <f>ROUND($I78*E78,0)</f>
        <v>119563494</v>
      </c>
      <c r="M78" s="267">
        <f>ROUND($I78*G78,0)</f>
        <v>121855351</v>
      </c>
      <c r="O78" s="99">
        <f>ROUND(I78*(1+$AD$86),2)</f>
        <v>17.46</v>
      </c>
      <c r="P78" s="276"/>
      <c r="Q78" s="267">
        <f>ROUND(O78*$G78,0)</f>
        <v>126341712</v>
      </c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F78" s="279">
        <f t="shared" si="22"/>
        <v>3.6817102137767233E-2</v>
      </c>
      <c r="AG78" s="267"/>
    </row>
    <row r="79" spans="2:34">
      <c r="B79" s="275" t="s">
        <v>347</v>
      </c>
      <c r="E79" s="102">
        <f t="shared" si="20"/>
        <v>8658903.6368118189</v>
      </c>
      <c r="G79" s="102">
        <f t="shared" si="21"/>
        <v>8823903</v>
      </c>
      <c r="I79" s="99">
        <v>13.52</v>
      </c>
      <c r="J79" s="276"/>
      <c r="K79" s="267">
        <f>ROUND($I79*E79,0)</f>
        <v>117068377</v>
      </c>
      <c r="M79" s="267">
        <f>ROUND($I79*G79,0)</f>
        <v>119299169</v>
      </c>
      <c r="O79" s="99">
        <f>ROUND(I79*(1+$AD$86),2)</f>
        <v>14.02</v>
      </c>
      <c r="P79" s="276"/>
      <c r="Q79" s="267">
        <f>ROUND(O79*$G79,0)</f>
        <v>123711120</v>
      </c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99"/>
      <c r="AD79" s="321"/>
      <c r="AF79" s="279">
        <f t="shared" si="22"/>
        <v>3.6982248520710082E-2</v>
      </c>
      <c r="AG79" s="267"/>
    </row>
    <row r="80" spans="2:34">
      <c r="B80" s="275" t="s">
        <v>348</v>
      </c>
      <c r="E80" s="102">
        <f t="shared" si="20"/>
        <v>607644.092907093</v>
      </c>
      <c r="G80" s="102">
        <f t="shared" si="21"/>
        <v>612787</v>
      </c>
      <c r="I80" s="99">
        <v>-0.87</v>
      </c>
      <c r="J80" s="276"/>
      <c r="K80" s="267">
        <f>ROUND($I80*E80,0)</f>
        <v>-528650</v>
      </c>
      <c r="M80" s="267">
        <f>ROUND($I80*G80,0)</f>
        <v>-533125</v>
      </c>
      <c r="O80" s="99">
        <f>ROUND(I80*(1+$AD$86),2)</f>
        <v>-0.9</v>
      </c>
      <c r="P80" s="276"/>
      <c r="Q80" s="267">
        <f>ROUND(O80*$G80,0)</f>
        <v>-551508</v>
      </c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77" t="s">
        <v>308</v>
      </c>
      <c r="AD80" s="278">
        <f>Q86+Q146+Q158</f>
        <v>461675861</v>
      </c>
      <c r="AF80" s="279">
        <f t="shared" si="22"/>
        <v>3.4482758620689724E-2</v>
      </c>
      <c r="AG80" s="267"/>
      <c r="AH80" s="102"/>
    </row>
    <row r="81" spans="2:34">
      <c r="B81" s="275" t="s">
        <v>349</v>
      </c>
      <c r="E81" s="102">
        <f t="shared" si="20"/>
        <v>5615771584.2236633</v>
      </c>
      <c r="G81" s="102">
        <f t="shared" si="21"/>
        <v>5746434278.8172226</v>
      </c>
      <c r="I81" s="100"/>
      <c r="J81" s="286"/>
      <c r="K81" s="267"/>
      <c r="M81" s="267"/>
      <c r="O81" s="100"/>
      <c r="P81" s="286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301"/>
      <c r="AC81" s="281" t="s">
        <v>310</v>
      </c>
      <c r="AD81" s="282">
        <f>(RateSpread!M20+RateSpread!M22)*1000</f>
        <v>461675626.00000006</v>
      </c>
      <c r="AH81" s="102"/>
    </row>
    <row r="82" spans="2:34">
      <c r="B82" s="275" t="s">
        <v>350</v>
      </c>
      <c r="E82" s="102">
        <f t="shared" si="20"/>
        <v>2525878309.1825972</v>
      </c>
      <c r="G82" s="102">
        <f t="shared" si="21"/>
        <v>2584270137</v>
      </c>
      <c r="I82" s="322">
        <v>3.5438999999999998</v>
      </c>
      <c r="J82" s="286" t="s">
        <v>314</v>
      </c>
      <c r="K82" s="267">
        <f>ROUND($I82*E82/100,0)</f>
        <v>89514601</v>
      </c>
      <c r="M82" s="267">
        <f>ROUND($I82*G82/100,0)</f>
        <v>91583949</v>
      </c>
      <c r="O82" s="322">
        <f>ROUND(I82*(1+$AD$86),4)</f>
        <v>3.6747000000000001</v>
      </c>
      <c r="P82" s="286" t="s">
        <v>314</v>
      </c>
      <c r="Q82" s="267">
        <f>ROUND(O82*$G82/100,0)</f>
        <v>94964175</v>
      </c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301"/>
      <c r="AC82" s="283" t="s">
        <v>312</v>
      </c>
      <c r="AD82" s="284">
        <f>AD81-AD80</f>
        <v>-234.99999994039536</v>
      </c>
      <c r="AE82" s="309"/>
      <c r="AF82" s="279">
        <f t="shared" ref="AF82:AF84" si="23">O82/I82-1</f>
        <v>3.6908490645898739E-2</v>
      </c>
      <c r="AG82" s="267"/>
      <c r="AH82" s="309"/>
    </row>
    <row r="83" spans="2:34">
      <c r="B83" s="275" t="s">
        <v>351</v>
      </c>
      <c r="E83" s="102">
        <f t="shared" si="20"/>
        <v>3089893275.0410662</v>
      </c>
      <c r="G83" s="102">
        <f t="shared" si="21"/>
        <v>3162164141.8172226</v>
      </c>
      <c r="I83" s="322">
        <v>3.2658999999999998</v>
      </c>
      <c r="J83" s="286" t="s">
        <v>314</v>
      </c>
      <c r="K83" s="267">
        <f>ROUND($I83*E83/100,0)</f>
        <v>100912824</v>
      </c>
      <c r="M83" s="267">
        <f>ROUND($I83*G83/100,0)</f>
        <v>103273119</v>
      </c>
      <c r="O83" s="322">
        <f>ROUND((AD81-SUM(Q77:Q82,Q84,Q137:Q142,Q144,Q149:Q154,Q156))/(G83+G143+G155)*100,4)+AD559</f>
        <v>3.3862999999999999</v>
      </c>
      <c r="P83" s="286" t="s">
        <v>314</v>
      </c>
      <c r="Q83" s="267">
        <f>ROUND(O83*$G83/100,0)</f>
        <v>107080364</v>
      </c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301"/>
      <c r="AC83" s="287" t="s">
        <v>315</v>
      </c>
      <c r="AD83" s="323">
        <f>AD80/(M86+M146+M158)-1</f>
        <v>3.6952479218650858E-2</v>
      </c>
      <c r="AF83" s="279">
        <f t="shared" si="23"/>
        <v>3.686579503352827E-2</v>
      </c>
      <c r="AH83" s="309"/>
    </row>
    <row r="84" spans="2:34">
      <c r="B84" s="275" t="s">
        <v>352</v>
      </c>
      <c r="E84" s="102">
        <f t="shared" si="20"/>
        <v>0</v>
      </c>
      <c r="G84" s="102">
        <f t="shared" si="21"/>
        <v>0</v>
      </c>
      <c r="I84" s="99">
        <v>600</v>
      </c>
      <c r="J84" s="276"/>
      <c r="K84" s="267">
        <f>ROUND($I84*E84,0)</f>
        <v>0</v>
      </c>
      <c r="M84" s="267">
        <f>ROUND($I84*G84,0)</f>
        <v>0</v>
      </c>
      <c r="O84" s="99">
        <f>O77*12</f>
        <v>624</v>
      </c>
      <c r="P84" s="276"/>
      <c r="Q84" s="267">
        <f>ROUND(O84*$G84,0)</f>
        <v>0</v>
      </c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301"/>
      <c r="AC84" s="291" t="s">
        <v>317</v>
      </c>
      <c r="AD84" s="324">
        <f>AD81/(M86+M146+M158)-1</f>
        <v>3.695195139414631E-2</v>
      </c>
      <c r="AF84" s="279">
        <f t="shared" si="23"/>
        <v>4.0000000000000036E-2</v>
      </c>
      <c r="AG84" s="309"/>
      <c r="AH84" s="309"/>
    </row>
    <row r="85" spans="2:34">
      <c r="B85" s="275" t="s">
        <v>333</v>
      </c>
      <c r="E85" s="103">
        <f t="shared" si="20"/>
        <v>19661732</v>
      </c>
      <c r="G85" s="103">
        <f t="shared" si="21"/>
        <v>0</v>
      </c>
      <c r="K85" s="308">
        <f>K97+K109+K121</f>
        <v>664683.99000000034</v>
      </c>
      <c r="M85" s="308">
        <v>0</v>
      </c>
      <c r="Q85" s="308">
        <v>0</v>
      </c>
      <c r="R85" s="301"/>
      <c r="S85" s="301"/>
      <c r="T85" s="301"/>
      <c r="U85" s="301"/>
      <c r="V85" s="301"/>
      <c r="W85" s="301"/>
      <c r="X85" s="301"/>
      <c r="Y85" s="301"/>
      <c r="Z85" s="301"/>
      <c r="AA85" s="301"/>
      <c r="AC85" s="287" t="s">
        <v>321</v>
      </c>
      <c r="AD85" s="288">
        <f>O77/I77-1</f>
        <v>4.0000000000000036E-2</v>
      </c>
    </row>
    <row r="86" spans="2:34" ht="16.5" thickBot="1">
      <c r="B86" s="275" t="s">
        <v>334</v>
      </c>
      <c r="E86" s="325">
        <f t="shared" si="20"/>
        <v>5635433316.2236633</v>
      </c>
      <c r="G86" s="325">
        <f t="shared" si="21"/>
        <v>5746434278.8172226</v>
      </c>
      <c r="I86" s="318"/>
      <c r="K86" s="319">
        <f>SUM(K77:K85)</f>
        <v>434765839.99000001</v>
      </c>
      <c r="M86" s="319">
        <f>SUM(M77:M85)</f>
        <v>443566413</v>
      </c>
      <c r="O86" s="318"/>
      <c r="Q86" s="319">
        <f>SUM(Q77:Q85)</f>
        <v>459957331</v>
      </c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C86" s="305" t="s">
        <v>353</v>
      </c>
      <c r="AD86" s="326">
        <f>(AD81-Q77-Q84-Q137-Q144-Q149-Q156)/SUM(M78:M83,M138:M143,M150:M155)-1</f>
        <v>3.6895419595033063E-2</v>
      </c>
    </row>
    <row r="87" spans="2:34" ht="16.5" thickTop="1">
      <c r="E87" s="102"/>
      <c r="G87" s="102"/>
      <c r="AB87" s="267"/>
    </row>
    <row r="88" spans="2:34">
      <c r="B88" s="272" t="s">
        <v>354</v>
      </c>
      <c r="E88" s="102"/>
      <c r="G88" s="102"/>
      <c r="AB88" s="267"/>
    </row>
    <row r="89" spans="2:34">
      <c r="B89" s="275" t="s">
        <v>345</v>
      </c>
      <c r="E89" s="102">
        <v>137041.6409444387</v>
      </c>
      <c r="G89" s="102">
        <v>148651</v>
      </c>
      <c r="I89" s="300">
        <v>50</v>
      </c>
      <c r="J89" s="299"/>
      <c r="K89" s="267">
        <f>ROUND($I89*E89,0)</f>
        <v>6852082</v>
      </c>
      <c r="M89" s="267">
        <f>ROUND($I89*G89,0)</f>
        <v>7432550</v>
      </c>
      <c r="O89" s="300">
        <f>O77</f>
        <v>52</v>
      </c>
      <c r="P89" s="299"/>
      <c r="Q89" s="267">
        <f>ROUND(O89*$G89,0)</f>
        <v>7729852</v>
      </c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F89" s="279">
        <f t="shared" ref="AF89:AF92" si="24">O89/I89-1</f>
        <v>4.0000000000000036E-2</v>
      </c>
    </row>
    <row r="90" spans="2:34">
      <c r="B90" s="275" t="s">
        <v>346</v>
      </c>
      <c r="E90" s="102">
        <v>6120594.5136771677</v>
      </c>
      <c r="G90" s="102">
        <f>ROUND(G$98*E90/E$98,0)</f>
        <v>6277989</v>
      </c>
      <c r="I90" s="300">
        <v>16.84</v>
      </c>
      <c r="J90" s="299"/>
      <c r="K90" s="267">
        <f>ROUND($I90*E90,0)</f>
        <v>103070812</v>
      </c>
      <c r="M90" s="267">
        <f>ROUND($I90*G90,0)</f>
        <v>105721335</v>
      </c>
      <c r="O90" s="300">
        <f>O78</f>
        <v>17.46</v>
      </c>
      <c r="P90" s="299"/>
      <c r="Q90" s="267">
        <f>ROUND(O90*$G90,0)</f>
        <v>109613688</v>
      </c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F90" s="279">
        <f t="shared" si="24"/>
        <v>3.6817102137767233E-2</v>
      </c>
    </row>
    <row r="91" spans="2:34">
      <c r="B91" s="275" t="s">
        <v>347</v>
      </c>
      <c r="E91" s="102">
        <v>7443866.0386195444</v>
      </c>
      <c r="G91" s="102">
        <f>ROUND(G$98*E91/E$98,0)</f>
        <v>7635289</v>
      </c>
      <c r="I91" s="300">
        <v>13.52</v>
      </c>
      <c r="J91" s="299"/>
      <c r="K91" s="267">
        <f>ROUND($I91*E91,0)</f>
        <v>100641069</v>
      </c>
      <c r="M91" s="267">
        <f>ROUND($I91*G91,0)</f>
        <v>103229107</v>
      </c>
      <c r="O91" s="300">
        <f>O79</f>
        <v>14.02</v>
      </c>
      <c r="P91" s="299"/>
      <c r="Q91" s="267">
        <f>ROUND(O91*$G91,0)</f>
        <v>107046752</v>
      </c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F91" s="279">
        <f t="shared" si="24"/>
        <v>3.6982248520710082E-2</v>
      </c>
    </row>
    <row r="92" spans="2:34">
      <c r="B92" s="275" t="s">
        <v>348</v>
      </c>
      <c r="E92" s="102">
        <v>385524.77022976999</v>
      </c>
      <c r="G92" s="102">
        <f>ROUND(G$98*E92/E$98,0)</f>
        <v>395439</v>
      </c>
      <c r="I92" s="300">
        <v>-0.87</v>
      </c>
      <c r="J92" s="299"/>
      <c r="K92" s="267">
        <f>ROUND($I92*E92,0)</f>
        <v>-335407</v>
      </c>
      <c r="M92" s="267">
        <f>ROUND($I92*G92,0)</f>
        <v>-344032</v>
      </c>
      <c r="O92" s="300">
        <f>O80</f>
        <v>-0.9</v>
      </c>
      <c r="P92" s="299"/>
      <c r="Q92" s="267">
        <f>ROUND(O92*$G92,0)</f>
        <v>-355895</v>
      </c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E92" s="309"/>
      <c r="AF92" s="279">
        <f t="shared" si="24"/>
        <v>3.4482758620689724E-2</v>
      </c>
    </row>
    <row r="93" spans="2:34">
      <c r="B93" s="275" t="s">
        <v>349</v>
      </c>
      <c r="E93" s="102">
        <f>SUM(E94:E95)</f>
        <v>4904805688.2861624</v>
      </c>
      <c r="G93" s="102">
        <f>SUM(G94:G95)</f>
        <v>5047246257.8172226</v>
      </c>
      <c r="I93" s="322"/>
      <c r="J93" s="286"/>
      <c r="K93" s="267"/>
      <c r="M93" s="267"/>
      <c r="O93" s="322"/>
      <c r="P93" s="286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301"/>
    </row>
    <row r="94" spans="2:34">
      <c r="B94" s="275" t="s">
        <v>355</v>
      </c>
      <c r="E94" s="102">
        <v>2197838930.2606196</v>
      </c>
      <c r="G94" s="102">
        <f>ROUND(G$98*E94/(E$98-E$97),0)</f>
        <v>2261666419</v>
      </c>
      <c r="I94" s="322">
        <v>3.5438999999999998</v>
      </c>
      <c r="J94" s="286" t="s">
        <v>314</v>
      </c>
      <c r="K94" s="267">
        <f>ROUND($I94*E94/100,0)</f>
        <v>77889214</v>
      </c>
      <c r="M94" s="267">
        <f>ROUND($I94*G94/100,0)</f>
        <v>80151196</v>
      </c>
      <c r="O94" s="322">
        <f>O82</f>
        <v>3.6747000000000001</v>
      </c>
      <c r="P94" s="286" t="s">
        <v>314</v>
      </c>
      <c r="Q94" s="267">
        <f>ROUND(O94*$G94/100,0)</f>
        <v>83109456</v>
      </c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301"/>
      <c r="AF94" s="279">
        <f t="shared" ref="AF94:AF96" si="25">O94/I94-1</f>
        <v>3.6908490645898739E-2</v>
      </c>
      <c r="AG94" s="309"/>
    </row>
    <row r="95" spans="2:34">
      <c r="B95" s="275" t="s">
        <v>356</v>
      </c>
      <c r="E95" s="102">
        <v>2706966758.0255427</v>
      </c>
      <c r="G95" s="102">
        <f>G98-G94</f>
        <v>2785579838.8172226</v>
      </c>
      <c r="I95" s="322">
        <v>3.2658999999999998</v>
      </c>
      <c r="J95" s="286" t="s">
        <v>314</v>
      </c>
      <c r="K95" s="267">
        <f>ROUND($I95*E95/100,0)</f>
        <v>88406827</v>
      </c>
      <c r="M95" s="267">
        <f>ROUND($I95*G95/100,0)</f>
        <v>90974252</v>
      </c>
      <c r="O95" s="322">
        <f>O83</f>
        <v>3.3862999999999999</v>
      </c>
      <c r="P95" s="286" t="s">
        <v>314</v>
      </c>
      <c r="Q95" s="267">
        <f>ROUND(O95*$G95/100,0)</f>
        <v>94328090</v>
      </c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301"/>
      <c r="AC95" s="99"/>
      <c r="AF95" s="279">
        <f t="shared" si="25"/>
        <v>3.686579503352827E-2</v>
      </c>
    </row>
    <row r="96" spans="2:34">
      <c r="B96" s="275" t="s">
        <v>352</v>
      </c>
      <c r="E96" s="280">
        <v>0</v>
      </c>
      <c r="G96" s="102">
        <f>ROUND(E96*G89/E89,0)</f>
        <v>0</v>
      </c>
      <c r="I96" s="300">
        <v>600</v>
      </c>
      <c r="J96" s="299"/>
      <c r="K96" s="267">
        <f>ROUND($I96*E96,0)</f>
        <v>0</v>
      </c>
      <c r="M96" s="267">
        <f>ROUND($I96*G96,0)</f>
        <v>0</v>
      </c>
      <c r="O96" s="300">
        <f>O84</f>
        <v>624</v>
      </c>
      <c r="P96" s="299"/>
      <c r="Q96" s="267">
        <f>ROUND(O96*$G96,0)</f>
        <v>0</v>
      </c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301"/>
      <c r="AF96" s="279">
        <f t="shared" si="25"/>
        <v>4.0000000000000036E-2</v>
      </c>
      <c r="AH96" s="309"/>
    </row>
    <row r="97" spans="2:34">
      <c r="B97" s="275" t="s">
        <v>333</v>
      </c>
      <c r="E97" s="103">
        <v>15901953</v>
      </c>
      <c r="G97" s="103">
        <v>0</v>
      </c>
      <c r="K97" s="308">
        <v>527357.09</v>
      </c>
      <c r="M97" s="308">
        <v>0</v>
      </c>
      <c r="Q97" s="308">
        <v>0</v>
      </c>
      <c r="R97" s="301"/>
      <c r="S97" s="301"/>
      <c r="T97" s="301"/>
      <c r="U97" s="301"/>
      <c r="V97" s="301"/>
      <c r="W97" s="301"/>
      <c r="X97" s="301"/>
      <c r="Y97" s="301"/>
      <c r="Z97" s="301"/>
      <c r="AA97" s="301"/>
    </row>
    <row r="98" spans="2:34" ht="16.5" thickBot="1">
      <c r="B98" s="275" t="s">
        <v>334</v>
      </c>
      <c r="E98" s="325">
        <f>SUM(E94:E95,E97)</f>
        <v>4920707641.2861624</v>
      </c>
      <c r="G98" s="325">
        <v>5047246257.8172226</v>
      </c>
      <c r="I98" s="318"/>
      <c r="K98" s="319">
        <f>SUM(K89:K97)</f>
        <v>377051954.08999997</v>
      </c>
      <c r="M98" s="319">
        <f>SUM(M89:M97)</f>
        <v>387164408</v>
      </c>
      <c r="O98" s="318"/>
      <c r="Q98" s="319">
        <f>SUM(Q89:Q97)</f>
        <v>401471943</v>
      </c>
      <c r="R98" s="301"/>
      <c r="S98" s="301"/>
      <c r="T98" s="301"/>
      <c r="U98" s="301"/>
      <c r="V98" s="301"/>
      <c r="W98" s="301"/>
      <c r="X98" s="301"/>
      <c r="Y98" s="301"/>
      <c r="Z98" s="301"/>
      <c r="AA98" s="301"/>
      <c r="AC98" s="264" t="s">
        <v>315</v>
      </c>
      <c r="AD98" s="315">
        <f>Q98/M98-1</f>
        <v>3.6954675337821818E-2</v>
      </c>
    </row>
    <row r="99" spans="2:34" ht="16.5" thickTop="1">
      <c r="AB99" s="267"/>
    </row>
    <row r="100" spans="2:34">
      <c r="B100" s="272" t="s">
        <v>357</v>
      </c>
      <c r="E100" s="102"/>
      <c r="G100" s="102"/>
      <c r="AB100" s="267"/>
    </row>
    <row r="101" spans="2:34">
      <c r="B101" s="275" t="s">
        <v>345</v>
      </c>
      <c r="E101" s="102">
        <v>14320.551925925864</v>
      </c>
      <c r="G101" s="102">
        <v>13060</v>
      </c>
      <c r="I101" s="300">
        <v>50</v>
      </c>
      <c r="J101" s="299"/>
      <c r="K101" s="267">
        <f>ROUND($I101*E101,0)</f>
        <v>716028</v>
      </c>
      <c r="M101" s="267">
        <f>ROUND($I101*G101,0)</f>
        <v>653000</v>
      </c>
      <c r="O101" s="300">
        <f>O77</f>
        <v>52</v>
      </c>
      <c r="P101" s="299"/>
      <c r="Q101" s="267">
        <f>ROUND(O101*$G101,0)</f>
        <v>679120</v>
      </c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F101" s="279">
        <f t="shared" ref="AF101:AF104" si="26">O101/I101-1</f>
        <v>4.0000000000000036E-2</v>
      </c>
    </row>
    <row r="102" spans="2:34">
      <c r="B102" s="275" t="s">
        <v>346</v>
      </c>
      <c r="E102" s="102">
        <v>976456.85507376934</v>
      </c>
      <c r="G102" s="102">
        <f>ROUND(E102/E$110*G$110,0)</f>
        <v>955147</v>
      </c>
      <c r="I102" s="300">
        <v>16.84</v>
      </c>
      <c r="J102" s="299"/>
      <c r="K102" s="267">
        <f>ROUND($I102*E102,0)</f>
        <v>16443533</v>
      </c>
      <c r="M102" s="267">
        <f>ROUND($I102*G102,0)</f>
        <v>16084675</v>
      </c>
      <c r="O102" s="300">
        <f>O78</f>
        <v>17.46</v>
      </c>
      <c r="P102" s="299"/>
      <c r="Q102" s="267">
        <f>ROUND(O102*$G102,0)</f>
        <v>16676867</v>
      </c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F102" s="279">
        <f t="shared" si="26"/>
        <v>3.6817102137767233E-2</v>
      </c>
    </row>
    <row r="103" spans="2:34">
      <c r="B103" s="275" t="s">
        <v>347</v>
      </c>
      <c r="E103" s="102">
        <v>1211421.1963845515</v>
      </c>
      <c r="G103" s="102">
        <f>ROUND(E103/E$110*G$110,0)</f>
        <v>1184983</v>
      </c>
      <c r="I103" s="300">
        <v>13.52</v>
      </c>
      <c r="J103" s="299"/>
      <c r="K103" s="267">
        <f>ROUND($I103*E103,0)</f>
        <v>16378415</v>
      </c>
      <c r="M103" s="267">
        <f>ROUND($I103*G103,0)</f>
        <v>16020970</v>
      </c>
      <c r="O103" s="300">
        <f>O79</f>
        <v>14.02</v>
      </c>
      <c r="P103" s="299"/>
      <c r="Q103" s="267">
        <f>ROUND(O103*$G103,0)</f>
        <v>16613462</v>
      </c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F103" s="279">
        <f t="shared" si="26"/>
        <v>3.6982248520710082E-2</v>
      </c>
    </row>
    <row r="104" spans="2:34">
      <c r="B104" s="275" t="s">
        <v>348</v>
      </c>
      <c r="E104" s="102">
        <v>219190.32267732301</v>
      </c>
      <c r="G104" s="102">
        <f>ROUND(E104/E$110*G$110,0)</f>
        <v>214407</v>
      </c>
      <c r="I104" s="300">
        <v>-0.87</v>
      </c>
      <c r="J104" s="299"/>
      <c r="K104" s="267">
        <f>ROUND($I104*E104,0)</f>
        <v>-190696</v>
      </c>
      <c r="M104" s="267">
        <f>ROUND($I104*G104,0)</f>
        <v>-186534</v>
      </c>
      <c r="O104" s="300">
        <f>O80</f>
        <v>-0.9</v>
      </c>
      <c r="P104" s="299"/>
      <c r="Q104" s="267">
        <f>ROUND(O104*$G104,0)</f>
        <v>-192966</v>
      </c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301"/>
      <c r="AE104" s="309"/>
      <c r="AF104" s="279">
        <f t="shared" si="26"/>
        <v>3.4482758620689724E-2</v>
      </c>
    </row>
    <row r="105" spans="2:34">
      <c r="B105" s="275" t="s">
        <v>349</v>
      </c>
      <c r="E105" s="102">
        <f>SUM(E106:E107)</f>
        <v>708615916.93750072</v>
      </c>
      <c r="G105" s="102">
        <f>G110</f>
        <v>696840193</v>
      </c>
      <c r="I105" s="322"/>
      <c r="J105" s="286"/>
      <c r="K105" s="267"/>
      <c r="M105" s="267"/>
      <c r="O105" s="322"/>
      <c r="P105" s="286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301"/>
    </row>
    <row r="106" spans="2:34">
      <c r="B106" s="275" t="s">
        <v>355</v>
      </c>
      <c r="E106" s="102">
        <v>327041327.92197752</v>
      </c>
      <c r="G106" s="102">
        <f>ROUND(E106/(E$110-E$109)*G$110,0)</f>
        <v>321606581</v>
      </c>
      <c r="I106" s="322">
        <v>3.5438999999999998</v>
      </c>
      <c r="J106" s="286" t="s">
        <v>314</v>
      </c>
      <c r="K106" s="267">
        <f>ROUND($I106*E106/100,0)</f>
        <v>11590018</v>
      </c>
      <c r="M106" s="267">
        <f>ROUND($I106*G106/100,0)</f>
        <v>11397416</v>
      </c>
      <c r="O106" s="322">
        <f>O82</f>
        <v>3.6747000000000001</v>
      </c>
      <c r="P106" s="286" t="s">
        <v>314</v>
      </c>
      <c r="Q106" s="267">
        <f>ROUND(O106*$G106/100,0)</f>
        <v>11818077</v>
      </c>
      <c r="R106" s="267"/>
      <c r="S106" s="267"/>
      <c r="T106" s="267"/>
      <c r="U106" s="267"/>
      <c r="V106" s="267"/>
      <c r="W106" s="267"/>
      <c r="X106" s="267"/>
      <c r="Y106" s="267"/>
      <c r="Z106" s="267"/>
      <c r="AA106" s="267"/>
      <c r="AB106" s="301"/>
      <c r="AD106" s="321"/>
      <c r="AF106" s="279">
        <f t="shared" ref="AF106:AF108" si="27">O106/I106-1</f>
        <v>3.6908490645898739E-2</v>
      </c>
      <c r="AG106" s="309"/>
    </row>
    <row r="107" spans="2:34">
      <c r="B107" s="275" t="s">
        <v>356</v>
      </c>
      <c r="E107" s="102">
        <v>381574589.0155232</v>
      </c>
      <c r="G107" s="102">
        <f>G105-G106</f>
        <v>375233612</v>
      </c>
      <c r="I107" s="322">
        <v>3.2658999999999998</v>
      </c>
      <c r="J107" s="286" t="s">
        <v>314</v>
      </c>
      <c r="K107" s="267">
        <f>ROUND($I107*E107/100,0)</f>
        <v>12461845</v>
      </c>
      <c r="M107" s="267">
        <f>ROUND($I107*G107/100,0)</f>
        <v>12254755</v>
      </c>
      <c r="O107" s="322">
        <f>O83</f>
        <v>3.3862999999999999</v>
      </c>
      <c r="P107" s="286" t="s">
        <v>314</v>
      </c>
      <c r="Q107" s="267">
        <f>ROUND(O107*$G107/100,0)</f>
        <v>12706536</v>
      </c>
      <c r="R107" s="267"/>
      <c r="S107" s="267"/>
      <c r="T107" s="267"/>
      <c r="U107" s="267"/>
      <c r="V107" s="267"/>
      <c r="W107" s="267"/>
      <c r="X107" s="267"/>
      <c r="Y107" s="267"/>
      <c r="Z107" s="267"/>
      <c r="AA107" s="267"/>
      <c r="AB107" s="301"/>
      <c r="AD107" s="321"/>
      <c r="AF107" s="279">
        <f t="shared" si="27"/>
        <v>3.686579503352827E-2</v>
      </c>
    </row>
    <row r="108" spans="2:34">
      <c r="B108" s="275" t="s">
        <v>352</v>
      </c>
      <c r="E108" s="280">
        <v>0</v>
      </c>
      <c r="G108" s="102">
        <f>ROUND(E108*G101/E101,0)</f>
        <v>0</v>
      </c>
      <c r="I108" s="300">
        <v>600</v>
      </c>
      <c r="J108" s="299"/>
      <c r="K108" s="267">
        <f>ROUND($I108*E108,0)</f>
        <v>0</v>
      </c>
      <c r="M108" s="267">
        <f>ROUND($I108*G108,0)</f>
        <v>0</v>
      </c>
      <c r="O108" s="300">
        <f>O96</f>
        <v>624</v>
      </c>
      <c r="P108" s="299"/>
      <c r="Q108" s="267">
        <f>ROUND(O108*$G108,0)</f>
        <v>0</v>
      </c>
      <c r="R108" s="267"/>
      <c r="S108" s="267"/>
      <c r="T108" s="267"/>
      <c r="U108" s="267"/>
      <c r="V108" s="267"/>
      <c r="W108" s="267"/>
      <c r="X108" s="267"/>
      <c r="Y108" s="267"/>
      <c r="Z108" s="267"/>
      <c r="AA108" s="267"/>
      <c r="AB108" s="301"/>
      <c r="AF108" s="279">
        <f t="shared" si="27"/>
        <v>4.0000000000000036E-2</v>
      </c>
      <c r="AH108" s="309"/>
    </row>
    <row r="109" spans="2:34">
      <c r="B109" s="275" t="s">
        <v>333</v>
      </c>
      <c r="E109" s="103">
        <v>3771233</v>
      </c>
      <c r="G109" s="103">
        <v>0</v>
      </c>
      <c r="K109" s="308">
        <v>137818.90000000037</v>
      </c>
      <c r="M109" s="308">
        <v>0</v>
      </c>
      <c r="Q109" s="308">
        <v>0</v>
      </c>
      <c r="R109" s="301"/>
      <c r="S109" s="301"/>
      <c r="T109" s="301"/>
      <c r="U109" s="301"/>
      <c r="V109" s="301"/>
      <c r="W109" s="301"/>
      <c r="X109" s="301"/>
      <c r="Y109" s="301"/>
      <c r="Z109" s="301"/>
      <c r="AA109" s="301"/>
    </row>
    <row r="110" spans="2:34" ht="16.5" thickBot="1">
      <c r="B110" s="275" t="s">
        <v>334</v>
      </c>
      <c r="E110" s="325">
        <f>E105+E109</f>
        <v>712387149.93750072</v>
      </c>
      <c r="G110" s="325">
        <v>696840193</v>
      </c>
      <c r="I110" s="318"/>
      <c r="K110" s="319">
        <f>SUM(K101:K109)</f>
        <v>57536961.899999999</v>
      </c>
      <c r="M110" s="319">
        <f>SUM(M101:M109)</f>
        <v>56224282</v>
      </c>
      <c r="O110" s="318"/>
      <c r="Q110" s="319">
        <f>SUM(Q101:Q109)</f>
        <v>58301096</v>
      </c>
      <c r="R110" s="301"/>
      <c r="S110" s="301"/>
      <c r="T110" s="301"/>
      <c r="U110" s="301"/>
      <c r="V110" s="301"/>
      <c r="W110" s="301"/>
      <c r="X110" s="301"/>
      <c r="Y110" s="301"/>
      <c r="Z110" s="301"/>
      <c r="AA110" s="301"/>
      <c r="AC110" s="264" t="s">
        <v>315</v>
      </c>
      <c r="AD110" s="315">
        <f>Q110/M110-1</f>
        <v>3.6938026171681404E-2</v>
      </c>
    </row>
    <row r="111" spans="2:34" ht="16.5" thickTop="1">
      <c r="E111" s="102"/>
      <c r="G111" s="102"/>
      <c r="AB111" s="267"/>
    </row>
    <row r="112" spans="2:34">
      <c r="B112" s="272" t="s">
        <v>358</v>
      </c>
      <c r="E112" s="102"/>
      <c r="G112" s="102"/>
      <c r="AB112" s="267"/>
    </row>
    <row r="113" spans="2:34">
      <c r="B113" s="275" t="s">
        <v>345</v>
      </c>
      <c r="E113" s="102">
        <v>48.000148148148099</v>
      </c>
      <c r="G113" s="102">
        <v>48</v>
      </c>
      <c r="I113" s="300">
        <v>50</v>
      </c>
      <c r="J113" s="299"/>
      <c r="K113" s="267">
        <f>ROUND($I113*E113,0)</f>
        <v>2400</v>
      </c>
      <c r="M113" s="267">
        <f>ROUND($I113*G113,0)</f>
        <v>2400</v>
      </c>
      <c r="O113" s="300">
        <f>O77</f>
        <v>52</v>
      </c>
      <c r="P113" s="299"/>
      <c r="Q113" s="267">
        <f>ROUND(O113*$G113,0)</f>
        <v>2496</v>
      </c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F113" s="279">
        <f t="shared" ref="AF113:AF116" si="28">O113/I113-1</f>
        <v>4.0000000000000036E-2</v>
      </c>
    </row>
    <row r="114" spans="2:34">
      <c r="B114" s="275" t="s">
        <v>346</v>
      </c>
      <c r="E114" s="102">
        <v>2918.5975811778299</v>
      </c>
      <c r="G114" s="102">
        <f>ROUND(E114/E$122*G$122,0)</f>
        <v>2930</v>
      </c>
      <c r="I114" s="300">
        <v>16.84</v>
      </c>
      <c r="J114" s="299"/>
      <c r="K114" s="267">
        <f>ROUND($I114*E114,0)</f>
        <v>49149</v>
      </c>
      <c r="M114" s="267">
        <f>ROUND($I114*G114,0)</f>
        <v>49341</v>
      </c>
      <c r="O114" s="300">
        <f>O78</f>
        <v>17.46</v>
      </c>
      <c r="P114" s="299"/>
      <c r="Q114" s="267">
        <f>ROUND(O114*$G114,0)</f>
        <v>51158</v>
      </c>
      <c r="R114" s="267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7"/>
      <c r="AF114" s="279">
        <f t="shared" si="28"/>
        <v>3.6817102137767233E-2</v>
      </c>
    </row>
    <row r="115" spans="2:34">
      <c r="B115" s="275" t="s">
        <v>347</v>
      </c>
      <c r="E115" s="102">
        <v>3616.4018077239102</v>
      </c>
      <c r="G115" s="102">
        <f>ROUND(E115/E$122*G$122,0)</f>
        <v>3631</v>
      </c>
      <c r="I115" s="300">
        <v>13.52</v>
      </c>
      <c r="J115" s="299"/>
      <c r="K115" s="267">
        <f>ROUND($I115*E115,0)</f>
        <v>48894</v>
      </c>
      <c r="M115" s="267">
        <f>ROUND($I115*G115,0)</f>
        <v>49091</v>
      </c>
      <c r="O115" s="300">
        <f>O79</f>
        <v>14.02</v>
      </c>
      <c r="P115" s="299"/>
      <c r="Q115" s="267">
        <f>ROUND(O115*$G115,0)</f>
        <v>50907</v>
      </c>
      <c r="R115" s="267"/>
      <c r="S115" s="267"/>
      <c r="T115" s="267"/>
      <c r="U115" s="267"/>
      <c r="V115" s="267"/>
      <c r="W115" s="267"/>
      <c r="X115" s="267"/>
      <c r="Y115" s="267"/>
      <c r="Z115" s="267"/>
      <c r="AA115" s="267"/>
      <c r="AB115" s="267"/>
      <c r="AF115" s="279">
        <f t="shared" si="28"/>
        <v>3.6982248520710082E-2</v>
      </c>
    </row>
    <row r="116" spans="2:34">
      <c r="B116" s="275" t="s">
        <v>348</v>
      </c>
      <c r="E116" s="102">
        <v>2929</v>
      </c>
      <c r="G116" s="102">
        <f>ROUND(E116/E$122*G$122,0)</f>
        <v>2941</v>
      </c>
      <c r="I116" s="300">
        <v>-0.87</v>
      </c>
      <c r="J116" s="299"/>
      <c r="K116" s="267">
        <f>ROUND($I116*E116,0)</f>
        <v>-2548</v>
      </c>
      <c r="M116" s="267">
        <f>ROUND($I116*G116,0)</f>
        <v>-2559</v>
      </c>
      <c r="O116" s="300">
        <f>O80</f>
        <v>-0.9</v>
      </c>
      <c r="P116" s="299"/>
      <c r="Q116" s="267">
        <f>ROUND(O116*$G116,0)</f>
        <v>-2647</v>
      </c>
      <c r="R116" s="267"/>
      <c r="S116" s="267"/>
      <c r="T116" s="267"/>
      <c r="U116" s="267"/>
      <c r="V116" s="267"/>
      <c r="W116" s="267"/>
      <c r="X116" s="267"/>
      <c r="Y116" s="267"/>
      <c r="Z116" s="267"/>
      <c r="AA116" s="267"/>
      <c r="AB116" s="301"/>
      <c r="AE116" s="309"/>
      <c r="AF116" s="279">
        <f t="shared" si="28"/>
        <v>3.4482758620689724E-2</v>
      </c>
    </row>
    <row r="117" spans="2:34">
      <c r="B117" s="275" t="s">
        <v>349</v>
      </c>
      <c r="E117" s="102">
        <f>SUM(E118:E119)</f>
        <v>2349979</v>
      </c>
      <c r="G117" s="102">
        <f>G122</f>
        <v>2347828</v>
      </c>
      <c r="I117" s="322"/>
      <c r="J117" s="286"/>
      <c r="K117" s="267"/>
      <c r="M117" s="267"/>
      <c r="O117" s="322"/>
      <c r="P117" s="286"/>
      <c r="Q117" s="267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7"/>
      <c r="AB117" s="301"/>
    </row>
    <row r="118" spans="2:34">
      <c r="B118" s="275" t="s">
        <v>355</v>
      </c>
      <c r="E118" s="102">
        <v>998051</v>
      </c>
      <c r="G118" s="102">
        <f>ROUND(E118/(E$122-E$121)*G$122,0)</f>
        <v>997137</v>
      </c>
      <c r="I118" s="322">
        <v>3.5438999999999998</v>
      </c>
      <c r="J118" s="286" t="s">
        <v>314</v>
      </c>
      <c r="K118" s="267">
        <f>ROUND($I118*E118/100,0)</f>
        <v>35370</v>
      </c>
      <c r="M118" s="267">
        <f>ROUND($I118*G118/100,0)</f>
        <v>35338</v>
      </c>
      <c r="O118" s="322">
        <f>O82</f>
        <v>3.6747000000000001</v>
      </c>
      <c r="P118" s="286" t="s">
        <v>314</v>
      </c>
      <c r="Q118" s="267">
        <f>ROUND(O118*$G118/100,0)</f>
        <v>36642</v>
      </c>
      <c r="R118" s="267"/>
      <c r="S118" s="267"/>
      <c r="T118" s="267"/>
      <c r="U118" s="267"/>
      <c r="V118" s="267"/>
      <c r="W118" s="267"/>
      <c r="X118" s="267"/>
      <c r="Y118" s="267"/>
      <c r="Z118" s="267"/>
      <c r="AA118" s="267"/>
      <c r="AB118" s="301"/>
      <c r="AD118" s="321"/>
      <c r="AF118" s="279">
        <f t="shared" ref="AF118:AF120" si="29">O118/I118-1</f>
        <v>3.6908490645898739E-2</v>
      </c>
      <c r="AG118" s="309"/>
    </row>
    <row r="119" spans="2:34">
      <c r="B119" s="275" t="s">
        <v>356</v>
      </c>
      <c r="E119" s="102">
        <v>1351928</v>
      </c>
      <c r="G119" s="102">
        <f>G117-G118</f>
        <v>1350691</v>
      </c>
      <c r="I119" s="322">
        <v>3.2658999999999998</v>
      </c>
      <c r="J119" s="286" t="s">
        <v>314</v>
      </c>
      <c r="K119" s="267">
        <f>ROUND($I119*E119/100,0)</f>
        <v>44153</v>
      </c>
      <c r="M119" s="267">
        <f>ROUND($I119*G119/100,0)</f>
        <v>44112</v>
      </c>
      <c r="O119" s="322">
        <f>O83</f>
        <v>3.3862999999999999</v>
      </c>
      <c r="P119" s="286" t="s">
        <v>314</v>
      </c>
      <c r="Q119" s="267">
        <f>ROUND(O119*$G119/100,0)</f>
        <v>45738</v>
      </c>
      <c r="R119" s="267"/>
      <c r="S119" s="267"/>
      <c r="T119" s="267"/>
      <c r="U119" s="267"/>
      <c r="V119" s="267"/>
      <c r="W119" s="267"/>
      <c r="X119" s="267"/>
      <c r="Y119" s="267"/>
      <c r="Z119" s="267"/>
      <c r="AA119" s="267"/>
      <c r="AB119" s="301"/>
      <c r="AD119" s="321"/>
      <c r="AE119" s="320"/>
      <c r="AF119" s="279">
        <f t="shared" si="29"/>
        <v>3.686579503352827E-2</v>
      </c>
    </row>
    <row r="120" spans="2:34">
      <c r="B120" s="275" t="s">
        <v>352</v>
      </c>
      <c r="E120" s="280">
        <v>0</v>
      </c>
      <c r="G120" s="102">
        <f>ROUND(E120*G113/E113,0)</f>
        <v>0</v>
      </c>
      <c r="I120" s="300">
        <v>600</v>
      </c>
      <c r="J120" s="299"/>
      <c r="K120" s="267">
        <f>ROUND($I120*E120,0)</f>
        <v>0</v>
      </c>
      <c r="M120" s="267">
        <f>ROUND($I120*G120,0)</f>
        <v>0</v>
      </c>
      <c r="O120" s="300">
        <f>O96</f>
        <v>624</v>
      </c>
      <c r="P120" s="299"/>
      <c r="Q120" s="267">
        <f>ROUND(O120*$G120,0)</f>
        <v>0</v>
      </c>
      <c r="R120" s="267"/>
      <c r="S120" s="267"/>
      <c r="T120" s="267"/>
      <c r="U120" s="267"/>
      <c r="V120" s="267"/>
      <c r="W120" s="267"/>
      <c r="X120" s="267"/>
      <c r="Y120" s="267"/>
      <c r="Z120" s="267"/>
      <c r="AA120" s="267"/>
      <c r="AB120" s="301"/>
      <c r="AE120" s="320"/>
      <c r="AF120" s="279">
        <f t="shared" si="29"/>
        <v>4.0000000000000036E-2</v>
      </c>
      <c r="AH120" s="309"/>
    </row>
    <row r="121" spans="2:34">
      <c r="B121" s="275" t="s">
        <v>333</v>
      </c>
      <c r="E121" s="103">
        <v>-11454</v>
      </c>
      <c r="G121" s="103">
        <v>0</v>
      </c>
      <c r="K121" s="308">
        <v>-492</v>
      </c>
      <c r="M121" s="308">
        <v>0</v>
      </c>
      <c r="Q121" s="308">
        <v>0</v>
      </c>
      <c r="R121" s="301"/>
      <c r="S121" s="301"/>
      <c r="T121" s="301"/>
      <c r="U121" s="301"/>
      <c r="V121" s="301"/>
      <c r="W121" s="301"/>
      <c r="X121" s="301"/>
      <c r="Y121" s="301"/>
      <c r="Z121" s="301"/>
      <c r="AA121" s="301"/>
      <c r="AE121" s="320"/>
      <c r="AF121" s="320"/>
      <c r="AG121" s="267"/>
    </row>
    <row r="122" spans="2:34" ht="16.5" thickBot="1">
      <c r="B122" s="275" t="s">
        <v>334</v>
      </c>
      <c r="E122" s="325">
        <f>E117+E121</f>
        <v>2338525</v>
      </c>
      <c r="G122" s="325">
        <v>2347828</v>
      </c>
      <c r="I122" s="318"/>
      <c r="K122" s="319">
        <f>SUM(K113:K121)</f>
        <v>176926</v>
      </c>
      <c r="M122" s="319">
        <f>SUM(M113:M121)</f>
        <v>177723</v>
      </c>
      <c r="O122" s="318"/>
      <c r="Q122" s="319">
        <f>SUM(Q113:Q121)</f>
        <v>184294</v>
      </c>
      <c r="R122" s="301"/>
      <c r="S122" s="301"/>
      <c r="T122" s="301"/>
      <c r="U122" s="301"/>
      <c r="V122" s="301"/>
      <c r="W122" s="301"/>
      <c r="X122" s="301"/>
      <c r="Y122" s="301"/>
      <c r="Z122" s="301"/>
      <c r="AA122" s="301"/>
      <c r="AC122" s="264" t="s">
        <v>315</v>
      </c>
      <c r="AD122" s="315">
        <f>Q122/M122-1</f>
        <v>3.6973267388013875E-2</v>
      </c>
      <c r="AE122" s="320"/>
      <c r="AF122" s="320"/>
      <c r="AG122" s="267"/>
    </row>
    <row r="123" spans="2:34" ht="16.5" thickTop="1">
      <c r="AB123" s="267"/>
      <c r="AE123" s="320"/>
      <c r="AF123" s="320"/>
      <c r="AG123" s="267"/>
      <c r="AH123" s="102"/>
    </row>
    <row r="124" spans="2:34">
      <c r="B124" s="272" t="s">
        <v>359</v>
      </c>
      <c r="E124" s="102"/>
      <c r="F124" s="299"/>
      <c r="G124" s="102"/>
      <c r="H124" s="299"/>
      <c r="L124" s="299"/>
      <c r="N124" s="299"/>
      <c r="AB124" s="267"/>
    </row>
    <row r="125" spans="2:34">
      <c r="B125" s="275" t="s">
        <v>345</v>
      </c>
      <c r="E125" s="102">
        <f>E137+E149</f>
        <v>349.09844444444428</v>
      </c>
      <c r="G125" s="102">
        <f>G137+G149</f>
        <v>384</v>
      </c>
      <c r="I125" s="99">
        <v>50</v>
      </c>
      <c r="J125" s="276"/>
      <c r="K125" s="267">
        <f>ROUND($I125*E125,0)</f>
        <v>17455</v>
      </c>
      <c r="M125" s="267">
        <f>ROUND($I125*G125,0)</f>
        <v>19200</v>
      </c>
      <c r="O125" s="99">
        <f>O89</f>
        <v>52</v>
      </c>
      <c r="P125" s="276"/>
      <c r="Q125" s="267">
        <f>ROUND(O125*$G125,0)</f>
        <v>19968</v>
      </c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F125" s="279">
        <f t="shared" ref="AF125:AF128" si="30">O125/I125-1</f>
        <v>4.0000000000000036E-2</v>
      </c>
    </row>
    <row r="126" spans="2:34">
      <c r="B126" s="275" t="s">
        <v>360</v>
      </c>
      <c r="E126" s="102">
        <f t="shared" ref="E126:G133" si="31">E138+E150</f>
        <v>22359.796448767789</v>
      </c>
      <c r="G126" s="102">
        <f t="shared" si="31"/>
        <v>28701</v>
      </c>
      <c r="I126" s="99">
        <v>16.84</v>
      </c>
      <c r="J126" s="276"/>
      <c r="K126" s="267">
        <f>ROUND($I126*E126,0)</f>
        <v>376539</v>
      </c>
      <c r="M126" s="267">
        <f>ROUND($I126*G126,0)</f>
        <v>483325</v>
      </c>
      <c r="O126" s="99">
        <f t="shared" ref="O126:O128" si="32">O90</f>
        <v>17.46</v>
      </c>
      <c r="P126" s="276"/>
      <c r="Q126" s="267">
        <f>ROUND(O126*$G126,0)</f>
        <v>501119</v>
      </c>
      <c r="R126" s="267"/>
      <c r="S126" s="267"/>
      <c r="T126" s="267"/>
      <c r="U126" s="267"/>
      <c r="V126" s="267"/>
      <c r="W126" s="267"/>
      <c r="X126" s="267"/>
      <c r="Y126" s="267"/>
      <c r="Z126" s="267"/>
      <c r="AA126" s="267"/>
      <c r="AB126" s="267"/>
      <c r="AF126" s="279">
        <f>O126/I126-1</f>
        <v>3.6817102137767233E-2</v>
      </c>
    </row>
    <row r="127" spans="2:34">
      <c r="B127" s="275" t="s">
        <v>361</v>
      </c>
      <c r="E127" s="102">
        <f t="shared" si="31"/>
        <v>25472.966310599801</v>
      </c>
      <c r="G127" s="102">
        <f t="shared" si="31"/>
        <v>32100</v>
      </c>
      <c r="I127" s="99">
        <v>13.52</v>
      </c>
      <c r="J127" s="276"/>
      <c r="K127" s="267">
        <f>ROUND($I127*E127,0)</f>
        <v>344395</v>
      </c>
      <c r="M127" s="267">
        <f>ROUND($I127*G127,0)</f>
        <v>433992</v>
      </c>
      <c r="O127" s="99">
        <f t="shared" si="32"/>
        <v>14.02</v>
      </c>
      <c r="P127" s="276"/>
      <c r="Q127" s="267">
        <f>ROUND(O127*$G127,0)</f>
        <v>450042</v>
      </c>
      <c r="R127" s="267"/>
      <c r="S127" s="267"/>
      <c r="T127" s="267"/>
      <c r="U127" s="267"/>
      <c r="V127" s="267"/>
      <c r="W127" s="267"/>
      <c r="X127" s="267"/>
      <c r="Y127" s="267"/>
      <c r="Z127" s="267"/>
      <c r="AA127" s="267"/>
      <c r="AB127" s="267"/>
      <c r="AF127" s="279">
        <f t="shared" si="30"/>
        <v>3.6982248520710082E-2</v>
      </c>
    </row>
    <row r="128" spans="2:34">
      <c r="B128" s="275" t="s">
        <v>348</v>
      </c>
      <c r="E128" s="102">
        <f t="shared" si="31"/>
        <v>0</v>
      </c>
      <c r="G128" s="102">
        <f t="shared" si="31"/>
        <v>0</v>
      </c>
      <c r="I128" s="99">
        <v>-0.87</v>
      </c>
      <c r="J128" s="276"/>
      <c r="K128" s="267">
        <f>ROUND($I128*E128,0)</f>
        <v>0</v>
      </c>
      <c r="M128" s="267">
        <f>ROUND($I128*G128,0)</f>
        <v>0</v>
      </c>
      <c r="O128" s="99">
        <f t="shared" si="32"/>
        <v>-0.9</v>
      </c>
      <c r="P128" s="276"/>
      <c r="Q128" s="267">
        <f>ROUND(O128*$G128,0)</f>
        <v>0</v>
      </c>
      <c r="R128" s="267"/>
      <c r="S128" s="267"/>
      <c r="T128" s="267"/>
      <c r="U128" s="267"/>
      <c r="V128" s="267"/>
      <c r="W128" s="267"/>
      <c r="X128" s="267"/>
      <c r="Y128" s="267"/>
      <c r="Z128" s="267"/>
      <c r="AA128" s="267"/>
      <c r="AB128" s="267"/>
      <c r="AD128" s="321"/>
      <c r="AE128" s="309"/>
      <c r="AF128" s="279">
        <f t="shared" si="30"/>
        <v>3.4482758620689724E-2</v>
      </c>
    </row>
    <row r="129" spans="2:34">
      <c r="B129" s="275" t="s">
        <v>349</v>
      </c>
      <c r="E129" s="102">
        <f t="shared" si="31"/>
        <v>16559437.215690367</v>
      </c>
      <c r="G129" s="102">
        <f t="shared" si="31"/>
        <v>21133170</v>
      </c>
      <c r="I129" s="322"/>
      <c r="J129" s="286"/>
      <c r="K129" s="267"/>
      <c r="M129" s="267"/>
      <c r="O129" s="322"/>
      <c r="P129" s="286"/>
      <c r="Q129" s="267"/>
      <c r="R129" s="267"/>
      <c r="S129" s="267"/>
      <c r="T129" s="267"/>
      <c r="U129" s="267"/>
      <c r="V129" s="267"/>
      <c r="W129" s="267"/>
      <c r="X129" s="267"/>
      <c r="Y129" s="267"/>
      <c r="Z129" s="267"/>
      <c r="AA129" s="267"/>
      <c r="AB129" s="301"/>
      <c r="AD129" s="321"/>
    </row>
    <row r="130" spans="2:34">
      <c r="B130" s="275" t="s">
        <v>355</v>
      </c>
      <c r="E130" s="102">
        <f t="shared" si="31"/>
        <v>8567386.0243379921</v>
      </c>
      <c r="G130" s="102">
        <f t="shared" si="31"/>
        <v>11014981</v>
      </c>
      <c r="I130" s="322">
        <v>3.5438999999999998</v>
      </c>
      <c r="J130" s="286" t="s">
        <v>314</v>
      </c>
      <c r="K130" s="267">
        <f>ROUND($I130*E130/100,0)</f>
        <v>303620</v>
      </c>
      <c r="M130" s="267">
        <f>ROUND($I130*G130/100,0)</f>
        <v>390360</v>
      </c>
      <c r="O130" s="322">
        <f t="shared" ref="O130:O132" si="33">O94</f>
        <v>3.6747000000000001</v>
      </c>
      <c r="P130" s="286" t="s">
        <v>314</v>
      </c>
      <c r="Q130" s="267">
        <f>ROUND(O130*$G130/100,0)</f>
        <v>404768</v>
      </c>
      <c r="R130" s="267"/>
      <c r="S130" s="267"/>
      <c r="T130" s="267"/>
      <c r="U130" s="267"/>
      <c r="V130" s="267"/>
      <c r="W130" s="267"/>
      <c r="X130" s="267"/>
      <c r="Y130" s="267"/>
      <c r="Z130" s="267"/>
      <c r="AA130" s="267"/>
      <c r="AB130" s="301"/>
      <c r="AF130" s="279">
        <f t="shared" ref="AF130:AF132" si="34">O130/I130-1</f>
        <v>3.6908490645898739E-2</v>
      </c>
      <c r="AG130" s="309"/>
    </row>
    <row r="131" spans="2:34">
      <c r="B131" s="275" t="s">
        <v>356</v>
      </c>
      <c r="E131" s="102">
        <f t="shared" si="31"/>
        <v>7992051.1913523739</v>
      </c>
      <c r="G131" s="102">
        <f t="shared" si="31"/>
        <v>10118189</v>
      </c>
      <c r="I131" s="322">
        <v>3.2658999999999998</v>
      </c>
      <c r="J131" s="286" t="s">
        <v>314</v>
      </c>
      <c r="K131" s="267">
        <f>ROUND($I131*E131/100,0)</f>
        <v>261012</v>
      </c>
      <c r="M131" s="267">
        <f>ROUND($I131*G131/100,0)</f>
        <v>330450</v>
      </c>
      <c r="O131" s="322">
        <f t="shared" si="33"/>
        <v>3.3862999999999999</v>
      </c>
      <c r="P131" s="286" t="s">
        <v>314</v>
      </c>
      <c r="Q131" s="267">
        <f>ROUND(O131*$G131/100,0)</f>
        <v>342632</v>
      </c>
      <c r="R131" s="267"/>
      <c r="S131" s="267"/>
      <c r="T131" s="267"/>
      <c r="U131" s="267"/>
      <c r="V131" s="267"/>
      <c r="W131" s="267"/>
      <c r="X131" s="267"/>
      <c r="Y131" s="267"/>
      <c r="Z131" s="267"/>
      <c r="AA131" s="267"/>
      <c r="AB131" s="301"/>
      <c r="AF131" s="279">
        <f t="shared" si="34"/>
        <v>3.686579503352827E-2</v>
      </c>
    </row>
    <row r="132" spans="2:34">
      <c r="B132" s="275" t="s">
        <v>352</v>
      </c>
      <c r="E132" s="102">
        <f t="shared" si="31"/>
        <v>0</v>
      </c>
      <c r="F132" s="299"/>
      <c r="G132" s="102">
        <f t="shared" si="31"/>
        <v>0</v>
      </c>
      <c r="H132" s="299"/>
      <c r="I132" s="99">
        <v>600</v>
      </c>
      <c r="J132" s="276"/>
      <c r="K132" s="267">
        <f>ROUND($I132*E132,0)</f>
        <v>0</v>
      </c>
      <c r="L132" s="299"/>
      <c r="M132" s="267">
        <f>ROUND($I132*G132,0)</f>
        <v>0</v>
      </c>
      <c r="N132" s="299"/>
      <c r="O132" s="99">
        <f t="shared" si="33"/>
        <v>624</v>
      </c>
      <c r="P132" s="276"/>
      <c r="Q132" s="267">
        <f>ROUND(O132*$G132,0)</f>
        <v>0</v>
      </c>
      <c r="R132" s="267"/>
      <c r="S132" s="267"/>
      <c r="T132" s="267"/>
      <c r="U132" s="267"/>
      <c r="V132" s="267"/>
      <c r="W132" s="267"/>
      <c r="X132" s="267"/>
      <c r="Y132" s="267"/>
      <c r="Z132" s="267"/>
      <c r="AA132" s="267"/>
      <c r="AB132" s="301"/>
      <c r="AC132" s="264" t="s">
        <v>315</v>
      </c>
      <c r="AD132" s="315">
        <f>Q134/M134-1</f>
        <v>3.6928137899159275E-2</v>
      </c>
      <c r="AF132" s="279">
        <f t="shared" si="34"/>
        <v>4.0000000000000036E-2</v>
      </c>
      <c r="AH132" s="309"/>
    </row>
    <row r="133" spans="2:34">
      <c r="B133" s="275" t="s">
        <v>333</v>
      </c>
      <c r="E133" s="103">
        <f t="shared" si="31"/>
        <v>69596</v>
      </c>
      <c r="G133" s="103">
        <f t="shared" si="31"/>
        <v>0</v>
      </c>
      <c r="K133" s="308">
        <f t="shared" ref="K133" si="35">K145+K157</f>
        <v>2414</v>
      </c>
      <c r="M133" s="308">
        <v>0</v>
      </c>
      <c r="Q133" s="308">
        <v>0</v>
      </c>
      <c r="R133" s="301"/>
      <c r="S133" s="301"/>
      <c r="T133" s="301"/>
      <c r="U133" s="301"/>
      <c r="V133" s="301"/>
      <c r="W133" s="301"/>
      <c r="X133" s="301"/>
      <c r="Y133" s="301"/>
      <c r="Z133" s="301"/>
      <c r="AA133" s="301"/>
      <c r="AC133" s="264" t="s">
        <v>336</v>
      </c>
      <c r="AD133" s="327">
        <f>(Q134)/(M134)-1</f>
        <v>3.6928137899159275E-2</v>
      </c>
    </row>
    <row r="134" spans="2:34" ht="16.5" thickBot="1">
      <c r="B134" s="275" t="s">
        <v>334</v>
      </c>
      <c r="E134" s="325">
        <f>E129+E133</f>
        <v>16629033.215690367</v>
      </c>
      <c r="G134" s="325">
        <f>G129+G133</f>
        <v>21133170</v>
      </c>
      <c r="I134" s="318"/>
      <c r="K134" s="319">
        <f>SUM(K125:K133)</f>
        <v>1305435</v>
      </c>
      <c r="M134" s="319">
        <f>SUM(M125:M133)</f>
        <v>1657327</v>
      </c>
      <c r="O134" s="318"/>
      <c r="Q134" s="319">
        <f>SUM(Q125:Q133)</f>
        <v>1718529</v>
      </c>
      <c r="R134" s="301"/>
      <c r="S134" s="301"/>
      <c r="T134" s="301"/>
      <c r="U134" s="301"/>
      <c r="V134" s="301"/>
      <c r="W134" s="301"/>
      <c r="X134" s="301"/>
      <c r="Y134" s="301"/>
      <c r="Z134" s="301"/>
      <c r="AA134" s="301"/>
      <c r="AD134" s="309"/>
    </row>
    <row r="135" spans="2:34" ht="16.5" thickTop="1">
      <c r="E135" s="102"/>
      <c r="G135" s="102"/>
      <c r="AB135" s="267"/>
    </row>
    <row r="136" spans="2:34">
      <c r="B136" s="272" t="s">
        <v>362</v>
      </c>
      <c r="E136" s="102"/>
      <c r="F136" s="299"/>
      <c r="G136" s="102"/>
      <c r="H136" s="299"/>
      <c r="L136" s="299"/>
      <c r="N136" s="299"/>
      <c r="AB136" s="267"/>
    </row>
    <row r="137" spans="2:34">
      <c r="B137" s="275" t="s">
        <v>345</v>
      </c>
      <c r="E137" s="102">
        <v>253.099111111111</v>
      </c>
      <c r="G137" s="102">
        <v>288</v>
      </c>
      <c r="I137" s="99">
        <v>50</v>
      </c>
      <c r="J137" s="276"/>
      <c r="K137" s="267">
        <f>ROUND($I137*E137,0)</f>
        <v>12655</v>
      </c>
      <c r="M137" s="267">
        <f>ROUND($I137*G137,0)</f>
        <v>14400</v>
      </c>
      <c r="O137" s="99">
        <f>O77</f>
        <v>52</v>
      </c>
      <c r="P137" s="276"/>
      <c r="Q137" s="267">
        <f>ROUND(O137*$G137,0)</f>
        <v>14976</v>
      </c>
      <c r="R137" s="267"/>
      <c r="S137" s="267"/>
      <c r="T137" s="267"/>
      <c r="U137" s="267"/>
      <c r="V137" s="267"/>
      <c r="W137" s="267"/>
      <c r="X137" s="267"/>
      <c r="Y137" s="267"/>
      <c r="Z137" s="267"/>
      <c r="AA137" s="267"/>
      <c r="AB137" s="267"/>
      <c r="AF137" s="279">
        <f t="shared" ref="AF137:AF140" si="36">O137/I137-1</f>
        <v>4.0000000000000036E-2</v>
      </c>
    </row>
    <row r="138" spans="2:34">
      <c r="B138" s="275" t="s">
        <v>360</v>
      </c>
      <c r="E138" s="102">
        <v>12908.3245303112</v>
      </c>
      <c r="G138" s="102">
        <f>ROUND(E138*$G$146/$E$146,0)</f>
        <v>19643</v>
      </c>
      <c r="I138" s="99">
        <v>16.84</v>
      </c>
      <c r="J138" s="276"/>
      <c r="K138" s="267">
        <f>ROUND($I138*E138,0)</f>
        <v>217376</v>
      </c>
      <c r="M138" s="267">
        <f>ROUND($I138*G138,0)</f>
        <v>330788</v>
      </c>
      <c r="O138" s="99">
        <f>O78</f>
        <v>17.46</v>
      </c>
      <c r="P138" s="276"/>
      <c r="Q138" s="267">
        <f>ROUND(O138*$G138,0)</f>
        <v>342967</v>
      </c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F138" s="279">
        <f t="shared" si="36"/>
        <v>3.6817102137767233E-2</v>
      </c>
    </row>
    <row r="139" spans="2:34">
      <c r="B139" s="275" t="s">
        <v>361</v>
      </c>
      <c r="E139" s="102">
        <v>13645.438783894801</v>
      </c>
      <c r="G139" s="102">
        <f>ROUND(E139*$G$146/$E$146,0)</f>
        <v>20765</v>
      </c>
      <c r="I139" s="99">
        <v>13.52</v>
      </c>
      <c r="J139" s="276"/>
      <c r="K139" s="267">
        <f>ROUND($I139*E139,0)</f>
        <v>184486</v>
      </c>
      <c r="M139" s="267">
        <f>ROUND($I139*G139,0)</f>
        <v>280743</v>
      </c>
      <c r="O139" s="99">
        <f>O79</f>
        <v>14.02</v>
      </c>
      <c r="P139" s="276"/>
      <c r="Q139" s="267">
        <f>ROUND(O139*$G139,0)</f>
        <v>291125</v>
      </c>
      <c r="R139" s="267"/>
      <c r="S139" s="267"/>
      <c r="T139" s="267"/>
      <c r="U139" s="267"/>
      <c r="V139" s="267"/>
      <c r="W139" s="267"/>
      <c r="X139" s="267"/>
      <c r="Y139" s="267"/>
      <c r="Z139" s="267"/>
      <c r="AA139" s="267"/>
      <c r="AB139" s="267"/>
      <c r="AF139" s="279">
        <f t="shared" si="36"/>
        <v>3.6982248520710082E-2</v>
      </c>
    </row>
    <row r="140" spans="2:34">
      <c r="B140" s="275" t="s">
        <v>348</v>
      </c>
      <c r="E140" s="102">
        <v>0</v>
      </c>
      <c r="G140" s="102">
        <f>ROUND(E140*$G$146/$E$146,0)</f>
        <v>0</v>
      </c>
      <c r="I140" s="99">
        <v>-0.87</v>
      </c>
      <c r="J140" s="276"/>
      <c r="K140" s="267">
        <f>ROUND($I140*E140,0)</f>
        <v>0</v>
      </c>
      <c r="M140" s="267">
        <f>ROUND($I140*G140,0)</f>
        <v>0</v>
      </c>
      <c r="O140" s="99">
        <f>O80</f>
        <v>-0.9</v>
      </c>
      <c r="P140" s="276"/>
      <c r="Q140" s="267">
        <f>ROUND(O140*$G140,0)</f>
        <v>0</v>
      </c>
      <c r="R140" s="267"/>
      <c r="S140" s="267"/>
      <c r="T140" s="267"/>
      <c r="U140" s="267"/>
      <c r="V140" s="267"/>
      <c r="W140" s="267"/>
      <c r="X140" s="267"/>
      <c r="Y140" s="267"/>
      <c r="Z140" s="267"/>
      <c r="AA140" s="267"/>
      <c r="AB140" s="267"/>
      <c r="AD140" s="321"/>
      <c r="AE140" s="309"/>
      <c r="AF140" s="279">
        <f t="shared" si="36"/>
        <v>3.4482758620689724E-2</v>
      </c>
    </row>
    <row r="141" spans="2:34">
      <c r="B141" s="275" t="s">
        <v>349</v>
      </c>
      <c r="E141" s="102">
        <f>E142+E143</f>
        <v>9193471.8561682235</v>
      </c>
      <c r="G141" s="102">
        <f>SUM(G142:G143)</f>
        <v>14037527</v>
      </c>
      <c r="I141" s="322"/>
      <c r="J141" s="286"/>
      <c r="K141" s="267"/>
      <c r="M141" s="267"/>
      <c r="O141" s="322"/>
      <c r="P141" s="286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301"/>
      <c r="AD141" s="321"/>
    </row>
    <row r="142" spans="2:34">
      <c r="B142" s="275" t="s">
        <v>355</v>
      </c>
      <c r="E142" s="102">
        <v>4900649.7801548373</v>
      </c>
      <c r="G142" s="102">
        <f>ROUND(E142*$G$146/($E$146-$E$145),0)</f>
        <v>7482810</v>
      </c>
      <c r="I142" s="322">
        <v>3.5438999999999998</v>
      </c>
      <c r="J142" s="286" t="s">
        <v>314</v>
      </c>
      <c r="K142" s="267">
        <f>ROUND($I142*E142/100,0)</f>
        <v>173674</v>
      </c>
      <c r="M142" s="267">
        <f>ROUND($I142*G142/100,0)</f>
        <v>265183</v>
      </c>
      <c r="O142" s="322">
        <f>O82</f>
        <v>3.6747000000000001</v>
      </c>
      <c r="P142" s="286" t="s">
        <v>314</v>
      </c>
      <c r="Q142" s="267">
        <f>ROUND(O142*$G142/100,0)</f>
        <v>274971</v>
      </c>
      <c r="R142" s="267"/>
      <c r="S142" s="267"/>
      <c r="T142" s="267"/>
      <c r="U142" s="267"/>
      <c r="V142" s="267"/>
      <c r="W142" s="267"/>
      <c r="X142" s="267"/>
      <c r="Y142" s="267"/>
      <c r="Z142" s="267"/>
      <c r="AA142" s="267"/>
      <c r="AB142" s="301"/>
      <c r="AF142" s="279">
        <f t="shared" ref="AF142:AF144" si="37">O142/I142-1</f>
        <v>3.6908490645898739E-2</v>
      </c>
      <c r="AG142" s="309"/>
    </row>
    <row r="143" spans="2:34">
      <c r="B143" s="275" t="s">
        <v>356</v>
      </c>
      <c r="E143" s="102">
        <v>4292822.0760133862</v>
      </c>
      <c r="G143" s="102">
        <f>G146-G142</f>
        <v>6554717</v>
      </c>
      <c r="I143" s="322">
        <v>3.2658999999999998</v>
      </c>
      <c r="J143" s="286" t="s">
        <v>314</v>
      </c>
      <c r="K143" s="267">
        <f>ROUND($I143*E143/100,0)</f>
        <v>140199</v>
      </c>
      <c r="M143" s="267">
        <f>ROUND($I143*G143/100,0)</f>
        <v>214071</v>
      </c>
      <c r="O143" s="322">
        <f>O83</f>
        <v>3.3862999999999999</v>
      </c>
      <c r="P143" s="286" t="s">
        <v>314</v>
      </c>
      <c r="Q143" s="267">
        <f>ROUND(O143*$G143/100,0)</f>
        <v>221962</v>
      </c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301"/>
      <c r="AF143" s="279">
        <f t="shared" si="37"/>
        <v>3.686579503352827E-2</v>
      </c>
    </row>
    <row r="144" spans="2:34">
      <c r="B144" s="275" t="s">
        <v>352</v>
      </c>
      <c r="E144" s="102">
        <v>0</v>
      </c>
      <c r="F144" s="299"/>
      <c r="G144" s="102">
        <f>ROUND(E144*G137/E137,0)</f>
        <v>0</v>
      </c>
      <c r="H144" s="299"/>
      <c r="I144" s="99">
        <v>600</v>
      </c>
      <c r="J144" s="276"/>
      <c r="K144" s="267">
        <f>ROUND($I144*E144,0)</f>
        <v>0</v>
      </c>
      <c r="L144" s="299"/>
      <c r="M144" s="267">
        <f>ROUND($I144*G144,0)</f>
        <v>0</v>
      </c>
      <c r="N144" s="299"/>
      <c r="O144" s="99">
        <f>O84</f>
        <v>624</v>
      </c>
      <c r="P144" s="276"/>
      <c r="Q144" s="267">
        <f>ROUND(O144*$G144,0)</f>
        <v>0</v>
      </c>
      <c r="R144" s="267"/>
      <c r="S144" s="267"/>
      <c r="T144" s="267"/>
      <c r="U144" s="267"/>
      <c r="V144" s="267"/>
      <c r="W144" s="267"/>
      <c r="X144" s="267"/>
      <c r="Y144" s="267"/>
      <c r="Z144" s="267"/>
      <c r="AA144" s="267"/>
      <c r="AB144" s="301"/>
      <c r="AC144" s="264" t="s">
        <v>315</v>
      </c>
      <c r="AD144" s="315">
        <f>Q146/M146-1</f>
        <v>3.6931373480457941E-2</v>
      </c>
      <c r="AF144" s="279">
        <f t="shared" si="37"/>
        <v>4.0000000000000036E-2</v>
      </c>
      <c r="AH144" s="309"/>
    </row>
    <row r="145" spans="2:34">
      <c r="B145" s="275" t="s">
        <v>333</v>
      </c>
      <c r="E145" s="103">
        <v>31312</v>
      </c>
      <c r="G145" s="103">
        <v>0</v>
      </c>
      <c r="K145" s="308">
        <v>1043</v>
      </c>
      <c r="M145" s="308">
        <v>0</v>
      </c>
      <c r="Q145" s="308">
        <v>0</v>
      </c>
      <c r="R145" s="301"/>
      <c r="S145" s="301"/>
      <c r="T145" s="301"/>
      <c r="U145" s="301"/>
      <c r="V145" s="301"/>
      <c r="W145" s="301"/>
      <c r="X145" s="301"/>
      <c r="Y145" s="301"/>
      <c r="Z145" s="301"/>
      <c r="AA145" s="301"/>
      <c r="AC145" s="264" t="s">
        <v>336</v>
      </c>
      <c r="AD145" s="327">
        <f>(Q146)/(M146)-1</f>
        <v>3.6931373480457941E-2</v>
      </c>
    </row>
    <row r="146" spans="2:34" ht="16.5" thickBot="1">
      <c r="B146" s="275" t="s">
        <v>334</v>
      </c>
      <c r="E146" s="325">
        <f>E141+E145</f>
        <v>9224783.8561682235</v>
      </c>
      <c r="G146" s="325">
        <v>14037527</v>
      </c>
      <c r="I146" s="318"/>
      <c r="K146" s="319">
        <f>SUM(K137:K145)</f>
        <v>729433</v>
      </c>
      <c r="M146" s="319">
        <f>SUM(M137:M145)</f>
        <v>1105185</v>
      </c>
      <c r="O146" s="318"/>
      <c r="Q146" s="319">
        <f>SUM(Q137:Q145)</f>
        <v>1146001</v>
      </c>
      <c r="R146" s="301"/>
      <c r="S146" s="301"/>
      <c r="T146" s="301"/>
      <c r="U146" s="301"/>
      <c r="V146" s="301"/>
      <c r="W146" s="301"/>
      <c r="X146" s="301"/>
      <c r="Y146" s="301"/>
      <c r="Z146" s="301"/>
      <c r="AA146" s="301"/>
      <c r="AD146" s="309"/>
    </row>
    <row r="147" spans="2:34" ht="16.5" thickTop="1">
      <c r="E147" s="102"/>
      <c r="G147" s="102"/>
      <c r="AB147" s="267"/>
    </row>
    <row r="148" spans="2:34">
      <c r="B148" s="272" t="s">
        <v>363</v>
      </c>
      <c r="E148" s="102"/>
      <c r="G148" s="102"/>
      <c r="AB148" s="267"/>
    </row>
    <row r="149" spans="2:34">
      <c r="B149" s="328" t="s">
        <v>345</v>
      </c>
      <c r="E149" s="102">
        <v>95.999333333333297</v>
      </c>
      <c r="G149" s="102">
        <v>96</v>
      </c>
      <c r="I149" s="99">
        <v>50</v>
      </c>
      <c r="J149" s="276"/>
      <c r="K149" s="267">
        <f>ROUND($I149*E149,0)</f>
        <v>4800</v>
      </c>
      <c r="M149" s="267">
        <f>ROUND($I149*G149,0)</f>
        <v>4800</v>
      </c>
      <c r="O149" s="99">
        <f>O77</f>
        <v>52</v>
      </c>
      <c r="P149" s="276"/>
      <c r="Q149" s="267">
        <f>ROUND(O149*$G149,0)</f>
        <v>4992</v>
      </c>
      <c r="R149" s="267"/>
      <c r="S149" s="267"/>
      <c r="T149" s="267"/>
      <c r="U149" s="267"/>
      <c r="V149" s="267"/>
      <c r="W149" s="267"/>
      <c r="X149" s="267"/>
      <c r="Y149" s="267"/>
      <c r="Z149" s="267"/>
      <c r="AA149" s="267"/>
      <c r="AB149" s="267"/>
      <c r="AF149" s="279">
        <f t="shared" ref="AF149:AF152" si="38">O149/I149-1</f>
        <v>4.0000000000000036E-2</v>
      </c>
    </row>
    <row r="150" spans="2:34">
      <c r="B150" s="275" t="s">
        <v>360</v>
      </c>
      <c r="E150" s="102">
        <v>9451.4719184565893</v>
      </c>
      <c r="G150" s="102">
        <f>ROUND(E150*$G$158/$E$158,0)</f>
        <v>9058</v>
      </c>
      <c r="I150" s="99">
        <v>16.84</v>
      </c>
      <c r="J150" s="276"/>
      <c r="K150" s="267">
        <f>ROUND($I150*E150,0)</f>
        <v>159163</v>
      </c>
      <c r="M150" s="267">
        <f>ROUND($I150*G150,0)</f>
        <v>152537</v>
      </c>
      <c r="O150" s="99">
        <f>O78</f>
        <v>17.46</v>
      </c>
      <c r="P150" s="276"/>
      <c r="Q150" s="267">
        <f>ROUND(O150*$G150,0)</f>
        <v>158153</v>
      </c>
      <c r="R150" s="267"/>
      <c r="S150" s="267"/>
      <c r="T150" s="267"/>
      <c r="U150" s="267"/>
      <c r="V150" s="267"/>
      <c r="W150" s="267"/>
      <c r="X150" s="267"/>
      <c r="Y150" s="267"/>
      <c r="Z150" s="267"/>
      <c r="AA150" s="267"/>
      <c r="AB150" s="267"/>
      <c r="AF150" s="279">
        <f t="shared" si="38"/>
        <v>3.6817102137767233E-2</v>
      </c>
    </row>
    <row r="151" spans="2:34">
      <c r="B151" s="275" t="s">
        <v>361</v>
      </c>
      <c r="E151" s="102">
        <v>11827.527526705</v>
      </c>
      <c r="G151" s="102">
        <f>ROUND(E151*$G$158/$E$158,0)</f>
        <v>11335</v>
      </c>
      <c r="I151" s="99">
        <v>13.52</v>
      </c>
      <c r="J151" s="276"/>
      <c r="K151" s="267">
        <f>ROUND($I151*E151,0)</f>
        <v>159908</v>
      </c>
      <c r="M151" s="267">
        <f>ROUND($I151*G151,0)</f>
        <v>153249</v>
      </c>
      <c r="O151" s="99">
        <f>O79</f>
        <v>14.02</v>
      </c>
      <c r="P151" s="276"/>
      <c r="Q151" s="267">
        <f>ROUND(O151*$G151,0)</f>
        <v>158917</v>
      </c>
      <c r="R151" s="267"/>
      <c r="S151" s="267"/>
      <c r="T151" s="267"/>
      <c r="U151" s="267"/>
      <c r="V151" s="267"/>
      <c r="W151" s="267"/>
      <c r="X151" s="267"/>
      <c r="Y151" s="267"/>
      <c r="Z151" s="267"/>
      <c r="AA151" s="267"/>
      <c r="AB151" s="267"/>
      <c r="AF151" s="279">
        <f t="shared" si="38"/>
        <v>3.6982248520710082E-2</v>
      </c>
    </row>
    <row r="152" spans="2:34">
      <c r="B152" s="275" t="s">
        <v>348</v>
      </c>
      <c r="E152" s="102">
        <v>0</v>
      </c>
      <c r="G152" s="102">
        <f>ROUND(E152*$G$158/$E$158,0)</f>
        <v>0</v>
      </c>
      <c r="I152" s="99">
        <v>-0.87</v>
      </c>
      <c r="J152" s="276"/>
      <c r="K152" s="267">
        <f>ROUND($I152*E152,0)</f>
        <v>0</v>
      </c>
      <c r="M152" s="267">
        <f>ROUND($I152*G152,0)</f>
        <v>0</v>
      </c>
      <c r="O152" s="99">
        <f>O80</f>
        <v>-0.9</v>
      </c>
      <c r="P152" s="276"/>
      <c r="Q152" s="267">
        <f>ROUND(O152*$G152,0)</f>
        <v>0</v>
      </c>
      <c r="R152" s="267"/>
      <c r="S152" s="267"/>
      <c r="T152" s="267"/>
      <c r="U152" s="267"/>
      <c r="V152" s="267"/>
      <c r="W152" s="267"/>
      <c r="X152" s="267"/>
      <c r="Y152" s="267"/>
      <c r="Z152" s="267"/>
      <c r="AA152" s="267"/>
      <c r="AB152" s="267"/>
      <c r="AD152" s="321"/>
      <c r="AE152" s="309"/>
      <c r="AF152" s="279">
        <f t="shared" si="38"/>
        <v>3.4482758620689724E-2</v>
      </c>
    </row>
    <row r="153" spans="2:34">
      <c r="B153" s="275" t="s">
        <v>349</v>
      </c>
      <c r="E153" s="102">
        <f>E154+E155</f>
        <v>7365965.3595221424</v>
      </c>
      <c r="G153" s="102">
        <f>SUM(G154:G155)</f>
        <v>7095643</v>
      </c>
      <c r="I153" s="322"/>
      <c r="J153" s="286"/>
      <c r="K153" s="267"/>
      <c r="M153" s="267"/>
      <c r="O153" s="322"/>
      <c r="P153" s="286"/>
      <c r="Q153" s="267"/>
      <c r="R153" s="267"/>
      <c r="S153" s="267"/>
      <c r="T153" s="267"/>
      <c r="U153" s="267"/>
      <c r="V153" s="267"/>
      <c r="W153" s="267"/>
      <c r="X153" s="267"/>
      <c r="Y153" s="267"/>
      <c r="Z153" s="267"/>
      <c r="AA153" s="267"/>
      <c r="AB153" s="301"/>
      <c r="AD153" s="321"/>
    </row>
    <row r="154" spans="2:34">
      <c r="B154" s="275" t="s">
        <v>355</v>
      </c>
      <c r="E154" s="102">
        <v>3666736.2441831548</v>
      </c>
      <c r="G154" s="102">
        <f>ROUND(E154*$G$158/($E$158-$E$157),0)</f>
        <v>3532171</v>
      </c>
      <c r="I154" s="322">
        <v>3.5438999999999998</v>
      </c>
      <c r="J154" s="286" t="s">
        <v>314</v>
      </c>
      <c r="K154" s="267">
        <f>ROUND($I154*E154/100,0)</f>
        <v>129945</v>
      </c>
      <c r="M154" s="267">
        <f>ROUND($I154*G154/100,0)</f>
        <v>125177</v>
      </c>
      <c r="O154" s="322">
        <f>O82</f>
        <v>3.6747000000000001</v>
      </c>
      <c r="P154" s="286" t="s">
        <v>314</v>
      </c>
      <c r="Q154" s="267">
        <f>ROUND(O154*$G154/100,0)</f>
        <v>129797</v>
      </c>
      <c r="R154" s="267"/>
      <c r="S154" s="267"/>
      <c r="T154" s="267"/>
      <c r="U154" s="267"/>
      <c r="V154" s="267"/>
      <c r="W154" s="267"/>
      <c r="X154" s="267"/>
      <c r="Y154" s="267"/>
      <c r="Z154" s="267"/>
      <c r="AA154" s="267"/>
      <c r="AB154" s="301"/>
      <c r="AF154" s="279">
        <f t="shared" ref="AF154:AF156" si="39">O154/I154-1</f>
        <v>3.6908490645898739E-2</v>
      </c>
      <c r="AG154" s="309"/>
    </row>
    <row r="155" spans="2:34">
      <c r="B155" s="275" t="s">
        <v>356</v>
      </c>
      <c r="E155" s="102">
        <v>3699229.1153389877</v>
      </c>
      <c r="G155" s="102">
        <f>G158-G154</f>
        <v>3563472</v>
      </c>
      <c r="I155" s="322">
        <v>3.2658999999999998</v>
      </c>
      <c r="J155" s="286" t="s">
        <v>314</v>
      </c>
      <c r="K155" s="267">
        <f>ROUND($I155*E155/100,0)</f>
        <v>120813</v>
      </c>
      <c r="M155" s="267">
        <f>ROUND($I155*G155/100,0)</f>
        <v>116379</v>
      </c>
      <c r="O155" s="322">
        <f>O83</f>
        <v>3.3862999999999999</v>
      </c>
      <c r="P155" s="286" t="s">
        <v>314</v>
      </c>
      <c r="Q155" s="267">
        <f>ROUND(O155*$G155/100,0)</f>
        <v>120670</v>
      </c>
      <c r="R155" s="267"/>
      <c r="S155" s="267"/>
      <c r="T155" s="267"/>
      <c r="U155" s="267"/>
      <c r="V155" s="267"/>
      <c r="W155" s="267"/>
      <c r="X155" s="267"/>
      <c r="Y155" s="267"/>
      <c r="Z155" s="267"/>
      <c r="AA155" s="267"/>
      <c r="AB155" s="301"/>
      <c r="AF155" s="279">
        <f t="shared" si="39"/>
        <v>3.686579503352827E-2</v>
      </c>
    </row>
    <row r="156" spans="2:34">
      <c r="B156" s="275" t="s">
        <v>352</v>
      </c>
      <c r="E156" s="102">
        <v>0</v>
      </c>
      <c r="F156" s="299"/>
      <c r="G156" s="102">
        <f>ROUND(E156*G149/E149,0)</f>
        <v>0</v>
      </c>
      <c r="H156" s="299"/>
      <c r="I156" s="99">
        <v>600</v>
      </c>
      <c r="J156" s="276"/>
      <c r="K156" s="267">
        <f>ROUND($I156*E156,0)</f>
        <v>0</v>
      </c>
      <c r="L156" s="299"/>
      <c r="M156" s="267">
        <f>ROUND($I156*G156,0)</f>
        <v>0</v>
      </c>
      <c r="N156" s="299"/>
      <c r="O156" s="99">
        <f>O84</f>
        <v>624</v>
      </c>
      <c r="P156" s="276"/>
      <c r="Q156" s="267">
        <f>ROUND(O156*$G156,0)</f>
        <v>0</v>
      </c>
      <c r="R156" s="267"/>
      <c r="S156" s="267"/>
      <c r="T156" s="267"/>
      <c r="U156" s="267"/>
      <c r="V156" s="267"/>
      <c r="W156" s="267"/>
      <c r="X156" s="267"/>
      <c r="Y156" s="267"/>
      <c r="Z156" s="267"/>
      <c r="AA156" s="267"/>
      <c r="AB156" s="301"/>
      <c r="AC156" s="264" t="s">
        <v>315</v>
      </c>
      <c r="AD156" s="315">
        <f>Q158/M158-1</f>
        <v>3.6923472584950989E-2</v>
      </c>
      <c r="AE156" s="317"/>
      <c r="AF156" s="279">
        <f t="shared" si="39"/>
        <v>4.0000000000000036E-2</v>
      </c>
      <c r="AH156" s="309"/>
    </row>
    <row r="157" spans="2:34">
      <c r="B157" s="275" t="s">
        <v>333</v>
      </c>
      <c r="E157" s="103">
        <v>38284</v>
      </c>
      <c r="G157" s="103">
        <v>0</v>
      </c>
      <c r="K157" s="308">
        <v>1371</v>
      </c>
      <c r="M157" s="308">
        <v>0</v>
      </c>
      <c r="Q157" s="308">
        <v>0</v>
      </c>
      <c r="R157" s="301"/>
      <c r="S157" s="301"/>
      <c r="T157" s="301"/>
      <c r="U157" s="301"/>
      <c r="V157" s="301"/>
      <c r="W157" s="301"/>
      <c r="X157" s="301"/>
      <c r="Y157" s="301"/>
      <c r="Z157" s="301"/>
      <c r="AA157" s="301"/>
      <c r="AC157" s="264" t="s">
        <v>336</v>
      </c>
      <c r="AD157" s="327">
        <f>(Q158)/(M158)-1</f>
        <v>3.6923472584950989E-2</v>
      </c>
      <c r="AE157" s="317"/>
    </row>
    <row r="158" spans="2:34" ht="16.5" thickBot="1">
      <c r="B158" s="275" t="s">
        <v>334</v>
      </c>
      <c r="E158" s="325">
        <f>E153+E157</f>
        <v>7404249.3595221424</v>
      </c>
      <c r="G158" s="325">
        <v>7095643</v>
      </c>
      <c r="I158" s="318"/>
      <c r="K158" s="319">
        <f>SUM(K149:K157)</f>
        <v>576000</v>
      </c>
      <c r="M158" s="319">
        <f>SUM(M149:M157)</f>
        <v>552142</v>
      </c>
      <c r="O158" s="318"/>
      <c r="Q158" s="319">
        <f>SUM(Q149:Q157)</f>
        <v>572529</v>
      </c>
      <c r="R158" s="301"/>
      <c r="S158" s="301"/>
      <c r="T158" s="301"/>
      <c r="U158" s="301"/>
      <c r="V158" s="301"/>
      <c r="W158" s="301"/>
      <c r="X158" s="301"/>
      <c r="Y158" s="301"/>
      <c r="Z158" s="301"/>
      <c r="AA158" s="301"/>
      <c r="AD158" s="309"/>
      <c r="AE158" s="317"/>
      <c r="AF158" s="317"/>
    </row>
    <row r="159" spans="2:34" ht="16.5" thickTop="1">
      <c r="E159" s="102"/>
      <c r="G159" s="102"/>
      <c r="AB159" s="267"/>
      <c r="AC159" s="271"/>
      <c r="AD159" s="329"/>
      <c r="AE159" s="317"/>
      <c r="AF159" s="317"/>
    </row>
    <row r="160" spans="2:34">
      <c r="B160" s="272" t="s">
        <v>364</v>
      </c>
      <c r="E160" s="102"/>
      <c r="G160" s="102"/>
      <c r="I160" s="322"/>
      <c r="J160" s="330"/>
      <c r="O160" s="322"/>
      <c r="P160" s="330"/>
      <c r="AB160" s="267"/>
      <c r="AE160" s="320"/>
      <c r="AF160" s="320"/>
      <c r="AG160" s="267"/>
      <c r="AH160" s="102"/>
    </row>
    <row r="161" spans="2:34">
      <c r="B161" s="275" t="s">
        <v>345</v>
      </c>
      <c r="E161" s="102">
        <f t="shared" ref="E161:E170" si="40">E173+E185</f>
        <v>24431.249555555718</v>
      </c>
      <c r="G161" s="102">
        <f t="shared" ref="G161:G170" si="41">G173+G185</f>
        <v>28731</v>
      </c>
      <c r="I161" s="99">
        <v>50</v>
      </c>
      <c r="J161" s="276"/>
      <c r="K161" s="267">
        <f>ROUND($I161*E161,0)</f>
        <v>1221562</v>
      </c>
      <c r="M161" s="267">
        <f>ROUND($I161*G161,0)</f>
        <v>1436550</v>
      </c>
      <c r="O161" s="99">
        <f>O77</f>
        <v>52</v>
      </c>
      <c r="P161" s="276"/>
      <c r="Q161" s="267">
        <f>ROUND(O161*$G161,0)</f>
        <v>1494012</v>
      </c>
      <c r="R161" s="267"/>
      <c r="S161" s="267"/>
      <c r="T161" s="267"/>
      <c r="U161" s="267"/>
      <c r="V161" s="267"/>
      <c r="W161" s="267"/>
      <c r="X161" s="267"/>
      <c r="Y161" s="267"/>
      <c r="Z161" s="267"/>
      <c r="AA161" s="267"/>
      <c r="AB161" s="267"/>
      <c r="AC161" s="277" t="s">
        <v>308</v>
      </c>
      <c r="AD161" s="278">
        <f>Q170</f>
        <v>30962422</v>
      </c>
      <c r="AF161" s="279">
        <f t="shared" ref="AF161:AF168" si="42">O161/I161-1</f>
        <v>4.0000000000000036E-2</v>
      </c>
      <c r="AG161" s="267"/>
      <c r="AH161" s="102"/>
    </row>
    <row r="162" spans="2:34">
      <c r="B162" s="275" t="s">
        <v>365</v>
      </c>
      <c r="E162" s="102">
        <f t="shared" si="40"/>
        <v>803968.42713110382</v>
      </c>
      <c r="F162" s="299"/>
      <c r="G162" s="102">
        <f t="shared" si="41"/>
        <v>861704</v>
      </c>
      <c r="H162" s="299"/>
      <c r="I162" s="99">
        <v>5.96</v>
      </c>
      <c r="J162" s="276"/>
      <c r="K162" s="267">
        <f>ROUND($I162*E162,0)</f>
        <v>4791652</v>
      </c>
      <c r="L162" s="299"/>
      <c r="M162" s="267">
        <f>ROUND($I162*G162,0)</f>
        <v>5135756</v>
      </c>
      <c r="N162" s="299"/>
      <c r="O162" s="99">
        <f>ROUND(I162*(1+$AD$166),2)</f>
        <v>6.18</v>
      </c>
      <c r="P162" s="276"/>
      <c r="Q162" s="267">
        <f>ROUND(O162*$G162,0)</f>
        <v>5325331</v>
      </c>
      <c r="R162" s="267"/>
      <c r="S162" s="267"/>
      <c r="T162" s="267"/>
      <c r="U162" s="267"/>
      <c r="V162" s="267"/>
      <c r="W162" s="267"/>
      <c r="X162" s="267"/>
      <c r="Y162" s="267"/>
      <c r="Z162" s="267"/>
      <c r="AA162" s="267"/>
      <c r="AB162" s="267"/>
      <c r="AC162" s="281" t="s">
        <v>310</v>
      </c>
      <c r="AD162" s="282">
        <f>RateSpread!M21*1000</f>
        <v>30962403</v>
      </c>
      <c r="AF162" s="279">
        <f t="shared" si="42"/>
        <v>3.691275167785224E-2</v>
      </c>
      <c r="AG162" s="267"/>
      <c r="AH162" s="102"/>
    </row>
    <row r="163" spans="2:34">
      <c r="B163" s="275" t="s">
        <v>366</v>
      </c>
      <c r="E163" s="102">
        <f t="shared" si="40"/>
        <v>969678.15111111081</v>
      </c>
      <c r="F163" s="299"/>
      <c r="G163" s="102">
        <f t="shared" si="41"/>
        <v>1039237</v>
      </c>
      <c r="H163" s="299"/>
      <c r="I163" s="99">
        <v>5</v>
      </c>
      <c r="J163" s="276"/>
      <c r="K163" s="267">
        <f>ROUND($I163*E163,0)</f>
        <v>4848391</v>
      </c>
      <c r="L163" s="299"/>
      <c r="M163" s="267">
        <f>ROUND($I163*G163,0)</f>
        <v>5196185</v>
      </c>
      <c r="N163" s="299"/>
      <c r="O163" s="99">
        <f>ROUND(I163*(1+$AD$166),2)</f>
        <v>5.18</v>
      </c>
      <c r="P163" s="276"/>
      <c r="Q163" s="267">
        <f>ROUND(O163*$G163,0)</f>
        <v>5383248</v>
      </c>
      <c r="R163" s="267"/>
      <c r="S163" s="267"/>
      <c r="T163" s="267"/>
      <c r="U163" s="267"/>
      <c r="V163" s="267"/>
      <c r="W163" s="267"/>
      <c r="X163" s="267"/>
      <c r="Y163" s="267"/>
      <c r="Z163" s="267"/>
      <c r="AA163" s="267"/>
      <c r="AB163" s="267"/>
      <c r="AC163" s="283" t="s">
        <v>312</v>
      </c>
      <c r="AD163" s="284">
        <f>AD162-AD161</f>
        <v>-19</v>
      </c>
      <c r="AF163" s="279">
        <f t="shared" si="42"/>
        <v>3.6000000000000032E-2</v>
      </c>
      <c r="AH163" s="102"/>
    </row>
    <row r="164" spans="2:34">
      <c r="B164" s="275" t="s">
        <v>348</v>
      </c>
      <c r="E164" s="102">
        <f t="shared" si="40"/>
        <v>31407.78</v>
      </c>
      <c r="F164" s="299"/>
      <c r="G164" s="102">
        <f t="shared" si="41"/>
        <v>32411</v>
      </c>
      <c r="H164" s="299"/>
      <c r="I164" s="99">
        <v>-0.56000000000000005</v>
      </c>
      <c r="J164" s="276"/>
      <c r="K164" s="267">
        <f>ROUND($I164*E164,0)</f>
        <v>-17588</v>
      </c>
      <c r="L164" s="299"/>
      <c r="M164" s="267">
        <f>ROUND($I164*G164,0)</f>
        <v>-18150</v>
      </c>
      <c r="N164" s="299"/>
      <c r="O164" s="99">
        <f>ROUND(I164*(1+$AD$166),2)</f>
        <v>-0.57999999999999996</v>
      </c>
      <c r="P164" s="276"/>
      <c r="Q164" s="267">
        <f>ROUND(O164*$G164,0)</f>
        <v>-18798</v>
      </c>
      <c r="R164" s="267"/>
      <c r="S164" s="267"/>
      <c r="T164" s="267"/>
      <c r="U164" s="267"/>
      <c r="V164" s="267"/>
      <c r="W164" s="267"/>
      <c r="X164" s="267"/>
      <c r="Y164" s="267"/>
      <c r="Z164" s="267"/>
      <c r="AA164" s="267"/>
      <c r="AB164" s="267"/>
      <c r="AC164" s="287" t="s">
        <v>315</v>
      </c>
      <c r="AD164" s="323">
        <f>AD161/M170-1</f>
        <v>3.6952578502740918E-2</v>
      </c>
      <c r="AF164" s="279">
        <f t="shared" si="42"/>
        <v>3.5714285714285587E-2</v>
      </c>
      <c r="AG164" s="267"/>
      <c r="AH164" s="102"/>
    </row>
    <row r="165" spans="2:34">
      <c r="B165" s="275" t="s">
        <v>341</v>
      </c>
      <c r="E165" s="102">
        <f t="shared" si="40"/>
        <v>54550040</v>
      </c>
      <c r="F165" s="299"/>
      <c r="G165" s="102">
        <f t="shared" si="41"/>
        <v>57731948</v>
      </c>
      <c r="H165" s="299"/>
      <c r="I165" s="100">
        <v>10.905099999999999</v>
      </c>
      <c r="J165" s="286" t="s">
        <v>314</v>
      </c>
      <c r="K165" s="267">
        <f>ROUND($I165*E165/100,0)</f>
        <v>5948736</v>
      </c>
      <c r="L165" s="299"/>
      <c r="M165" s="267">
        <f>ROUND($I165*G165/100,0)</f>
        <v>6295727</v>
      </c>
      <c r="N165" s="299"/>
      <c r="O165" s="100">
        <f>ROUND(I165*(1+$AD$166),4)</f>
        <v>11.3064</v>
      </c>
      <c r="P165" s="286" t="s">
        <v>314</v>
      </c>
      <c r="Q165" s="267">
        <f>ROUND(O165*$G165/100,0)</f>
        <v>6527405</v>
      </c>
      <c r="R165" s="267"/>
      <c r="S165" s="267"/>
      <c r="T165" s="267"/>
      <c r="U165" s="267"/>
      <c r="V165" s="267"/>
      <c r="W165" s="267"/>
      <c r="X165" s="267"/>
      <c r="Y165" s="267"/>
      <c r="Z165" s="267"/>
      <c r="AA165" s="267"/>
      <c r="AB165" s="301"/>
      <c r="AC165" s="291" t="s">
        <v>317</v>
      </c>
      <c r="AD165" s="324">
        <f>AD162/M170-1</f>
        <v>3.6951942179813901E-2</v>
      </c>
      <c r="AF165" s="279">
        <f t="shared" si="42"/>
        <v>3.6799295742359073E-2</v>
      </c>
      <c r="AG165" s="267"/>
      <c r="AH165" s="102"/>
    </row>
    <row r="166" spans="2:34">
      <c r="B166" s="275" t="s">
        <v>342</v>
      </c>
      <c r="E166" s="102">
        <f t="shared" si="40"/>
        <v>54418517.572399944</v>
      </c>
      <c r="F166" s="299"/>
      <c r="G166" s="102">
        <f t="shared" si="41"/>
        <v>58399436</v>
      </c>
      <c r="H166" s="299"/>
      <c r="I166" s="100">
        <v>3.2831999999999999</v>
      </c>
      <c r="J166" s="286" t="s">
        <v>314</v>
      </c>
      <c r="K166" s="267">
        <f>ROUND($I166*E166/100,0)</f>
        <v>1786669</v>
      </c>
      <c r="L166" s="299"/>
      <c r="M166" s="267">
        <f>ROUND($I166*G166/100,0)</f>
        <v>1917370</v>
      </c>
      <c r="N166" s="299"/>
      <c r="O166" s="100">
        <f>ROUND(I166*(1+$AD$166),4)</f>
        <v>3.4039999999999999</v>
      </c>
      <c r="P166" s="286" t="s">
        <v>314</v>
      </c>
      <c r="Q166" s="267">
        <f>ROUND(O166*$G166/100,0)</f>
        <v>1987917</v>
      </c>
      <c r="R166" s="267"/>
      <c r="S166" s="267"/>
      <c r="T166" s="267"/>
      <c r="U166" s="267"/>
      <c r="V166" s="267"/>
      <c r="W166" s="267"/>
      <c r="X166" s="267"/>
      <c r="Y166" s="267"/>
      <c r="Z166" s="267"/>
      <c r="AA166" s="267"/>
      <c r="AB166" s="301"/>
      <c r="AC166" s="305" t="s">
        <v>353</v>
      </c>
      <c r="AD166" s="326">
        <f>(AD162-Q161)/(M170-M161)-1</f>
        <v>3.6797885112370254E-2</v>
      </c>
      <c r="AF166" s="279">
        <f t="shared" si="42"/>
        <v>3.6793372319688045E-2</v>
      </c>
      <c r="AH166" s="309"/>
    </row>
    <row r="167" spans="2:34">
      <c r="B167" s="275" t="s">
        <v>367</v>
      </c>
      <c r="E167" s="102">
        <f t="shared" si="40"/>
        <v>79604921</v>
      </c>
      <c r="F167" s="299"/>
      <c r="G167" s="102">
        <f t="shared" si="41"/>
        <v>85611702</v>
      </c>
      <c r="H167" s="299"/>
      <c r="I167" s="100">
        <v>9.1155000000000008</v>
      </c>
      <c r="J167" s="286" t="s">
        <v>314</v>
      </c>
      <c r="K167" s="267">
        <f>ROUND($I167*E167/100,0)</f>
        <v>7256387</v>
      </c>
      <c r="L167" s="299"/>
      <c r="M167" s="267">
        <f>ROUND($I167*G167/100,0)</f>
        <v>7803935</v>
      </c>
      <c r="N167" s="299"/>
      <c r="O167" s="100">
        <f>ROUND(I167*(1+$AD$166),4)</f>
        <v>9.4509000000000007</v>
      </c>
      <c r="P167" s="286" t="s">
        <v>314</v>
      </c>
      <c r="Q167" s="267">
        <f>ROUND(O167*$G167/100,0)</f>
        <v>8091076</v>
      </c>
      <c r="R167" s="267"/>
      <c r="S167" s="267"/>
      <c r="T167" s="267"/>
      <c r="U167" s="267"/>
      <c r="V167" s="267"/>
      <c r="W167" s="267"/>
      <c r="X167" s="267"/>
      <c r="Y167" s="267"/>
      <c r="Z167" s="267"/>
      <c r="AA167" s="267"/>
      <c r="AB167" s="301"/>
      <c r="AC167" s="287" t="s">
        <v>336</v>
      </c>
      <c r="AD167" s="323">
        <f>(Q170)/(M170)-1</f>
        <v>3.6952578502740918E-2</v>
      </c>
      <c r="AF167" s="279">
        <f t="shared" si="42"/>
        <v>3.6794470956063918E-2</v>
      </c>
      <c r="AG167" s="267"/>
      <c r="AH167" s="309"/>
    </row>
    <row r="168" spans="2:34">
      <c r="B168" s="275" t="s">
        <v>368</v>
      </c>
      <c r="E168" s="102">
        <f t="shared" si="40"/>
        <v>69871529.583329797</v>
      </c>
      <c r="F168" s="299"/>
      <c r="G168" s="102">
        <f t="shared" si="41"/>
        <v>75991996</v>
      </c>
      <c r="H168" s="299"/>
      <c r="I168" s="100">
        <v>2.7524999999999999</v>
      </c>
      <c r="J168" s="286" t="s">
        <v>314</v>
      </c>
      <c r="K168" s="267">
        <f>ROUND($I168*E168/100,0)</f>
        <v>1923214</v>
      </c>
      <c r="L168" s="299"/>
      <c r="M168" s="267">
        <f>ROUND($I168*G168/100,0)</f>
        <v>2091680</v>
      </c>
      <c r="N168" s="299"/>
      <c r="O168" s="100">
        <f>ROUND((AD162-SUM(Q161:Q167))/G168*100,4)</f>
        <v>2.8584999999999998</v>
      </c>
      <c r="P168" s="286" t="s">
        <v>314</v>
      </c>
      <c r="Q168" s="267">
        <f>ROUND(O168*$G168/100,0)</f>
        <v>2172231</v>
      </c>
      <c r="R168" s="267"/>
      <c r="S168" s="267"/>
      <c r="T168" s="267"/>
      <c r="U168" s="267"/>
      <c r="V168" s="267"/>
      <c r="W168" s="267"/>
      <c r="X168" s="267"/>
      <c r="Y168" s="267"/>
      <c r="Z168" s="267"/>
      <c r="AA168" s="267"/>
      <c r="AB168" s="301"/>
      <c r="AC168" s="287" t="s">
        <v>369</v>
      </c>
      <c r="AD168" s="288">
        <f>G165/(G165+G166)</f>
        <v>0.49712615153195799</v>
      </c>
      <c r="AF168" s="279">
        <f t="shared" si="42"/>
        <v>3.8510445049954489E-2</v>
      </c>
      <c r="AH168" s="309"/>
    </row>
    <row r="169" spans="2:34">
      <c r="B169" s="275" t="s">
        <v>333</v>
      </c>
      <c r="E169" s="103">
        <f t="shared" si="40"/>
        <v>961821</v>
      </c>
      <c r="G169" s="103">
        <f t="shared" si="41"/>
        <v>0</v>
      </c>
      <c r="K169" s="308">
        <f>K181+K193</f>
        <v>45268</v>
      </c>
      <c r="M169" s="308">
        <f>M181+M193</f>
        <v>0</v>
      </c>
      <c r="Q169" s="308">
        <v>0</v>
      </c>
      <c r="R169" s="301"/>
      <c r="S169" s="301"/>
      <c r="T169" s="301"/>
      <c r="U169" s="301"/>
      <c r="V169" s="301"/>
      <c r="W169" s="301"/>
      <c r="X169" s="301"/>
      <c r="Y169" s="301"/>
      <c r="Z169" s="301"/>
      <c r="AA169" s="301"/>
      <c r="AC169" s="291" t="s">
        <v>370</v>
      </c>
      <c r="AD169" s="292">
        <f>G167/(G167+G168)</f>
        <v>0.52976326073924374</v>
      </c>
      <c r="AH169" s="309"/>
    </row>
    <row r="170" spans="2:34" ht="16.5" thickBot="1">
      <c r="B170" s="275" t="s">
        <v>334</v>
      </c>
      <c r="E170" s="325">
        <f t="shared" si="40"/>
        <v>259406829.15572977</v>
      </c>
      <c r="G170" s="325">
        <f t="shared" si="41"/>
        <v>277735082</v>
      </c>
      <c r="I170" s="318"/>
      <c r="K170" s="319">
        <f>SUM(K161:K169)</f>
        <v>27804291</v>
      </c>
      <c r="M170" s="319">
        <f>SUM(M161:M169)</f>
        <v>29859053</v>
      </c>
      <c r="O170" s="318"/>
      <c r="Q170" s="319">
        <f>SUM(Q161:Q169)</f>
        <v>30962422</v>
      </c>
      <c r="R170" s="301"/>
      <c r="S170" s="301"/>
      <c r="T170" s="301"/>
      <c r="U170" s="301"/>
      <c r="V170" s="301"/>
      <c r="W170" s="301"/>
      <c r="X170" s="301"/>
      <c r="Y170" s="301"/>
      <c r="Z170" s="301"/>
      <c r="AA170" s="301"/>
      <c r="AC170" s="305" t="s">
        <v>343</v>
      </c>
      <c r="AD170" s="331">
        <f>G170/G161</f>
        <v>9666.7391319480703</v>
      </c>
    </row>
    <row r="171" spans="2:34" ht="16.5" thickTop="1">
      <c r="E171" s="102"/>
      <c r="G171" s="102"/>
      <c r="AB171" s="267"/>
    </row>
    <row r="172" spans="2:34">
      <c r="B172" s="272" t="s">
        <v>232</v>
      </c>
      <c r="E172" s="102"/>
      <c r="G172" s="102"/>
      <c r="I172" s="322"/>
      <c r="J172" s="330"/>
      <c r="O172" s="322"/>
      <c r="P172" s="330"/>
      <c r="AB172" s="267"/>
    </row>
    <row r="173" spans="2:34">
      <c r="B173" s="275" t="s">
        <v>345</v>
      </c>
      <c r="E173" s="102">
        <v>21401.650740740901</v>
      </c>
      <c r="G173" s="102">
        <v>25557</v>
      </c>
      <c r="I173" s="300">
        <v>50</v>
      </c>
      <c r="J173" s="299"/>
      <c r="K173" s="267">
        <f>ROUND($I173*E173,0)</f>
        <v>1070083</v>
      </c>
      <c r="M173" s="267">
        <f>ROUND($I173*G173,0)</f>
        <v>1277850</v>
      </c>
      <c r="O173" s="300">
        <f t="shared" ref="O173:O180" si="43">O161</f>
        <v>52</v>
      </c>
      <c r="P173" s="299"/>
      <c r="Q173" s="267">
        <f>ROUND(O173*$G173,0)</f>
        <v>1328964</v>
      </c>
      <c r="R173" s="267"/>
      <c r="S173" s="267"/>
      <c r="T173" s="267"/>
      <c r="U173" s="267"/>
      <c r="V173" s="267"/>
      <c r="W173" s="267"/>
      <c r="X173" s="267"/>
      <c r="Y173" s="267"/>
      <c r="Z173" s="267"/>
      <c r="AA173" s="267"/>
      <c r="AB173" s="267"/>
      <c r="AF173" s="279">
        <f t="shared" ref="AF173:AF180" si="44">O173/I173-1</f>
        <v>4.0000000000000036E-2</v>
      </c>
    </row>
    <row r="174" spans="2:34">
      <c r="B174" s="275" t="s">
        <v>365</v>
      </c>
      <c r="E174" s="102">
        <v>630828.76285472047</v>
      </c>
      <c r="G174" s="102">
        <f>ROUND(E174*$G$182/$E$182,0)</f>
        <v>699705</v>
      </c>
      <c r="I174" s="300">
        <v>5.96</v>
      </c>
      <c r="J174" s="299"/>
      <c r="K174" s="267">
        <f>ROUND($I174*E174,0)</f>
        <v>3759739</v>
      </c>
      <c r="M174" s="267">
        <f>ROUND($I174*G174,0)</f>
        <v>4170242</v>
      </c>
      <c r="O174" s="300">
        <f t="shared" si="43"/>
        <v>6.18</v>
      </c>
      <c r="P174" s="299"/>
      <c r="Q174" s="267">
        <f>ROUND(O174*$G174,0)</f>
        <v>4324177</v>
      </c>
      <c r="R174" s="267"/>
      <c r="S174" s="267"/>
      <c r="T174" s="267"/>
      <c r="U174" s="267"/>
      <c r="V174" s="267"/>
      <c r="W174" s="267"/>
      <c r="X174" s="267"/>
      <c r="Y174" s="267"/>
      <c r="Z174" s="267"/>
      <c r="AA174" s="267"/>
      <c r="AB174" s="267"/>
      <c r="AF174" s="279">
        <f t="shared" si="44"/>
        <v>3.691275167785224E-2</v>
      </c>
    </row>
    <row r="175" spans="2:34">
      <c r="B175" s="275" t="s">
        <v>366</v>
      </c>
      <c r="E175" s="102">
        <v>760410.38888888876</v>
      </c>
      <c r="G175" s="102">
        <f>ROUND(E175*$G$182/$E$182,0)</f>
        <v>843434</v>
      </c>
      <c r="I175" s="300">
        <v>5</v>
      </c>
      <c r="J175" s="299"/>
      <c r="K175" s="267">
        <f>ROUND($I175*E175,0)</f>
        <v>3802052</v>
      </c>
      <c r="M175" s="267">
        <f>ROUND($I175*G175,0)</f>
        <v>4217170</v>
      </c>
      <c r="O175" s="300">
        <f t="shared" si="43"/>
        <v>5.18</v>
      </c>
      <c r="P175" s="299"/>
      <c r="Q175" s="267">
        <f>ROUND(O175*$G175,0)</f>
        <v>4368988</v>
      </c>
      <c r="R175" s="267"/>
      <c r="S175" s="267"/>
      <c r="T175" s="267"/>
      <c r="U175" s="267"/>
      <c r="V175" s="267"/>
      <c r="W175" s="267"/>
      <c r="X175" s="267"/>
      <c r="Y175" s="267"/>
      <c r="Z175" s="267"/>
      <c r="AA175" s="267"/>
      <c r="AB175" s="267"/>
      <c r="AF175" s="279">
        <f t="shared" si="44"/>
        <v>3.6000000000000032E-2</v>
      </c>
    </row>
    <row r="176" spans="2:34">
      <c r="B176" s="275" t="s">
        <v>348</v>
      </c>
      <c r="E176" s="102">
        <v>17430</v>
      </c>
      <c r="G176" s="102">
        <f>ROUND(E176*$G$182/$E$182,0)</f>
        <v>19333</v>
      </c>
      <c r="I176" s="300">
        <v>-0.56000000000000005</v>
      </c>
      <c r="J176" s="299"/>
      <c r="K176" s="267">
        <f>ROUND($I176*E176,0)</f>
        <v>-9761</v>
      </c>
      <c r="M176" s="267">
        <f>ROUND($I176*G176,0)</f>
        <v>-10826</v>
      </c>
      <c r="O176" s="300">
        <f t="shared" si="43"/>
        <v>-0.57999999999999996</v>
      </c>
      <c r="P176" s="299"/>
      <c r="Q176" s="267">
        <f>ROUND(O176*$G176,0)</f>
        <v>-11213</v>
      </c>
      <c r="R176" s="267"/>
      <c r="S176" s="267"/>
      <c r="T176" s="267"/>
      <c r="U176" s="267"/>
      <c r="V176" s="267"/>
      <c r="W176" s="267"/>
      <c r="X176" s="267"/>
      <c r="Y176" s="267"/>
      <c r="Z176" s="267"/>
      <c r="AA176" s="267"/>
      <c r="AB176" s="267"/>
      <c r="AE176" s="309"/>
      <c r="AF176" s="279">
        <f t="shared" si="44"/>
        <v>3.5714285714285587E-2</v>
      </c>
    </row>
    <row r="177" spans="2:34">
      <c r="B177" s="275" t="s">
        <v>341</v>
      </c>
      <c r="E177" s="102">
        <v>37294946</v>
      </c>
      <c r="G177" s="102">
        <f>ROUND(E177*($G$182-$G$181)/($E$182-$E$181),0)</f>
        <v>41504261</v>
      </c>
      <c r="I177" s="332">
        <v>10.905099999999999</v>
      </c>
      <c r="J177" s="286" t="s">
        <v>314</v>
      </c>
      <c r="K177" s="267">
        <f>ROUND($I177*E177/100,0)</f>
        <v>4067051</v>
      </c>
      <c r="M177" s="267">
        <f>ROUND($I177*G177/100,0)</f>
        <v>4526081</v>
      </c>
      <c r="O177" s="332">
        <f t="shared" si="43"/>
        <v>11.3064</v>
      </c>
      <c r="P177" s="286" t="s">
        <v>314</v>
      </c>
      <c r="Q177" s="267">
        <f>ROUND(O177*$G177/100,0)</f>
        <v>4692638</v>
      </c>
      <c r="R177" s="267"/>
      <c r="S177" s="267"/>
      <c r="T177" s="267"/>
      <c r="U177" s="267"/>
      <c r="V177" s="267"/>
      <c r="W177" s="267"/>
      <c r="X177" s="267"/>
      <c r="Y177" s="267"/>
      <c r="Z177" s="267"/>
      <c r="AA177" s="267"/>
      <c r="AB177" s="301"/>
      <c r="AF177" s="279">
        <f t="shared" si="44"/>
        <v>3.6799295742359073E-2</v>
      </c>
    </row>
    <row r="178" spans="2:34">
      <c r="B178" s="275" t="s">
        <v>342</v>
      </c>
      <c r="E178" s="102">
        <v>41883950.206693761</v>
      </c>
      <c r="F178" s="299"/>
      <c r="G178" s="102">
        <f>ROUND(E178*($G$182-$G$181)/($E$182-$E$181),0)</f>
        <v>46611205</v>
      </c>
      <c r="H178" s="299"/>
      <c r="I178" s="332">
        <v>3.2831999999999999</v>
      </c>
      <c r="J178" s="286" t="s">
        <v>314</v>
      </c>
      <c r="K178" s="267">
        <f>ROUND($I178*E178/100,0)</f>
        <v>1375134</v>
      </c>
      <c r="L178" s="299"/>
      <c r="M178" s="267">
        <f>ROUND($I178*G178/100,0)</f>
        <v>1530339</v>
      </c>
      <c r="N178" s="299"/>
      <c r="O178" s="332">
        <f t="shared" si="43"/>
        <v>3.4039999999999999</v>
      </c>
      <c r="P178" s="286" t="s">
        <v>314</v>
      </c>
      <c r="Q178" s="267">
        <f>ROUND(O178*$G178/100,0)</f>
        <v>1586645</v>
      </c>
      <c r="R178" s="267"/>
      <c r="S178" s="267"/>
      <c r="T178" s="267"/>
      <c r="U178" s="267"/>
      <c r="V178" s="267"/>
      <c r="W178" s="267"/>
      <c r="X178" s="267"/>
      <c r="Y178" s="267"/>
      <c r="Z178" s="267"/>
      <c r="AA178" s="267"/>
      <c r="AB178" s="301"/>
      <c r="AF178" s="279">
        <f t="shared" si="44"/>
        <v>3.6793372319688045E-2</v>
      </c>
      <c r="AG178" s="309"/>
    </row>
    <row r="179" spans="2:34">
      <c r="B179" s="275" t="s">
        <v>367</v>
      </c>
      <c r="E179" s="102">
        <v>62332660</v>
      </c>
      <c r="G179" s="102">
        <f>ROUND(E179*($G$182-$G$181)/($E$182-$E$181),0)</f>
        <v>69367870</v>
      </c>
      <c r="I179" s="332">
        <v>9.1155000000000008</v>
      </c>
      <c r="J179" s="286" t="s">
        <v>314</v>
      </c>
      <c r="K179" s="267">
        <f>ROUND($I179*E179/100,0)</f>
        <v>5681934</v>
      </c>
      <c r="M179" s="267">
        <f>ROUND($I179*G179/100,0)</f>
        <v>6323228</v>
      </c>
      <c r="O179" s="332">
        <f t="shared" si="43"/>
        <v>9.4509000000000007</v>
      </c>
      <c r="P179" s="286" t="s">
        <v>314</v>
      </c>
      <c r="Q179" s="267">
        <f>ROUND(O179*$G179/100,0)</f>
        <v>6555888</v>
      </c>
      <c r="R179" s="267"/>
      <c r="S179" s="267"/>
      <c r="T179" s="267"/>
      <c r="U179" s="267"/>
      <c r="V179" s="267"/>
      <c r="W179" s="267"/>
      <c r="X179" s="267"/>
      <c r="Y179" s="267"/>
      <c r="Z179" s="267"/>
      <c r="AA179" s="267"/>
      <c r="AB179" s="301"/>
      <c r="AF179" s="279">
        <f t="shared" si="44"/>
        <v>3.6794470956063918E-2</v>
      </c>
    </row>
    <row r="180" spans="2:34">
      <c r="B180" s="275" t="s">
        <v>368</v>
      </c>
      <c r="E180" s="102">
        <v>59630564.51926738</v>
      </c>
      <c r="F180" s="299"/>
      <c r="G180" s="102">
        <f>G182-G177-G178-G179</f>
        <v>66360801</v>
      </c>
      <c r="H180" s="299"/>
      <c r="I180" s="332">
        <v>2.7524999999999999</v>
      </c>
      <c r="J180" s="286" t="s">
        <v>314</v>
      </c>
      <c r="K180" s="267">
        <f>ROUND($I180*E180/100,0)</f>
        <v>1641331</v>
      </c>
      <c r="L180" s="299"/>
      <c r="M180" s="267">
        <f>ROUND($I180*G180/100,0)</f>
        <v>1826581</v>
      </c>
      <c r="N180" s="299"/>
      <c r="O180" s="332">
        <f t="shared" si="43"/>
        <v>2.8584999999999998</v>
      </c>
      <c r="P180" s="286" t="s">
        <v>314</v>
      </c>
      <c r="Q180" s="267">
        <f>ROUND(O180*$G180/100,0)</f>
        <v>1896923</v>
      </c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301"/>
      <c r="AC180" s="264" t="s">
        <v>315</v>
      </c>
      <c r="AD180" s="315">
        <f>Q182/M182-1</f>
        <v>3.6979061564294202E-2</v>
      </c>
      <c r="AF180" s="279">
        <f t="shared" si="44"/>
        <v>3.8510445049954489E-2</v>
      </c>
      <c r="AH180" s="309"/>
    </row>
    <row r="181" spans="2:34">
      <c r="B181" s="275" t="s">
        <v>333</v>
      </c>
      <c r="E181" s="103">
        <v>667764</v>
      </c>
      <c r="G181" s="103">
        <v>0</v>
      </c>
      <c r="K181" s="308">
        <v>30388</v>
      </c>
      <c r="M181" s="308">
        <v>0</v>
      </c>
      <c r="Q181" s="308">
        <v>0</v>
      </c>
      <c r="R181" s="301"/>
      <c r="S181" s="301"/>
      <c r="T181" s="301"/>
      <c r="U181" s="301"/>
      <c r="V181" s="301"/>
      <c r="W181" s="301"/>
      <c r="X181" s="301"/>
      <c r="Y181" s="301"/>
      <c r="Z181" s="301"/>
      <c r="AA181" s="301"/>
      <c r="AC181" s="264" t="s">
        <v>336</v>
      </c>
      <c r="AD181" s="327">
        <f>(Q182)/(M182)-1</f>
        <v>3.6979061564294202E-2</v>
      </c>
    </row>
    <row r="182" spans="2:34" ht="16.5" thickBot="1">
      <c r="B182" s="275" t="s">
        <v>334</v>
      </c>
      <c r="E182" s="325">
        <f>E177+E178+E181+E179+E180</f>
        <v>201809884.72596115</v>
      </c>
      <c r="G182" s="325">
        <v>223844137</v>
      </c>
      <c r="I182" s="318"/>
      <c r="K182" s="319">
        <f>SUM(K173:K181)</f>
        <v>21417951</v>
      </c>
      <c r="M182" s="319">
        <f>SUM(M173:M181)</f>
        <v>23860665</v>
      </c>
      <c r="O182" s="318"/>
      <c r="Q182" s="319">
        <f>SUM(Q173:Q181)</f>
        <v>24743010</v>
      </c>
      <c r="R182" s="301"/>
      <c r="S182" s="301"/>
      <c r="T182" s="301"/>
      <c r="U182" s="301"/>
      <c r="V182" s="301"/>
      <c r="W182" s="301"/>
      <c r="X182" s="301"/>
      <c r="Y182" s="301"/>
      <c r="Z182" s="301"/>
      <c r="AA182" s="301"/>
      <c r="AD182" s="309"/>
    </row>
    <row r="183" spans="2:34" ht="16.5" thickTop="1">
      <c r="E183" s="102"/>
      <c r="G183" s="102"/>
      <c r="AB183" s="267"/>
    </row>
    <row r="184" spans="2:34">
      <c r="B184" s="272" t="s">
        <v>233</v>
      </c>
      <c r="E184" s="102"/>
      <c r="G184" s="102"/>
      <c r="I184" s="322"/>
      <c r="J184" s="330"/>
      <c r="O184" s="322"/>
      <c r="P184" s="330"/>
      <c r="AB184" s="267"/>
    </row>
    <row r="185" spans="2:34">
      <c r="B185" s="275" t="s">
        <v>345</v>
      </c>
      <c r="E185" s="102">
        <v>3029.5988148148163</v>
      </c>
      <c r="G185" s="102">
        <v>3174</v>
      </c>
      <c r="I185" s="300">
        <v>50</v>
      </c>
      <c r="J185" s="299"/>
      <c r="K185" s="267">
        <f>ROUND($I185*E185,0)</f>
        <v>151480</v>
      </c>
      <c r="M185" s="267">
        <f>ROUND($I185*G185,0)</f>
        <v>158700</v>
      </c>
      <c r="O185" s="300">
        <f t="shared" ref="O185:O192" si="45">O161</f>
        <v>52</v>
      </c>
      <c r="P185" s="299"/>
      <c r="Q185" s="267">
        <f>ROUND(O185*$G185,0)</f>
        <v>165048</v>
      </c>
      <c r="R185" s="267"/>
      <c r="S185" s="267"/>
      <c r="T185" s="267"/>
      <c r="U185" s="267"/>
      <c r="V185" s="267"/>
      <c r="W185" s="267"/>
      <c r="X185" s="267"/>
      <c r="Y185" s="267"/>
      <c r="Z185" s="267"/>
      <c r="AA185" s="267"/>
      <c r="AB185" s="267"/>
      <c r="AF185" s="279">
        <f t="shared" ref="AF185:AF192" si="46">O185/I185-1</f>
        <v>4.0000000000000036E-2</v>
      </c>
    </row>
    <row r="186" spans="2:34">
      <c r="B186" s="275" t="s">
        <v>365</v>
      </c>
      <c r="E186" s="102">
        <v>173139.66427638329</v>
      </c>
      <c r="G186" s="102">
        <f>ROUND(E186*$G$194/$E$194,0)</f>
        <v>161999</v>
      </c>
      <c r="I186" s="300">
        <v>5.96</v>
      </c>
      <c r="J186" s="299"/>
      <c r="K186" s="267">
        <f>ROUND($I186*E186,0)</f>
        <v>1031912</v>
      </c>
      <c r="M186" s="267">
        <f>ROUND($I186*G186,0)</f>
        <v>965514</v>
      </c>
      <c r="O186" s="300">
        <f t="shared" si="45"/>
        <v>6.18</v>
      </c>
      <c r="P186" s="299"/>
      <c r="Q186" s="267">
        <f>ROUND(O186*$G186,0)</f>
        <v>1001154</v>
      </c>
      <c r="R186" s="267"/>
      <c r="S186" s="267"/>
      <c r="T186" s="267"/>
      <c r="U186" s="267"/>
      <c r="V186" s="267"/>
      <c r="W186" s="267"/>
      <c r="X186" s="267"/>
      <c r="Y186" s="267"/>
      <c r="Z186" s="267"/>
      <c r="AA186" s="267"/>
      <c r="AB186" s="267"/>
      <c r="AF186" s="279">
        <f t="shared" si="46"/>
        <v>3.691275167785224E-2</v>
      </c>
    </row>
    <row r="187" spans="2:34">
      <c r="B187" s="275" t="s">
        <v>366</v>
      </c>
      <c r="E187" s="102">
        <v>209267.76222222199</v>
      </c>
      <c r="G187" s="102">
        <f>ROUND(E187*$G$194/$E$194,0)</f>
        <v>195803</v>
      </c>
      <c r="I187" s="300">
        <v>5</v>
      </c>
      <c r="J187" s="299"/>
      <c r="K187" s="267">
        <f>ROUND($I187*E187,0)</f>
        <v>1046339</v>
      </c>
      <c r="M187" s="267">
        <f>ROUND($I187*G187,0)</f>
        <v>979015</v>
      </c>
      <c r="O187" s="300">
        <f t="shared" si="45"/>
        <v>5.18</v>
      </c>
      <c r="P187" s="299"/>
      <c r="Q187" s="267">
        <f>ROUND(O187*$G187,0)</f>
        <v>1014260</v>
      </c>
      <c r="R187" s="267"/>
      <c r="S187" s="267"/>
      <c r="T187" s="267"/>
      <c r="U187" s="267"/>
      <c r="V187" s="267"/>
      <c r="W187" s="267"/>
      <c r="X187" s="267"/>
      <c r="Y187" s="267"/>
      <c r="Z187" s="267"/>
      <c r="AA187" s="267"/>
      <c r="AB187" s="267"/>
      <c r="AF187" s="279">
        <f t="shared" si="46"/>
        <v>3.6000000000000032E-2</v>
      </c>
    </row>
    <row r="188" spans="2:34">
      <c r="B188" s="275" t="s">
        <v>348</v>
      </c>
      <c r="E188" s="102">
        <v>13977.78</v>
      </c>
      <c r="F188" s="299"/>
      <c r="G188" s="102">
        <f>ROUND(E188*$G$194/$E$194,0)</f>
        <v>13078</v>
      </c>
      <c r="H188" s="299"/>
      <c r="I188" s="300">
        <v>-0.56000000000000005</v>
      </c>
      <c r="J188" s="299"/>
      <c r="K188" s="267">
        <f>ROUND($I188*E188,0)</f>
        <v>-7828</v>
      </c>
      <c r="L188" s="299"/>
      <c r="M188" s="267">
        <f>ROUND($I188*G188,0)</f>
        <v>-7324</v>
      </c>
      <c r="N188" s="299"/>
      <c r="O188" s="300">
        <f t="shared" si="45"/>
        <v>-0.57999999999999996</v>
      </c>
      <c r="P188" s="299"/>
      <c r="Q188" s="267">
        <f>ROUND(O188*$G188,0)</f>
        <v>-7585</v>
      </c>
      <c r="R188" s="267"/>
      <c r="S188" s="267"/>
      <c r="T188" s="267"/>
      <c r="U188" s="267"/>
      <c r="V188" s="267"/>
      <c r="W188" s="267"/>
      <c r="X188" s="267"/>
      <c r="Y188" s="267"/>
      <c r="Z188" s="267"/>
      <c r="AA188" s="267"/>
      <c r="AB188" s="267"/>
      <c r="AE188" s="309"/>
      <c r="AF188" s="279">
        <f t="shared" si="46"/>
        <v>3.5714285714285587E-2</v>
      </c>
    </row>
    <row r="189" spans="2:34">
      <c r="B189" s="275" t="s">
        <v>341</v>
      </c>
      <c r="E189" s="102">
        <v>17255094</v>
      </c>
      <c r="F189" s="299"/>
      <c r="G189" s="102">
        <f>ROUND(E189*($G$194-$G$193)/($E$194-$E$193),0)</f>
        <v>16227687</v>
      </c>
      <c r="H189" s="299"/>
      <c r="I189" s="332">
        <v>10.905099999999999</v>
      </c>
      <c r="J189" s="286" t="s">
        <v>314</v>
      </c>
      <c r="K189" s="267">
        <f>ROUND($I189*E189/100,0)</f>
        <v>1881685</v>
      </c>
      <c r="L189" s="299"/>
      <c r="M189" s="267">
        <f>ROUND($I189*G189/100,0)</f>
        <v>1769645</v>
      </c>
      <c r="N189" s="299"/>
      <c r="O189" s="332">
        <f t="shared" si="45"/>
        <v>11.3064</v>
      </c>
      <c r="P189" s="286" t="s">
        <v>314</v>
      </c>
      <c r="Q189" s="267">
        <f>ROUND(O189*$G189/100,0)</f>
        <v>1834767</v>
      </c>
      <c r="R189" s="267"/>
      <c r="S189" s="267"/>
      <c r="T189" s="267"/>
      <c r="U189" s="267"/>
      <c r="V189" s="267"/>
      <c r="W189" s="267"/>
      <c r="X189" s="267"/>
      <c r="Y189" s="267"/>
      <c r="Z189" s="267"/>
      <c r="AA189" s="267"/>
      <c r="AB189" s="301"/>
      <c r="AF189" s="279">
        <f t="shared" si="46"/>
        <v>3.6799295742359073E-2</v>
      </c>
    </row>
    <row r="190" spans="2:34">
      <c r="B190" s="275" t="s">
        <v>342</v>
      </c>
      <c r="E190" s="102">
        <v>12534567.365706181</v>
      </c>
      <c r="F190" s="299"/>
      <c r="G190" s="102">
        <f>ROUND(E190*($G$194-$G$193)/($E$194-$E$193),0)</f>
        <v>11788231</v>
      </c>
      <c r="H190" s="299"/>
      <c r="I190" s="332">
        <v>3.2831999999999999</v>
      </c>
      <c r="J190" s="286" t="s">
        <v>314</v>
      </c>
      <c r="K190" s="267">
        <f>ROUND($I190*E190/100,0)</f>
        <v>411535</v>
      </c>
      <c r="L190" s="299"/>
      <c r="M190" s="267">
        <f>ROUND($I190*G190/100,0)</f>
        <v>387031</v>
      </c>
      <c r="N190" s="299"/>
      <c r="O190" s="332">
        <f t="shared" si="45"/>
        <v>3.4039999999999999</v>
      </c>
      <c r="P190" s="286" t="s">
        <v>314</v>
      </c>
      <c r="Q190" s="267">
        <f>ROUND(O190*$G190/100,0)</f>
        <v>401271</v>
      </c>
      <c r="R190" s="267"/>
      <c r="S190" s="267"/>
      <c r="T190" s="267"/>
      <c r="U190" s="267"/>
      <c r="V190" s="267"/>
      <c r="W190" s="267"/>
      <c r="X190" s="267"/>
      <c r="Y190" s="267"/>
      <c r="Z190" s="267"/>
      <c r="AA190" s="267"/>
      <c r="AB190" s="301"/>
      <c r="AF190" s="279">
        <f t="shared" si="46"/>
        <v>3.6793372319688045E-2</v>
      </c>
      <c r="AG190" s="309"/>
    </row>
    <row r="191" spans="2:34">
      <c r="B191" s="275" t="s">
        <v>367</v>
      </c>
      <c r="E191" s="102">
        <v>17272261</v>
      </c>
      <c r="F191" s="299"/>
      <c r="G191" s="102">
        <f>ROUND(E191*($G$194-$G$193)/($E$194-$E$193),0)</f>
        <v>16243832</v>
      </c>
      <c r="H191" s="299"/>
      <c r="I191" s="332">
        <v>9.1155000000000008</v>
      </c>
      <c r="J191" s="286" t="s">
        <v>314</v>
      </c>
      <c r="K191" s="267">
        <f>ROUND($I191*E191/100,0)</f>
        <v>1574453</v>
      </c>
      <c r="L191" s="299"/>
      <c r="M191" s="267">
        <f>ROUND($I191*G191/100,0)</f>
        <v>1480707</v>
      </c>
      <c r="N191" s="299"/>
      <c r="O191" s="332">
        <f t="shared" si="45"/>
        <v>9.4509000000000007</v>
      </c>
      <c r="P191" s="286" t="s">
        <v>314</v>
      </c>
      <c r="Q191" s="267">
        <f>ROUND(O191*$G191/100,0)</f>
        <v>1535188</v>
      </c>
      <c r="R191" s="267"/>
      <c r="S191" s="267"/>
      <c r="T191" s="267"/>
      <c r="U191" s="267"/>
      <c r="V191" s="267"/>
      <c r="W191" s="267"/>
      <c r="X191" s="267"/>
      <c r="Y191" s="267"/>
      <c r="Z191" s="267"/>
      <c r="AA191" s="267"/>
      <c r="AB191" s="301"/>
      <c r="AF191" s="279">
        <f t="shared" si="46"/>
        <v>3.6794470956063918E-2</v>
      </c>
    </row>
    <row r="192" spans="2:34">
      <c r="B192" s="275" t="s">
        <v>368</v>
      </c>
      <c r="E192" s="102">
        <v>10240965.064062424</v>
      </c>
      <c r="F192" s="299"/>
      <c r="G192" s="102">
        <f>G194-G189-G190-G191</f>
        <v>9631195</v>
      </c>
      <c r="H192" s="299"/>
      <c r="I192" s="332">
        <v>2.7524999999999999</v>
      </c>
      <c r="J192" s="286" t="s">
        <v>314</v>
      </c>
      <c r="K192" s="267">
        <f>ROUND($I192*E192/100,0)</f>
        <v>281883</v>
      </c>
      <c r="L192" s="299"/>
      <c r="M192" s="267">
        <f>ROUND($I192*G192/100,0)</f>
        <v>265099</v>
      </c>
      <c r="N192" s="299"/>
      <c r="O192" s="332">
        <f t="shared" si="45"/>
        <v>2.8584999999999998</v>
      </c>
      <c r="P192" s="286" t="s">
        <v>314</v>
      </c>
      <c r="Q192" s="267">
        <f>ROUND(O192*$G192/100,0)</f>
        <v>275308</v>
      </c>
      <c r="R192" s="267"/>
      <c r="S192" s="267"/>
      <c r="T192" s="267"/>
      <c r="U192" s="267"/>
      <c r="V192" s="267"/>
      <c r="W192" s="267"/>
      <c r="X192" s="267"/>
      <c r="Y192" s="267"/>
      <c r="Z192" s="267"/>
      <c r="AA192" s="267"/>
      <c r="AB192" s="301"/>
      <c r="AC192" s="264" t="s">
        <v>315</v>
      </c>
      <c r="AD192" s="315">
        <f>Q194/M194-1</f>
        <v>3.684723909944454E-2</v>
      </c>
      <c r="AF192" s="279">
        <f t="shared" si="46"/>
        <v>3.8510445049954489E-2</v>
      </c>
      <c r="AH192" s="309"/>
    </row>
    <row r="193" spans="2:32">
      <c r="B193" s="275" t="s">
        <v>333</v>
      </c>
      <c r="E193" s="103">
        <v>294057</v>
      </c>
      <c r="G193" s="103">
        <v>0</v>
      </c>
      <c r="K193" s="308">
        <v>14880</v>
      </c>
      <c r="M193" s="308">
        <v>0</v>
      </c>
      <c r="Q193" s="308">
        <v>0</v>
      </c>
      <c r="R193" s="301"/>
      <c r="S193" s="301"/>
      <c r="T193" s="301"/>
      <c r="U193" s="301"/>
      <c r="V193" s="301"/>
      <c r="W193" s="301"/>
      <c r="X193" s="301"/>
      <c r="Y193" s="301"/>
      <c r="Z193" s="301"/>
      <c r="AA193" s="301"/>
      <c r="AC193" s="264" t="s">
        <v>336</v>
      </c>
      <c r="AD193" s="327">
        <f>(Q194)/(M194)-1</f>
        <v>3.684723909944454E-2</v>
      </c>
    </row>
    <row r="194" spans="2:32" ht="16.5" thickBot="1">
      <c r="B194" s="275" t="s">
        <v>334</v>
      </c>
      <c r="E194" s="325">
        <f>E189+E190+E193+E191+E192</f>
        <v>57596944.429768607</v>
      </c>
      <c r="F194" s="299"/>
      <c r="G194" s="325">
        <v>53890945</v>
      </c>
      <c r="H194" s="299"/>
      <c r="I194" s="318"/>
      <c r="K194" s="319">
        <f>SUM(K185:K193)</f>
        <v>6386339</v>
      </c>
      <c r="M194" s="319">
        <f>SUM(M185:M193)</f>
        <v>5998387</v>
      </c>
      <c r="N194" s="299"/>
      <c r="O194" s="318"/>
      <c r="Q194" s="319">
        <f>SUM(Q185:Q193)</f>
        <v>6219411</v>
      </c>
      <c r="R194" s="301"/>
      <c r="S194" s="301"/>
      <c r="T194" s="301"/>
      <c r="U194" s="301"/>
      <c r="V194" s="301"/>
      <c r="W194" s="301"/>
      <c r="X194" s="301"/>
      <c r="Y194" s="301"/>
      <c r="Z194" s="301"/>
      <c r="AA194" s="301"/>
      <c r="AD194" s="309"/>
    </row>
    <row r="195" spans="2:32" ht="16.5" thickTop="1">
      <c r="F195" s="299"/>
      <c r="H195" s="299"/>
      <c r="L195" s="299"/>
      <c r="N195" s="299"/>
      <c r="AB195" s="267"/>
    </row>
    <row r="196" spans="2:32">
      <c r="B196" s="272" t="s">
        <v>234</v>
      </c>
      <c r="E196" s="102"/>
      <c r="G196" s="102"/>
      <c r="AB196" s="267"/>
      <c r="AD196" s="264"/>
      <c r="AE196" s="317"/>
      <c r="AF196" s="317"/>
    </row>
    <row r="197" spans="2:32">
      <c r="B197" s="333" t="s">
        <v>235</v>
      </c>
      <c r="E197" s="102"/>
      <c r="G197" s="102"/>
      <c r="K197" s="267"/>
      <c r="M197" s="267"/>
      <c r="Q197" s="267"/>
      <c r="R197" s="267"/>
      <c r="S197" s="267"/>
      <c r="T197" s="267"/>
      <c r="U197" s="267"/>
      <c r="V197" s="267"/>
      <c r="W197" s="267"/>
      <c r="X197" s="267"/>
      <c r="Y197" s="267"/>
      <c r="Z197" s="267"/>
      <c r="AA197" s="267"/>
      <c r="AB197" s="267"/>
      <c r="AC197" s="99"/>
      <c r="AD197" s="99"/>
      <c r="AE197" s="317"/>
      <c r="AF197" s="317"/>
    </row>
    <row r="198" spans="2:32">
      <c r="B198" s="275" t="s">
        <v>236</v>
      </c>
      <c r="C198" s="264">
        <v>29</v>
      </c>
      <c r="E198" s="102">
        <v>24</v>
      </c>
      <c r="G198" s="102">
        <f>ROUND(E198*$G$231/$E$231,0)</f>
        <v>23</v>
      </c>
      <c r="I198" s="99">
        <v>5.68</v>
      </c>
      <c r="J198" s="276"/>
      <c r="K198" s="267">
        <f>ROUND(I198*$E198,0)</f>
        <v>136</v>
      </c>
      <c r="M198" s="267">
        <f>ROUND(I198*$G198,0)</f>
        <v>131</v>
      </c>
      <c r="O198" s="99">
        <f>ROUND(I198*(1+AD$230),2)</f>
        <v>5.68</v>
      </c>
      <c r="P198" s="276"/>
      <c r="Q198" s="300">
        <f>ROUND(O198*$G198,0)</f>
        <v>131</v>
      </c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267"/>
      <c r="AC198" s="99"/>
      <c r="AD198" s="99"/>
      <c r="AE198" s="317"/>
      <c r="AF198" s="279">
        <f t="shared" ref="AF198:AF213" si="47">O198/I198-1</f>
        <v>0</v>
      </c>
    </row>
    <row r="199" spans="2:32">
      <c r="B199" s="275" t="s">
        <v>237</v>
      </c>
      <c r="C199" s="264">
        <v>1</v>
      </c>
      <c r="E199" s="102">
        <v>46731.085643869221</v>
      </c>
      <c r="G199" s="102">
        <f>ROUND(E199*$G$231/$E$231,0)</f>
        <v>44936</v>
      </c>
      <c r="I199" s="99">
        <v>16.38</v>
      </c>
      <c r="J199" s="276"/>
      <c r="K199" s="267">
        <f>ROUND(I199*$E199,0)</f>
        <v>765455</v>
      </c>
      <c r="M199" s="267">
        <f>ROUND(I199*$G199,0)</f>
        <v>736052</v>
      </c>
      <c r="O199" s="99">
        <f>ROUND(I199*(1+AD$230),2)</f>
        <v>16.38</v>
      </c>
      <c r="P199" s="276"/>
      <c r="Q199" s="267">
        <f>ROUND(O199*$G199,0)</f>
        <v>736052</v>
      </c>
      <c r="R199" s="267"/>
      <c r="S199" s="267"/>
      <c r="T199" s="267"/>
      <c r="U199" s="267"/>
      <c r="V199" s="267"/>
      <c r="W199" s="267"/>
      <c r="X199" s="267"/>
      <c r="Y199" s="267"/>
      <c r="Z199" s="267"/>
      <c r="AA199" s="267"/>
      <c r="AB199" s="267"/>
      <c r="AC199" s="99"/>
      <c r="AD199" s="99"/>
      <c r="AE199" s="317"/>
      <c r="AF199" s="279">
        <f t="shared" si="47"/>
        <v>0</v>
      </c>
    </row>
    <row r="200" spans="2:32">
      <c r="B200" s="275" t="s">
        <v>238</v>
      </c>
      <c r="C200" s="264">
        <v>28</v>
      </c>
      <c r="E200" s="102">
        <v>276</v>
      </c>
      <c r="G200" s="102">
        <f>ROUND(E200*$G$231/$E$231,0)</f>
        <v>265</v>
      </c>
      <c r="I200" s="99">
        <v>8.0500000000000007</v>
      </c>
      <c r="J200" s="276"/>
      <c r="K200" s="267">
        <f>ROUND(I200*$E200,0)</f>
        <v>2222</v>
      </c>
      <c r="M200" s="267">
        <f>ROUND(I200*$G200,0)</f>
        <v>2133</v>
      </c>
      <c r="O200" s="99">
        <f>ROUND(I200*(1+AD$230),2)</f>
        <v>8.0500000000000007</v>
      </c>
      <c r="P200" s="276"/>
      <c r="Q200" s="267">
        <f>ROUND(O200*$G200,0)</f>
        <v>2133</v>
      </c>
      <c r="R200" s="267"/>
      <c r="S200" s="267"/>
      <c r="T200" s="267"/>
      <c r="U200" s="267"/>
      <c r="V200" s="267"/>
      <c r="W200" s="267"/>
      <c r="X200" s="267"/>
      <c r="Y200" s="267"/>
      <c r="Z200" s="267"/>
      <c r="AA200" s="267"/>
      <c r="AB200" s="267"/>
      <c r="AD200" s="264"/>
      <c r="AE200" s="317"/>
      <c r="AF200" s="279">
        <f t="shared" si="47"/>
        <v>0</v>
      </c>
    </row>
    <row r="201" spans="2:32">
      <c r="B201" s="275" t="s">
        <v>239</v>
      </c>
      <c r="C201" s="264">
        <v>2</v>
      </c>
      <c r="E201" s="102">
        <v>12006.937806257065</v>
      </c>
      <c r="G201" s="102">
        <f>ROUND(E201*$G$231/$E$231,0)</f>
        <v>11546</v>
      </c>
      <c r="I201" s="99">
        <v>26.78</v>
      </c>
      <c r="J201" s="276"/>
      <c r="K201" s="267">
        <f>ROUND(I201*$E201,0)</f>
        <v>321546</v>
      </c>
      <c r="M201" s="267">
        <f>ROUND(I201*$G201,0)</f>
        <v>309202</v>
      </c>
      <c r="O201" s="99">
        <f>ROUND(I201*(1+AD$230),2)</f>
        <v>26.78</v>
      </c>
      <c r="P201" s="276"/>
      <c r="Q201" s="267">
        <f>ROUND(O201*$G201,0)</f>
        <v>309202</v>
      </c>
      <c r="R201" s="267"/>
      <c r="S201" s="267"/>
      <c r="T201" s="267"/>
      <c r="U201" s="267"/>
      <c r="V201" s="267"/>
      <c r="W201" s="267"/>
      <c r="X201" s="267"/>
      <c r="Y201" s="267"/>
      <c r="Z201" s="267"/>
      <c r="AA201" s="267"/>
      <c r="AB201" s="267"/>
      <c r="AC201" s="99"/>
      <c r="AD201" s="99"/>
      <c r="AE201" s="317"/>
      <c r="AF201" s="279">
        <f t="shared" si="47"/>
        <v>0</v>
      </c>
    </row>
    <row r="202" spans="2:32">
      <c r="B202" s="333" t="s">
        <v>240</v>
      </c>
      <c r="E202" s="102"/>
      <c r="G202" s="102"/>
      <c r="K202" s="267"/>
      <c r="M202" s="267"/>
      <c r="Q202" s="267"/>
      <c r="R202" s="267"/>
      <c r="S202" s="267"/>
      <c r="T202" s="267"/>
      <c r="U202" s="267"/>
      <c r="V202" s="267"/>
      <c r="W202" s="267"/>
      <c r="X202" s="267"/>
      <c r="Y202" s="267"/>
      <c r="Z202" s="267"/>
      <c r="AA202" s="267"/>
      <c r="AB202" s="267"/>
      <c r="AC202" s="99"/>
      <c r="AD202" s="99"/>
      <c r="AE202" s="317"/>
      <c r="AF202" s="279"/>
    </row>
    <row r="203" spans="2:32">
      <c r="B203" s="275" t="s">
        <v>241</v>
      </c>
      <c r="C203" s="264">
        <v>3</v>
      </c>
      <c r="E203" s="102">
        <v>3626.8001383125898</v>
      </c>
      <c r="G203" s="102">
        <f t="shared" ref="G203:G213" si="48">ROUND(E203*$G$231/$E$231,0)</f>
        <v>3488</v>
      </c>
      <c r="I203" s="99">
        <v>14.6</v>
      </c>
      <c r="J203" s="276"/>
      <c r="K203" s="267">
        <f t="shared" ref="K203:K213" si="49">ROUND(I203*$E203,0)</f>
        <v>52951</v>
      </c>
      <c r="M203" s="267">
        <f t="shared" ref="M203:M213" si="50">ROUND(I203*$G203,0)</f>
        <v>50925</v>
      </c>
      <c r="O203" s="99">
        <f t="shared" ref="O203:O213" si="51">ROUND(I203*(1+AD$230),2)</f>
        <v>14.6</v>
      </c>
      <c r="P203" s="276"/>
      <c r="Q203" s="267">
        <f t="shared" ref="Q203:Q213" si="52">ROUND(O203*$G203,0)</f>
        <v>50925</v>
      </c>
      <c r="R203" s="267"/>
      <c r="S203" s="267"/>
      <c r="T203" s="267"/>
      <c r="U203" s="267"/>
      <c r="V203" s="267"/>
      <c r="W203" s="267"/>
      <c r="X203" s="267"/>
      <c r="Y203" s="267"/>
      <c r="Z203" s="267"/>
      <c r="AA203" s="267"/>
      <c r="AB203" s="267"/>
      <c r="AC203" s="99"/>
      <c r="AD203" s="99"/>
      <c r="AE203" s="317"/>
      <c r="AF203" s="279">
        <f t="shared" si="47"/>
        <v>0</v>
      </c>
    </row>
    <row r="204" spans="2:32">
      <c r="B204" s="275" t="s">
        <v>242</v>
      </c>
      <c r="C204" s="264">
        <v>4</v>
      </c>
      <c r="E204" s="102">
        <v>1816.872112211217</v>
      </c>
      <c r="G204" s="102">
        <f t="shared" si="48"/>
        <v>1747</v>
      </c>
      <c r="I204" s="99">
        <v>12.23</v>
      </c>
      <c r="J204" s="276"/>
      <c r="K204" s="267">
        <f t="shared" si="49"/>
        <v>22220</v>
      </c>
      <c r="M204" s="267">
        <f t="shared" si="50"/>
        <v>21366</v>
      </c>
      <c r="O204" s="99">
        <f t="shared" si="51"/>
        <v>12.23</v>
      </c>
      <c r="P204" s="276"/>
      <c r="Q204" s="267">
        <f t="shared" si="52"/>
        <v>21366</v>
      </c>
      <c r="R204" s="267"/>
      <c r="S204" s="267"/>
      <c r="T204" s="267"/>
      <c r="U204" s="267"/>
      <c r="V204" s="267"/>
      <c r="W204" s="267"/>
      <c r="X204" s="267"/>
      <c r="Y204" s="267"/>
      <c r="Z204" s="267"/>
      <c r="AA204" s="267"/>
      <c r="AB204" s="267"/>
      <c r="AC204" s="99"/>
      <c r="AD204" s="99"/>
      <c r="AE204" s="317"/>
      <c r="AF204" s="279">
        <f t="shared" si="47"/>
        <v>0</v>
      </c>
    </row>
    <row r="205" spans="2:32">
      <c r="B205" s="275" t="s">
        <v>243</v>
      </c>
      <c r="C205" s="264">
        <v>5</v>
      </c>
      <c r="E205" s="102">
        <v>23973.750163078941</v>
      </c>
      <c r="G205" s="102">
        <f t="shared" si="48"/>
        <v>23053</v>
      </c>
      <c r="I205" s="99">
        <v>15.47</v>
      </c>
      <c r="J205" s="276"/>
      <c r="K205" s="267">
        <f t="shared" si="49"/>
        <v>370874</v>
      </c>
      <c r="M205" s="267">
        <f t="shared" si="50"/>
        <v>356630</v>
      </c>
      <c r="O205" s="99">
        <f t="shared" si="51"/>
        <v>15.47</v>
      </c>
      <c r="P205" s="276"/>
      <c r="Q205" s="267">
        <f t="shared" si="52"/>
        <v>356630</v>
      </c>
      <c r="R205" s="267"/>
      <c r="S205" s="267"/>
      <c r="T205" s="267"/>
      <c r="U205" s="267"/>
      <c r="V205" s="267"/>
      <c r="W205" s="267"/>
      <c r="X205" s="267"/>
      <c r="Y205" s="267"/>
      <c r="Z205" s="267"/>
      <c r="AA205" s="267"/>
      <c r="AB205" s="267"/>
      <c r="AC205" s="99"/>
      <c r="AD205" s="99"/>
      <c r="AE205" s="317"/>
      <c r="AF205" s="279">
        <f t="shared" si="47"/>
        <v>0</v>
      </c>
    </row>
    <row r="206" spans="2:32">
      <c r="B206" s="275" t="s">
        <v>244</v>
      </c>
      <c r="C206" s="264">
        <v>6</v>
      </c>
      <c r="E206" s="102">
        <v>23242.024260803628</v>
      </c>
      <c r="G206" s="102">
        <f t="shared" si="48"/>
        <v>22349</v>
      </c>
      <c r="I206" s="99">
        <v>13.31</v>
      </c>
      <c r="J206" s="276"/>
      <c r="K206" s="267">
        <f t="shared" si="49"/>
        <v>309351</v>
      </c>
      <c r="M206" s="267">
        <f t="shared" si="50"/>
        <v>297465</v>
      </c>
      <c r="O206" s="99">
        <f t="shared" si="51"/>
        <v>13.31</v>
      </c>
      <c r="P206" s="276"/>
      <c r="Q206" s="267">
        <f t="shared" si="52"/>
        <v>297465</v>
      </c>
      <c r="R206" s="267"/>
      <c r="S206" s="267"/>
      <c r="T206" s="267"/>
      <c r="U206" s="267"/>
      <c r="V206" s="267"/>
      <c r="W206" s="267"/>
      <c r="X206" s="267"/>
      <c r="Y206" s="267"/>
      <c r="Z206" s="267"/>
      <c r="AA206" s="267"/>
      <c r="AB206" s="267"/>
      <c r="AC206" s="99"/>
      <c r="AD206" s="99"/>
      <c r="AE206" s="317"/>
      <c r="AF206" s="279">
        <f t="shared" si="47"/>
        <v>0</v>
      </c>
    </row>
    <row r="207" spans="2:32">
      <c r="B207" s="275" t="s">
        <v>245</v>
      </c>
      <c r="C207" s="264">
        <v>7</v>
      </c>
      <c r="E207" s="102">
        <v>2713.9030082987542</v>
      </c>
      <c r="G207" s="102">
        <f t="shared" si="48"/>
        <v>2610</v>
      </c>
      <c r="I207" s="99">
        <v>19.46</v>
      </c>
      <c r="J207" s="276"/>
      <c r="K207" s="267">
        <f t="shared" si="49"/>
        <v>52813</v>
      </c>
      <c r="M207" s="267">
        <f t="shared" si="50"/>
        <v>50791</v>
      </c>
      <c r="O207" s="99">
        <f t="shared" si="51"/>
        <v>19.46</v>
      </c>
      <c r="P207" s="276"/>
      <c r="Q207" s="267">
        <f t="shared" si="52"/>
        <v>50791</v>
      </c>
      <c r="R207" s="267"/>
      <c r="S207" s="267"/>
      <c r="T207" s="267"/>
      <c r="U207" s="267"/>
      <c r="V207" s="267"/>
      <c r="W207" s="267"/>
      <c r="X207" s="267"/>
      <c r="Y207" s="267"/>
      <c r="Z207" s="267"/>
      <c r="AA207" s="267"/>
      <c r="AB207" s="267"/>
      <c r="AC207" s="99"/>
      <c r="AD207" s="99"/>
      <c r="AE207" s="317"/>
      <c r="AF207" s="279">
        <f t="shared" si="47"/>
        <v>0</v>
      </c>
    </row>
    <row r="208" spans="2:32">
      <c r="B208" s="275" t="s">
        <v>246</v>
      </c>
      <c r="C208" s="264">
        <v>8</v>
      </c>
      <c r="E208" s="102">
        <v>2746.4602239245751</v>
      </c>
      <c r="G208" s="102">
        <f t="shared" si="48"/>
        <v>2641</v>
      </c>
      <c r="I208" s="99">
        <v>17.13</v>
      </c>
      <c r="J208" s="276"/>
      <c r="K208" s="267">
        <f t="shared" si="49"/>
        <v>47047</v>
      </c>
      <c r="M208" s="267">
        <f t="shared" si="50"/>
        <v>45240</v>
      </c>
      <c r="O208" s="99">
        <f t="shared" si="51"/>
        <v>17.13</v>
      </c>
      <c r="P208" s="276"/>
      <c r="Q208" s="267">
        <f t="shared" si="52"/>
        <v>45240</v>
      </c>
      <c r="R208" s="267"/>
      <c r="S208" s="267"/>
      <c r="T208" s="267"/>
      <c r="U208" s="267"/>
      <c r="V208" s="267"/>
      <c r="W208" s="267"/>
      <c r="X208" s="267"/>
      <c r="Y208" s="267"/>
      <c r="Z208" s="267"/>
      <c r="AA208" s="267"/>
      <c r="AB208" s="267"/>
      <c r="AC208" s="99"/>
      <c r="AD208" s="99"/>
      <c r="AE208" s="317"/>
      <c r="AF208" s="279">
        <f t="shared" si="47"/>
        <v>0</v>
      </c>
    </row>
    <row r="209" spans="2:32">
      <c r="B209" s="275" t="s">
        <v>247</v>
      </c>
      <c r="C209" s="264">
        <v>9</v>
      </c>
      <c r="E209" s="102">
        <v>122.66650694777189</v>
      </c>
      <c r="G209" s="102">
        <f t="shared" si="48"/>
        <v>118</v>
      </c>
      <c r="I209" s="99">
        <v>21.07</v>
      </c>
      <c r="J209" s="276"/>
      <c r="K209" s="267">
        <f t="shared" si="49"/>
        <v>2585</v>
      </c>
      <c r="M209" s="267">
        <f t="shared" si="50"/>
        <v>2486</v>
      </c>
      <c r="O209" s="99">
        <f t="shared" si="51"/>
        <v>21.07</v>
      </c>
      <c r="P209" s="276"/>
      <c r="Q209" s="267">
        <f t="shared" si="52"/>
        <v>2486</v>
      </c>
      <c r="R209" s="267"/>
      <c r="S209" s="267"/>
      <c r="T209" s="267"/>
      <c r="U209" s="267"/>
      <c r="V209" s="267"/>
      <c r="W209" s="267"/>
      <c r="X209" s="267"/>
      <c r="Y209" s="267"/>
      <c r="Z209" s="267"/>
      <c r="AA209" s="267"/>
      <c r="AB209" s="267"/>
      <c r="AC209" s="99"/>
      <c r="AD209" s="99"/>
      <c r="AE209" s="317"/>
      <c r="AF209" s="279">
        <f t="shared" si="47"/>
        <v>0</v>
      </c>
    </row>
    <row r="210" spans="2:32">
      <c r="B210" s="275" t="s">
        <v>248</v>
      </c>
      <c r="C210" s="264">
        <v>10</v>
      </c>
      <c r="E210" s="102">
        <v>3360.826964362388</v>
      </c>
      <c r="G210" s="102">
        <f t="shared" si="48"/>
        <v>3232</v>
      </c>
      <c r="I210" s="99">
        <v>23.51</v>
      </c>
      <c r="J210" s="276"/>
      <c r="K210" s="267">
        <f t="shared" si="49"/>
        <v>79013</v>
      </c>
      <c r="M210" s="267">
        <f t="shared" si="50"/>
        <v>75984</v>
      </c>
      <c r="O210" s="99">
        <f t="shared" si="51"/>
        <v>23.51</v>
      </c>
      <c r="P210" s="276"/>
      <c r="Q210" s="267">
        <f t="shared" si="52"/>
        <v>75984</v>
      </c>
      <c r="R210" s="267"/>
      <c r="S210" s="267"/>
      <c r="T210" s="267"/>
      <c r="U210" s="267"/>
      <c r="V210" s="267"/>
      <c r="W210" s="267"/>
      <c r="X210" s="267"/>
      <c r="Y210" s="267"/>
      <c r="Z210" s="267"/>
      <c r="AA210" s="267"/>
      <c r="AB210" s="267"/>
      <c r="AC210" s="99"/>
      <c r="AD210" s="99"/>
      <c r="AE210" s="317"/>
      <c r="AF210" s="279">
        <f t="shared" si="47"/>
        <v>0</v>
      </c>
    </row>
    <row r="211" spans="2:32">
      <c r="B211" s="275" t="s">
        <v>249</v>
      </c>
      <c r="C211" s="264">
        <v>11</v>
      </c>
      <c r="E211" s="102">
        <v>3302.06609605326</v>
      </c>
      <c r="G211" s="102">
        <f t="shared" si="48"/>
        <v>3175</v>
      </c>
      <c r="I211" s="99">
        <v>21.23</v>
      </c>
      <c r="J211" s="276"/>
      <c r="K211" s="267">
        <f t="shared" si="49"/>
        <v>70103</v>
      </c>
      <c r="M211" s="267">
        <f t="shared" si="50"/>
        <v>67405</v>
      </c>
      <c r="O211" s="99">
        <f t="shared" si="51"/>
        <v>21.23</v>
      </c>
      <c r="P211" s="276"/>
      <c r="Q211" s="267">
        <f t="shared" si="52"/>
        <v>67405</v>
      </c>
      <c r="R211" s="267"/>
      <c r="S211" s="267"/>
      <c r="T211" s="267"/>
      <c r="U211" s="267"/>
      <c r="V211" s="267"/>
      <c r="W211" s="267"/>
      <c r="X211" s="267"/>
      <c r="Y211" s="267"/>
      <c r="Z211" s="267"/>
      <c r="AA211" s="267"/>
      <c r="AB211" s="267"/>
      <c r="AC211" s="99"/>
      <c r="AD211" s="99"/>
      <c r="AE211" s="317"/>
      <c r="AF211" s="279">
        <f t="shared" si="47"/>
        <v>0</v>
      </c>
    </row>
    <row r="212" spans="2:32">
      <c r="B212" s="275" t="s">
        <v>250</v>
      </c>
      <c r="C212" s="264">
        <v>12</v>
      </c>
      <c r="E212" s="102">
        <v>1212</v>
      </c>
      <c r="G212" s="102">
        <f t="shared" si="48"/>
        <v>1165</v>
      </c>
      <c r="I212" s="99">
        <v>28.3</v>
      </c>
      <c r="J212" s="276"/>
      <c r="K212" s="267">
        <f t="shared" si="49"/>
        <v>34300</v>
      </c>
      <c r="M212" s="267">
        <f t="shared" si="50"/>
        <v>32970</v>
      </c>
      <c r="O212" s="99">
        <f t="shared" si="51"/>
        <v>28.3</v>
      </c>
      <c r="P212" s="276"/>
      <c r="Q212" s="267">
        <f t="shared" si="52"/>
        <v>32970</v>
      </c>
      <c r="R212" s="267"/>
      <c r="S212" s="267"/>
      <c r="T212" s="267"/>
      <c r="U212" s="267"/>
      <c r="V212" s="267"/>
      <c r="W212" s="267"/>
      <c r="X212" s="267"/>
      <c r="Y212" s="267"/>
      <c r="Z212" s="267"/>
      <c r="AA212" s="267"/>
      <c r="AB212" s="267"/>
      <c r="AD212" s="264"/>
      <c r="AE212" s="317"/>
      <c r="AF212" s="279">
        <f t="shared" si="47"/>
        <v>0</v>
      </c>
    </row>
    <row r="213" spans="2:32">
      <c r="B213" s="275" t="s">
        <v>251</v>
      </c>
      <c r="C213" s="264">
        <v>13</v>
      </c>
      <c r="E213" s="102">
        <v>1906.86718446602</v>
      </c>
      <c r="G213" s="102">
        <f t="shared" si="48"/>
        <v>1834</v>
      </c>
      <c r="I213" s="99">
        <v>25.99</v>
      </c>
      <c r="J213" s="276"/>
      <c r="K213" s="267">
        <f t="shared" si="49"/>
        <v>49559</v>
      </c>
      <c r="M213" s="267">
        <f t="shared" si="50"/>
        <v>47666</v>
      </c>
      <c r="O213" s="99">
        <f t="shared" si="51"/>
        <v>25.99</v>
      </c>
      <c r="P213" s="276"/>
      <c r="Q213" s="267">
        <f t="shared" si="52"/>
        <v>47666</v>
      </c>
      <c r="R213" s="267"/>
      <c r="S213" s="267"/>
      <c r="T213" s="267"/>
      <c r="U213" s="267"/>
      <c r="V213" s="267"/>
      <c r="W213" s="267"/>
      <c r="X213" s="267"/>
      <c r="Y213" s="267"/>
      <c r="Z213" s="267"/>
      <c r="AA213" s="267"/>
      <c r="AB213" s="267"/>
      <c r="AC213" s="99"/>
      <c r="AD213" s="99"/>
      <c r="AE213" s="317"/>
      <c r="AF213" s="279">
        <f t="shared" si="47"/>
        <v>0</v>
      </c>
    </row>
    <row r="214" spans="2:32">
      <c r="B214" s="333" t="s">
        <v>252</v>
      </c>
      <c r="E214" s="102"/>
      <c r="G214" s="102"/>
      <c r="K214" s="267"/>
      <c r="M214" s="267"/>
      <c r="Q214" s="267"/>
      <c r="R214" s="267"/>
      <c r="S214" s="267"/>
      <c r="T214" s="267"/>
      <c r="U214" s="267"/>
      <c r="V214" s="267"/>
      <c r="W214" s="267"/>
      <c r="X214" s="267"/>
      <c r="Y214" s="267"/>
      <c r="Z214" s="267"/>
      <c r="AA214" s="267"/>
      <c r="AB214" s="267"/>
      <c r="AC214" s="99"/>
      <c r="AD214" s="99"/>
      <c r="AE214" s="317"/>
      <c r="AF214" s="317"/>
    </row>
    <row r="215" spans="2:32">
      <c r="B215" s="275" t="s">
        <v>245</v>
      </c>
      <c r="C215" s="264">
        <v>14</v>
      </c>
      <c r="E215" s="102">
        <v>4862.9030082987465</v>
      </c>
      <c r="G215" s="102">
        <f t="shared" ref="G215:G220" si="53">ROUND(E215*$G$231/$E$231,0)</f>
        <v>4676</v>
      </c>
      <c r="I215" s="99">
        <v>19.46</v>
      </c>
      <c r="J215" s="276"/>
      <c r="K215" s="267">
        <f t="shared" ref="K215:K220" si="54">ROUND(I215*$E215,0)</f>
        <v>94632</v>
      </c>
      <c r="M215" s="267">
        <f t="shared" ref="M215:M220" si="55">ROUND(I215*$G215,0)</f>
        <v>90995</v>
      </c>
      <c r="O215" s="99">
        <f t="shared" ref="O215:O220" si="56">ROUND(I215*(1+AD$230),2)</f>
        <v>19.46</v>
      </c>
      <c r="P215" s="276"/>
      <c r="Q215" s="267">
        <f t="shared" ref="Q215:Q220" si="57">ROUND(O215*$G215,0)</f>
        <v>90995</v>
      </c>
      <c r="R215" s="267"/>
      <c r="S215" s="267"/>
      <c r="T215" s="267"/>
      <c r="U215" s="267"/>
      <c r="V215" s="267"/>
      <c r="W215" s="267"/>
      <c r="X215" s="267"/>
      <c r="Y215" s="267"/>
      <c r="Z215" s="267"/>
      <c r="AA215" s="267"/>
      <c r="AB215" s="267"/>
      <c r="AC215" s="99"/>
      <c r="AD215" s="99"/>
      <c r="AE215" s="317"/>
      <c r="AF215" s="279">
        <f t="shared" ref="AF215:AF220" si="58">O215/I215-1</f>
        <v>0</v>
      </c>
    </row>
    <row r="216" spans="2:32">
      <c r="B216" s="275" t="s">
        <v>246</v>
      </c>
      <c r="C216" s="264">
        <v>15</v>
      </c>
      <c r="E216" s="102">
        <v>5271.6735415439089</v>
      </c>
      <c r="G216" s="102">
        <f t="shared" si="53"/>
        <v>5069</v>
      </c>
      <c r="I216" s="99">
        <v>17.13</v>
      </c>
      <c r="J216" s="276"/>
      <c r="K216" s="267">
        <f t="shared" si="54"/>
        <v>90304</v>
      </c>
      <c r="M216" s="267">
        <f t="shared" si="55"/>
        <v>86832</v>
      </c>
      <c r="O216" s="99">
        <f t="shared" si="56"/>
        <v>17.13</v>
      </c>
      <c r="P216" s="276"/>
      <c r="Q216" s="267">
        <f t="shared" si="57"/>
        <v>86832</v>
      </c>
      <c r="R216" s="267"/>
      <c r="S216" s="267"/>
      <c r="T216" s="267"/>
      <c r="U216" s="267"/>
      <c r="V216" s="267"/>
      <c r="W216" s="267"/>
      <c r="X216" s="267"/>
      <c r="Y216" s="267"/>
      <c r="Z216" s="267"/>
      <c r="AA216" s="267"/>
      <c r="AB216" s="267"/>
      <c r="AC216" s="99"/>
      <c r="AD216" s="99"/>
      <c r="AE216" s="317"/>
      <c r="AF216" s="279">
        <f t="shared" si="58"/>
        <v>0</v>
      </c>
    </row>
    <row r="217" spans="2:32">
      <c r="B217" s="275" t="s">
        <v>248</v>
      </c>
      <c r="C217" s="264">
        <v>16</v>
      </c>
      <c r="E217" s="102">
        <v>1171.9673679690859</v>
      </c>
      <c r="G217" s="102">
        <f t="shared" si="53"/>
        <v>1127</v>
      </c>
      <c r="I217" s="99">
        <v>23.51</v>
      </c>
      <c r="J217" s="276"/>
      <c r="K217" s="267">
        <f t="shared" si="54"/>
        <v>27553</v>
      </c>
      <c r="M217" s="267">
        <f t="shared" si="55"/>
        <v>26496</v>
      </c>
      <c r="O217" s="99">
        <f t="shared" si="56"/>
        <v>23.51</v>
      </c>
      <c r="P217" s="276"/>
      <c r="Q217" s="267">
        <f t="shared" si="57"/>
        <v>26496</v>
      </c>
      <c r="R217" s="267"/>
      <c r="S217" s="267"/>
      <c r="T217" s="267"/>
      <c r="U217" s="267"/>
      <c r="V217" s="267"/>
      <c r="W217" s="267"/>
      <c r="X217" s="267"/>
      <c r="Y217" s="267"/>
      <c r="Z217" s="267"/>
      <c r="AA217" s="267"/>
      <c r="AC217" s="99"/>
      <c r="AD217" s="99"/>
      <c r="AE217" s="317"/>
      <c r="AF217" s="279">
        <f t="shared" si="58"/>
        <v>0</v>
      </c>
    </row>
    <row r="218" spans="2:32">
      <c r="B218" s="275" t="s">
        <v>249</v>
      </c>
      <c r="C218" s="264">
        <v>17</v>
      </c>
      <c r="E218" s="102">
        <v>1672.9339039467429</v>
      </c>
      <c r="G218" s="102">
        <f t="shared" si="53"/>
        <v>1609</v>
      </c>
      <c r="I218" s="99">
        <v>21.23</v>
      </c>
      <c r="J218" s="276"/>
      <c r="K218" s="267">
        <f t="shared" si="54"/>
        <v>35516</v>
      </c>
      <c r="M218" s="267">
        <f t="shared" si="55"/>
        <v>34159</v>
      </c>
      <c r="O218" s="99">
        <f t="shared" si="56"/>
        <v>21.23</v>
      </c>
      <c r="P218" s="276"/>
      <c r="Q218" s="267">
        <f t="shared" si="57"/>
        <v>34159</v>
      </c>
      <c r="R218" s="267"/>
      <c r="S218" s="267"/>
      <c r="T218" s="267"/>
      <c r="U218" s="267"/>
      <c r="V218" s="267"/>
      <c r="W218" s="267"/>
      <c r="X218" s="267"/>
      <c r="Y218" s="267"/>
      <c r="Z218" s="267"/>
      <c r="AA218" s="267"/>
      <c r="AB218" s="267"/>
      <c r="AC218" s="99"/>
      <c r="AD218" s="99"/>
      <c r="AE218" s="317"/>
      <c r="AF218" s="279">
        <f t="shared" si="58"/>
        <v>0</v>
      </c>
    </row>
    <row r="219" spans="2:32">
      <c r="B219" s="275" t="s">
        <v>250</v>
      </c>
      <c r="C219" s="264">
        <v>18</v>
      </c>
      <c r="E219" s="102">
        <v>10296.582025677601</v>
      </c>
      <c r="G219" s="102">
        <f t="shared" si="53"/>
        <v>9901</v>
      </c>
      <c r="I219" s="99">
        <v>28.3</v>
      </c>
      <c r="J219" s="276"/>
      <c r="K219" s="267">
        <f t="shared" si="54"/>
        <v>291393</v>
      </c>
      <c r="M219" s="267">
        <f t="shared" si="55"/>
        <v>280198</v>
      </c>
      <c r="O219" s="99">
        <f t="shared" si="56"/>
        <v>28.3</v>
      </c>
      <c r="P219" s="276"/>
      <c r="Q219" s="267">
        <f t="shared" si="57"/>
        <v>280198</v>
      </c>
      <c r="R219" s="267"/>
      <c r="S219" s="267"/>
      <c r="T219" s="267"/>
      <c r="U219" s="267"/>
      <c r="V219" s="267"/>
      <c r="W219" s="267"/>
      <c r="X219" s="267"/>
      <c r="Y219" s="267"/>
      <c r="Z219" s="267"/>
      <c r="AA219" s="267"/>
      <c r="AB219" s="267"/>
      <c r="AD219" s="264"/>
      <c r="AE219" s="317"/>
      <c r="AF219" s="279">
        <f t="shared" si="58"/>
        <v>0</v>
      </c>
    </row>
    <row r="220" spans="2:32">
      <c r="B220" s="275" t="s">
        <v>251</v>
      </c>
      <c r="C220" s="264">
        <v>19</v>
      </c>
      <c r="E220" s="102">
        <v>12031.368155339804</v>
      </c>
      <c r="G220" s="102">
        <f t="shared" si="53"/>
        <v>11569</v>
      </c>
      <c r="I220" s="99">
        <v>25.99</v>
      </c>
      <c r="J220" s="276"/>
      <c r="K220" s="267">
        <f t="shared" si="54"/>
        <v>312695</v>
      </c>
      <c r="M220" s="267">
        <f t="shared" si="55"/>
        <v>300678</v>
      </c>
      <c r="O220" s="99">
        <f t="shared" si="56"/>
        <v>25.99</v>
      </c>
      <c r="P220" s="276"/>
      <c r="Q220" s="267">
        <f t="shared" si="57"/>
        <v>300678</v>
      </c>
      <c r="R220" s="267"/>
      <c r="S220" s="267"/>
      <c r="T220" s="267"/>
      <c r="U220" s="267"/>
      <c r="V220" s="267"/>
      <c r="W220" s="267"/>
      <c r="X220" s="267"/>
      <c r="Y220" s="267"/>
      <c r="Z220" s="267"/>
      <c r="AA220" s="267"/>
      <c r="AB220" s="267"/>
      <c r="AC220" s="99"/>
      <c r="AD220" s="99"/>
      <c r="AE220" s="317"/>
      <c r="AF220" s="279">
        <f t="shared" si="58"/>
        <v>0</v>
      </c>
    </row>
    <row r="221" spans="2:32">
      <c r="B221" s="333" t="s">
        <v>253</v>
      </c>
      <c r="E221" s="102"/>
      <c r="G221" s="102"/>
      <c r="AB221" s="267"/>
      <c r="AC221" s="99"/>
      <c r="AD221" s="99"/>
      <c r="AE221" s="317"/>
      <c r="AF221" s="317"/>
    </row>
    <row r="222" spans="2:32">
      <c r="B222" s="275" t="s">
        <v>254</v>
      </c>
      <c r="C222" s="264">
        <v>20</v>
      </c>
      <c r="E222" s="102">
        <v>0</v>
      </c>
      <c r="G222" s="102">
        <f t="shared" ref="G222:G229" si="59">ROUND(E222*$G$231/$E$231,0)</f>
        <v>0</v>
      </c>
      <c r="I222" s="99">
        <v>29.4</v>
      </c>
      <c r="J222" s="276"/>
      <c r="K222" s="267">
        <f t="shared" ref="K222:K229" si="60">ROUND(I222*$E222,0)</f>
        <v>0</v>
      </c>
      <c r="M222" s="267">
        <f t="shared" ref="M222:M229" si="61">ROUND(I222*$G222,0)</f>
        <v>0</v>
      </c>
      <c r="O222" s="99">
        <f t="shared" ref="O222:O229" si="62">ROUND(I222*(1+AD$230),2)</f>
        <v>29.4</v>
      </c>
      <c r="P222" s="276"/>
      <c r="Q222" s="267">
        <f t="shared" ref="Q222:Q229" si="63">ROUND(O222*$G222,0)</f>
        <v>0</v>
      </c>
      <c r="R222" s="267"/>
      <c r="S222" s="267"/>
      <c r="T222" s="267"/>
      <c r="U222" s="267"/>
      <c r="V222" s="267"/>
      <c r="W222" s="267"/>
      <c r="X222" s="267"/>
      <c r="Y222" s="267"/>
      <c r="Z222" s="267"/>
      <c r="AA222" s="267"/>
      <c r="AB222" s="267"/>
      <c r="AC222" s="99"/>
      <c r="AD222" s="99"/>
      <c r="AF222" s="279">
        <f t="shared" ref="AF222:AF229" si="64">O222/I222-1</f>
        <v>0</v>
      </c>
    </row>
    <row r="223" spans="2:32">
      <c r="B223" s="275" t="s">
        <v>255</v>
      </c>
      <c r="C223" s="264">
        <v>21</v>
      </c>
      <c r="E223" s="102">
        <v>252</v>
      </c>
      <c r="G223" s="102">
        <f t="shared" si="59"/>
        <v>242</v>
      </c>
      <c r="I223" s="99">
        <v>21.79</v>
      </c>
      <c r="J223" s="276"/>
      <c r="K223" s="267">
        <f t="shared" si="60"/>
        <v>5491</v>
      </c>
      <c r="M223" s="267">
        <f t="shared" si="61"/>
        <v>5273</v>
      </c>
      <c r="O223" s="99">
        <f t="shared" si="62"/>
        <v>21.79</v>
      </c>
      <c r="P223" s="276"/>
      <c r="Q223" s="267">
        <f t="shared" si="63"/>
        <v>5273</v>
      </c>
      <c r="R223" s="267"/>
      <c r="S223" s="267"/>
      <c r="T223" s="267"/>
      <c r="U223" s="267"/>
      <c r="V223" s="267"/>
      <c r="W223" s="267"/>
      <c r="X223" s="267"/>
      <c r="Y223" s="267"/>
      <c r="Z223" s="267"/>
      <c r="AA223" s="267"/>
      <c r="AB223" s="267"/>
      <c r="AC223" s="99"/>
      <c r="AD223" s="99"/>
      <c r="AF223" s="279">
        <f t="shared" si="64"/>
        <v>0</v>
      </c>
    </row>
    <row r="224" spans="2:32">
      <c r="B224" s="275" t="s">
        <v>256</v>
      </c>
      <c r="C224" s="264">
        <v>22</v>
      </c>
      <c r="E224" s="102">
        <v>108.2669018224574</v>
      </c>
      <c r="G224" s="102">
        <f t="shared" si="59"/>
        <v>104</v>
      </c>
      <c r="I224" s="99">
        <v>34.340000000000003</v>
      </c>
      <c r="J224" s="276"/>
      <c r="K224" s="267">
        <f t="shared" si="60"/>
        <v>3718</v>
      </c>
      <c r="M224" s="267">
        <f t="shared" si="61"/>
        <v>3571</v>
      </c>
      <c r="O224" s="99">
        <f t="shared" si="62"/>
        <v>34.340000000000003</v>
      </c>
      <c r="P224" s="276"/>
      <c r="Q224" s="267">
        <f t="shared" si="63"/>
        <v>3571</v>
      </c>
      <c r="R224" s="267"/>
      <c r="S224" s="267"/>
      <c r="T224" s="267"/>
      <c r="U224" s="267"/>
      <c r="V224" s="267"/>
      <c r="W224" s="267"/>
      <c r="X224" s="267"/>
      <c r="Y224" s="267"/>
      <c r="Z224" s="267"/>
      <c r="AA224" s="267"/>
      <c r="AB224" s="267"/>
      <c r="AC224" s="99"/>
      <c r="AD224" s="99"/>
      <c r="AF224" s="279">
        <f t="shared" si="64"/>
        <v>0</v>
      </c>
    </row>
    <row r="225" spans="2:34">
      <c r="B225" s="275" t="s">
        <v>257</v>
      </c>
      <c r="C225" s="264">
        <v>23</v>
      </c>
      <c r="E225" s="102">
        <v>96</v>
      </c>
      <c r="G225" s="102">
        <f t="shared" si="59"/>
        <v>92</v>
      </c>
      <c r="I225" s="99">
        <v>27.43</v>
      </c>
      <c r="J225" s="276"/>
      <c r="K225" s="267">
        <f t="shared" si="60"/>
        <v>2633</v>
      </c>
      <c r="M225" s="267">
        <f t="shared" si="61"/>
        <v>2524</v>
      </c>
      <c r="O225" s="99">
        <f t="shared" si="62"/>
        <v>27.43</v>
      </c>
      <c r="P225" s="276"/>
      <c r="Q225" s="267">
        <f t="shared" si="63"/>
        <v>2524</v>
      </c>
      <c r="R225" s="267"/>
      <c r="S225" s="267"/>
      <c r="T225" s="267"/>
      <c r="U225" s="267"/>
      <c r="V225" s="267"/>
      <c r="W225" s="267"/>
      <c r="X225" s="267"/>
      <c r="Y225" s="267"/>
      <c r="Z225" s="267"/>
      <c r="AA225" s="267"/>
      <c r="AB225" s="267"/>
      <c r="AC225" s="99"/>
      <c r="AD225" s="99"/>
      <c r="AF225" s="279">
        <f t="shared" si="64"/>
        <v>0</v>
      </c>
    </row>
    <row r="226" spans="2:34">
      <c r="B226" s="275" t="s">
        <v>258</v>
      </c>
      <c r="C226" s="264">
        <v>24</v>
      </c>
      <c r="E226" s="102">
        <v>432</v>
      </c>
      <c r="G226" s="102">
        <f t="shared" si="59"/>
        <v>415</v>
      </c>
      <c r="I226" s="99">
        <v>36.69</v>
      </c>
      <c r="J226" s="276"/>
      <c r="K226" s="267">
        <f t="shared" si="60"/>
        <v>15850</v>
      </c>
      <c r="M226" s="267">
        <f t="shared" si="61"/>
        <v>15226</v>
      </c>
      <c r="O226" s="99">
        <f t="shared" si="62"/>
        <v>36.69</v>
      </c>
      <c r="P226" s="276"/>
      <c r="Q226" s="267">
        <f t="shared" si="63"/>
        <v>15226</v>
      </c>
      <c r="R226" s="267"/>
      <c r="S226" s="267"/>
      <c r="T226" s="267"/>
      <c r="U226" s="267"/>
      <c r="V226" s="267"/>
      <c r="W226" s="267"/>
      <c r="X226" s="267"/>
      <c r="Y226" s="267"/>
      <c r="Z226" s="267"/>
      <c r="AA226" s="267"/>
      <c r="AB226" s="267"/>
      <c r="AC226" s="277" t="s">
        <v>308</v>
      </c>
      <c r="AD226" s="278">
        <f>Q234</f>
        <v>2964728</v>
      </c>
      <c r="AF226" s="279">
        <f t="shared" si="64"/>
        <v>0</v>
      </c>
    </row>
    <row r="227" spans="2:34">
      <c r="B227" s="275" t="s">
        <v>259</v>
      </c>
      <c r="C227" s="264">
        <v>25</v>
      </c>
      <c r="E227" s="102">
        <v>556.06657608695696</v>
      </c>
      <c r="G227" s="102">
        <f t="shared" si="59"/>
        <v>535</v>
      </c>
      <c r="I227" s="99">
        <v>29.72</v>
      </c>
      <c r="J227" s="276"/>
      <c r="K227" s="267">
        <f t="shared" si="60"/>
        <v>16526</v>
      </c>
      <c r="M227" s="267">
        <f t="shared" si="61"/>
        <v>15900</v>
      </c>
      <c r="O227" s="99">
        <f t="shared" si="62"/>
        <v>29.72</v>
      </c>
      <c r="P227" s="276"/>
      <c r="Q227" s="267">
        <f t="shared" si="63"/>
        <v>15900</v>
      </c>
      <c r="R227" s="267"/>
      <c r="S227" s="267"/>
      <c r="T227" s="267"/>
      <c r="U227" s="267"/>
      <c r="V227" s="267"/>
      <c r="W227" s="267"/>
      <c r="X227" s="267"/>
      <c r="Y227" s="267"/>
      <c r="Z227" s="267"/>
      <c r="AA227" s="267"/>
      <c r="AB227" s="267"/>
      <c r="AC227" s="281" t="s">
        <v>310</v>
      </c>
      <c r="AD227" s="282">
        <f>RateSpread!M41*1000</f>
        <v>2964728</v>
      </c>
      <c r="AF227" s="279">
        <f t="shared" si="64"/>
        <v>0</v>
      </c>
    </row>
    <row r="228" spans="2:34">
      <c r="B228" s="275" t="s">
        <v>260</v>
      </c>
      <c r="C228" s="264">
        <v>26</v>
      </c>
      <c r="E228" s="102">
        <v>24</v>
      </c>
      <c r="G228" s="102">
        <f t="shared" si="59"/>
        <v>23</v>
      </c>
      <c r="I228" s="99">
        <v>57.58</v>
      </c>
      <c r="J228" s="276"/>
      <c r="K228" s="267">
        <f t="shared" si="60"/>
        <v>1382</v>
      </c>
      <c r="M228" s="267">
        <f t="shared" si="61"/>
        <v>1324</v>
      </c>
      <c r="O228" s="99">
        <f t="shared" si="62"/>
        <v>57.58</v>
      </c>
      <c r="P228" s="276"/>
      <c r="Q228" s="267">
        <f t="shared" si="63"/>
        <v>1324</v>
      </c>
      <c r="R228" s="267"/>
      <c r="S228" s="267"/>
      <c r="T228" s="267"/>
      <c r="U228" s="267"/>
      <c r="V228" s="267"/>
      <c r="W228" s="267"/>
      <c r="X228" s="267"/>
      <c r="Y228" s="267"/>
      <c r="Z228" s="267"/>
      <c r="AA228" s="267"/>
      <c r="AB228" s="301"/>
      <c r="AC228" s="283" t="s">
        <v>312</v>
      </c>
      <c r="AD228" s="284">
        <f>AD227-AD226</f>
        <v>0</v>
      </c>
      <c r="AF228" s="279">
        <f t="shared" si="64"/>
        <v>0</v>
      </c>
      <c r="AG228" s="309"/>
      <c r="AH228" s="334"/>
    </row>
    <row r="229" spans="2:34">
      <c r="B229" s="275" t="s">
        <v>261</v>
      </c>
      <c r="C229" s="264">
        <v>27</v>
      </c>
      <c r="E229" s="102">
        <v>108</v>
      </c>
      <c r="G229" s="102">
        <f t="shared" si="59"/>
        <v>104</v>
      </c>
      <c r="I229" s="99">
        <v>49.1</v>
      </c>
      <c r="J229" s="276"/>
      <c r="K229" s="267">
        <f t="shared" si="60"/>
        <v>5303</v>
      </c>
      <c r="M229" s="267">
        <f t="shared" si="61"/>
        <v>5106</v>
      </c>
      <c r="O229" s="99">
        <f t="shared" si="62"/>
        <v>49.1</v>
      </c>
      <c r="P229" s="276"/>
      <c r="Q229" s="267">
        <f t="shared" si="63"/>
        <v>5106</v>
      </c>
      <c r="R229" s="267"/>
      <c r="S229" s="267"/>
      <c r="T229" s="267"/>
      <c r="U229" s="267"/>
      <c r="V229" s="267"/>
      <c r="W229" s="267"/>
      <c r="X229" s="267"/>
      <c r="Y229" s="267"/>
      <c r="Z229" s="267"/>
      <c r="AA229" s="267"/>
      <c r="AC229" s="287" t="s">
        <v>315</v>
      </c>
      <c r="AD229" s="323">
        <f>AD226/M234-1</f>
        <v>0</v>
      </c>
      <c r="AF229" s="279">
        <f t="shared" si="64"/>
        <v>0</v>
      </c>
      <c r="AG229" s="309"/>
    </row>
    <row r="230" spans="2:34">
      <c r="B230" s="275" t="s">
        <v>262</v>
      </c>
      <c r="E230" s="102">
        <f>SUM(E198:E229)</f>
        <v>163946.02158927073</v>
      </c>
      <c r="G230" s="102">
        <f>SUM(G198:G229)</f>
        <v>157648</v>
      </c>
      <c r="K230" s="267">
        <f>SUM(K198:K229)</f>
        <v>3083171</v>
      </c>
      <c r="M230" s="267">
        <f>SUM(M198:M229)</f>
        <v>2964728</v>
      </c>
      <c r="Q230" s="267">
        <f>SUM(Q198:Q229)</f>
        <v>2964728</v>
      </c>
      <c r="R230" s="267"/>
      <c r="S230" s="267"/>
      <c r="T230" s="267"/>
      <c r="U230" s="267"/>
      <c r="V230" s="267"/>
      <c r="W230" s="267"/>
      <c r="X230" s="267"/>
      <c r="Y230" s="267"/>
      <c r="Z230" s="267"/>
      <c r="AA230" s="267"/>
      <c r="AB230" s="267"/>
      <c r="AC230" s="305" t="s">
        <v>317</v>
      </c>
      <c r="AD230" s="326">
        <f>AD227/M234-1</f>
        <v>0</v>
      </c>
      <c r="AE230" s="335"/>
      <c r="AH230" s="309"/>
    </row>
    <row r="231" spans="2:34">
      <c r="B231" s="275" t="s">
        <v>263</v>
      </c>
      <c r="E231" s="270">
        <v>12813688.719947744</v>
      </c>
      <c r="G231" s="270">
        <v>12321574.48</v>
      </c>
      <c r="K231" s="267"/>
      <c r="M231" s="267"/>
      <c r="Q231" s="267"/>
      <c r="R231" s="267"/>
      <c r="S231" s="267"/>
      <c r="T231" s="267"/>
      <c r="U231" s="267"/>
      <c r="V231" s="267"/>
      <c r="W231" s="267"/>
      <c r="X231" s="267"/>
      <c r="Y231" s="267"/>
      <c r="Z231" s="267"/>
      <c r="AA231" s="267"/>
      <c r="AB231" s="301"/>
      <c r="AC231" s="273" t="s">
        <v>336</v>
      </c>
      <c r="AD231" s="336">
        <f>(Q234)/(M234)-1</f>
        <v>0</v>
      </c>
      <c r="AH231" s="309"/>
    </row>
    <row r="232" spans="2:34">
      <c r="B232" s="275" t="s">
        <v>264</v>
      </c>
      <c r="E232" s="337">
        <v>342</v>
      </c>
      <c r="G232" s="337">
        <v>0</v>
      </c>
      <c r="I232" s="338"/>
      <c r="K232" s="339">
        <v>78</v>
      </c>
      <c r="M232" s="339">
        <v>0</v>
      </c>
      <c r="O232" s="338"/>
      <c r="Q232" s="339">
        <v>0</v>
      </c>
      <c r="R232" s="301"/>
      <c r="S232" s="301"/>
      <c r="T232" s="301"/>
      <c r="U232" s="301"/>
      <c r="V232" s="301"/>
      <c r="W232" s="301"/>
      <c r="X232" s="301"/>
      <c r="Y232" s="301"/>
      <c r="Z232" s="301"/>
      <c r="AA232" s="301"/>
      <c r="AB232" s="301"/>
      <c r="AC232" s="264" t="s">
        <v>265</v>
      </c>
      <c r="AD232" s="323">
        <f>Q234/M234-1</f>
        <v>0</v>
      </c>
      <c r="AF232" s="335"/>
      <c r="AG232" s="335"/>
      <c r="AH232" s="309"/>
    </row>
    <row r="233" spans="2:34">
      <c r="B233" s="275" t="s">
        <v>380</v>
      </c>
      <c r="E233" s="102">
        <v>8028.1666666666661</v>
      </c>
      <c r="G233" s="102">
        <v>7865</v>
      </c>
      <c r="AE233" s="320"/>
    </row>
    <row r="234" spans="2:34" ht="16.5" thickBot="1">
      <c r="B234" s="275" t="s">
        <v>266</v>
      </c>
      <c r="E234" s="340">
        <f>E231+E232</f>
        <v>12814030.719947744</v>
      </c>
      <c r="G234" s="340">
        <f>G231+G232</f>
        <v>12321574.48</v>
      </c>
      <c r="I234" s="311"/>
      <c r="K234" s="312">
        <f>K232+K230</f>
        <v>3083249</v>
      </c>
      <c r="M234" s="312">
        <f>M232+M230</f>
        <v>2964728</v>
      </c>
      <c r="O234" s="311"/>
      <c r="Q234" s="312">
        <f>Q232+Q230</f>
        <v>2964728</v>
      </c>
      <c r="R234" s="301"/>
      <c r="S234" s="301"/>
      <c r="T234" s="301"/>
      <c r="U234" s="301"/>
      <c r="V234" s="301"/>
      <c r="W234" s="301"/>
      <c r="X234" s="301"/>
      <c r="Y234" s="301"/>
      <c r="Z234" s="301"/>
      <c r="AA234" s="301"/>
      <c r="AE234" s="320"/>
    </row>
    <row r="235" spans="2:34" ht="16.5" thickTop="1">
      <c r="E235" s="102"/>
      <c r="G235" s="102"/>
      <c r="AB235" s="267"/>
      <c r="AE235" s="320"/>
      <c r="AF235" s="320"/>
      <c r="AG235" s="267"/>
      <c r="AH235" s="102"/>
    </row>
    <row r="236" spans="2:34">
      <c r="B236" s="272" t="s">
        <v>267</v>
      </c>
      <c r="E236" s="102"/>
      <c r="G236" s="102"/>
      <c r="AB236" s="267"/>
      <c r="AE236" s="320"/>
      <c r="AF236" s="320"/>
      <c r="AG236" s="267"/>
      <c r="AH236" s="102"/>
    </row>
    <row r="237" spans="2:34">
      <c r="B237" s="275" t="s">
        <v>345</v>
      </c>
      <c r="E237" s="102">
        <f t="shared" ref="E237:E246" si="65">E249+E261</f>
        <v>3290.2661346801333</v>
      </c>
      <c r="G237" s="102">
        <f t="shared" ref="G237:G246" si="66">G249+G261</f>
        <v>3565</v>
      </c>
      <c r="I237" s="99">
        <v>62</v>
      </c>
      <c r="J237" s="276"/>
      <c r="K237" s="267">
        <f>ROUND($I237*E237,0)</f>
        <v>203997</v>
      </c>
      <c r="M237" s="267">
        <f>ROUND($I237*G237,0)</f>
        <v>221030</v>
      </c>
      <c r="O237" s="99">
        <f>ROUND(I237*(1+AD242),0)</f>
        <v>65</v>
      </c>
      <c r="P237" s="276"/>
      <c r="Q237" s="267">
        <f>ROUND(O237*$G237,0)</f>
        <v>231725</v>
      </c>
      <c r="R237" s="267"/>
      <c r="S237" s="267"/>
      <c r="T237" s="267"/>
      <c r="U237" s="267"/>
      <c r="V237" s="267"/>
      <c r="W237" s="267"/>
      <c r="X237" s="267"/>
      <c r="Y237" s="267"/>
      <c r="Z237" s="267"/>
      <c r="AA237" s="267"/>
      <c r="AB237" s="267"/>
      <c r="AC237" s="99"/>
      <c r="AF237" s="279">
        <f t="shared" ref="AF237:AF244" si="67">O237/I237-1</f>
        <v>4.8387096774193505E-2</v>
      </c>
      <c r="AG237" s="267"/>
      <c r="AH237" s="102"/>
    </row>
    <row r="238" spans="2:34">
      <c r="B238" s="275" t="s">
        <v>268</v>
      </c>
      <c r="E238" s="102">
        <f t="shared" si="65"/>
        <v>4654703.8945174012</v>
      </c>
      <c r="G238" s="102">
        <f t="shared" si="66"/>
        <v>4772324</v>
      </c>
      <c r="I238" s="99">
        <v>4.22</v>
      </c>
      <c r="J238" s="276"/>
      <c r="K238" s="267">
        <f>ROUND($I238*E238,0)</f>
        <v>19642850</v>
      </c>
      <c r="M238" s="267">
        <f>ROUND($I238*G238,0)</f>
        <v>20139207</v>
      </c>
      <c r="O238" s="99">
        <f>ROUND(I238*(1+$AD$243),2)</f>
        <v>4.42</v>
      </c>
      <c r="P238" s="276"/>
      <c r="Q238" s="267">
        <f>ROUND(O238*$G238,0)</f>
        <v>21093672</v>
      </c>
      <c r="R238" s="267"/>
      <c r="S238" s="267"/>
      <c r="T238" s="267"/>
      <c r="U238" s="267"/>
      <c r="V238" s="267"/>
      <c r="W238" s="267"/>
      <c r="X238" s="267"/>
      <c r="Y238" s="267"/>
      <c r="Z238" s="267"/>
      <c r="AA238" s="267"/>
      <c r="AB238" s="267"/>
      <c r="AC238" s="277" t="s">
        <v>308</v>
      </c>
      <c r="AD238" s="278">
        <f>Q246</f>
        <v>148205057</v>
      </c>
      <c r="AF238" s="279">
        <f t="shared" si="67"/>
        <v>4.7393364928909998E-2</v>
      </c>
      <c r="AG238" s="267"/>
      <c r="AH238" s="102"/>
    </row>
    <row r="239" spans="2:34">
      <c r="B239" s="275" t="s">
        <v>269</v>
      </c>
      <c r="E239" s="102">
        <f t="shared" si="65"/>
        <v>1926281.5360222976</v>
      </c>
      <c r="G239" s="102">
        <f t="shared" si="66"/>
        <v>1975920</v>
      </c>
      <c r="I239" s="99">
        <v>13.81</v>
      </c>
      <c r="J239" s="276"/>
      <c r="K239" s="267">
        <f>ROUND($I239*E239,0)</f>
        <v>26601948</v>
      </c>
      <c r="M239" s="267">
        <f>ROUND($I239*G239,0)</f>
        <v>27287455</v>
      </c>
      <c r="O239" s="99">
        <f>ROUND(I239*(1+$AD$243),2)</f>
        <v>14.46</v>
      </c>
      <c r="P239" s="276"/>
      <c r="Q239" s="267">
        <f>ROUND(O239*$G239,0)</f>
        <v>28571803</v>
      </c>
      <c r="R239" s="267"/>
      <c r="S239" s="267"/>
      <c r="T239" s="267"/>
      <c r="U239" s="267"/>
      <c r="V239" s="267"/>
      <c r="W239" s="267"/>
      <c r="X239" s="267"/>
      <c r="Y239" s="267"/>
      <c r="Z239" s="267"/>
      <c r="AA239" s="267"/>
      <c r="AB239" s="267"/>
      <c r="AC239" s="281" t="s">
        <v>310</v>
      </c>
      <c r="AD239" s="282">
        <f>(RateSpread!M24)*1000</f>
        <v>148205067</v>
      </c>
      <c r="AF239" s="279">
        <f t="shared" si="67"/>
        <v>4.7067342505430876E-2</v>
      </c>
      <c r="AH239" s="102"/>
    </row>
    <row r="240" spans="2:34">
      <c r="B240" s="275" t="s">
        <v>270</v>
      </c>
      <c r="E240" s="102">
        <f t="shared" si="65"/>
        <v>2601993.2297297344</v>
      </c>
      <c r="G240" s="102">
        <f t="shared" si="66"/>
        <v>2667179</v>
      </c>
      <c r="I240" s="99">
        <v>9.94</v>
      </c>
      <c r="J240" s="276"/>
      <c r="K240" s="267">
        <f>ROUND($I240*E240,0)</f>
        <v>25863813</v>
      </c>
      <c r="M240" s="267">
        <f>ROUND($I240*G240,0)</f>
        <v>26511759</v>
      </c>
      <c r="O240" s="99">
        <f>ROUND(I240*(1+$AD$243),2)</f>
        <v>10.41</v>
      </c>
      <c r="P240" s="276"/>
      <c r="Q240" s="267">
        <f>ROUND(O240*$G240,0)</f>
        <v>27765333</v>
      </c>
      <c r="R240" s="267"/>
      <c r="S240" s="267"/>
      <c r="T240" s="267"/>
      <c r="U240" s="267"/>
      <c r="V240" s="267"/>
      <c r="W240" s="267"/>
      <c r="X240" s="267"/>
      <c r="Y240" s="267"/>
      <c r="Z240" s="267"/>
      <c r="AA240" s="267"/>
      <c r="AB240" s="267"/>
      <c r="AC240" s="283" t="s">
        <v>312</v>
      </c>
      <c r="AD240" s="284">
        <f>AD239-AD238</f>
        <v>10</v>
      </c>
      <c r="AE240" s="335"/>
      <c r="AF240" s="279">
        <f t="shared" si="67"/>
        <v>4.728370221327971E-2</v>
      </c>
      <c r="AH240" s="102"/>
    </row>
    <row r="241" spans="2:34">
      <c r="B241" s="275" t="s">
        <v>348</v>
      </c>
      <c r="E241" s="102">
        <f t="shared" si="65"/>
        <v>1859656.556313127</v>
      </c>
      <c r="G241" s="102">
        <f t="shared" si="66"/>
        <v>1901244</v>
      </c>
      <c r="I241" s="99">
        <v>-1.01</v>
      </c>
      <c r="J241" s="276"/>
      <c r="K241" s="267">
        <f>ROUND($I241*E241,0)</f>
        <v>-1878253</v>
      </c>
      <c r="M241" s="267">
        <f>ROUND($I241*G241,0)</f>
        <v>-1920256</v>
      </c>
      <c r="O241" s="99">
        <f>ROUND(I241*(1+$AD$243),2)</f>
        <v>-1.06</v>
      </c>
      <c r="P241" s="276"/>
      <c r="Q241" s="267">
        <f>ROUND(O241*$G241,0)</f>
        <v>-2015319</v>
      </c>
      <c r="R241" s="267"/>
      <c r="S241" s="267"/>
      <c r="T241" s="267"/>
      <c r="U241" s="267"/>
      <c r="V241" s="267"/>
      <c r="W241" s="267"/>
      <c r="X241" s="267"/>
      <c r="Y241" s="267"/>
      <c r="Z241" s="267"/>
      <c r="AA241" s="267"/>
      <c r="AB241" s="301"/>
      <c r="AC241" s="287" t="s">
        <v>315</v>
      </c>
      <c r="AD241" s="323">
        <f>AD238/M246-1</f>
        <v>4.6951879593847945E-2</v>
      </c>
      <c r="AF241" s="279">
        <f t="shared" si="67"/>
        <v>4.9504950495049549E-2</v>
      </c>
    </row>
    <row r="242" spans="2:34">
      <c r="B242" s="275" t="s">
        <v>341</v>
      </c>
      <c r="E242" s="102">
        <f t="shared" si="65"/>
        <v>242547209</v>
      </c>
      <c r="G242" s="102">
        <f t="shared" si="66"/>
        <v>250201729</v>
      </c>
      <c r="I242" s="341">
        <v>4.4812000000000003</v>
      </c>
      <c r="J242" s="286" t="s">
        <v>314</v>
      </c>
      <c r="K242" s="267">
        <f>ROUND($I242*E242/100,0)</f>
        <v>10869026</v>
      </c>
      <c r="M242" s="267">
        <f>ROUND($I242*G242/100,0)</f>
        <v>11212040</v>
      </c>
      <c r="O242" s="341">
        <f>ROUND(I242*(1+$AD$243),4)</f>
        <v>4.6916000000000002</v>
      </c>
      <c r="P242" s="286" t="s">
        <v>314</v>
      </c>
      <c r="Q242" s="267">
        <f>ROUND(O242*$G242/100,0)</f>
        <v>11738464</v>
      </c>
      <c r="R242" s="267"/>
      <c r="S242" s="267"/>
      <c r="T242" s="267"/>
      <c r="U242" s="267"/>
      <c r="V242" s="267"/>
      <c r="W242" s="267"/>
      <c r="X242" s="267"/>
      <c r="Y242" s="267"/>
      <c r="Z242" s="267"/>
      <c r="AA242" s="267"/>
      <c r="AB242" s="301"/>
      <c r="AC242" s="291" t="s">
        <v>317</v>
      </c>
      <c r="AD242" s="324">
        <f>AD239/M246-1</f>
        <v>4.6951950235963658E-2</v>
      </c>
      <c r="AF242" s="279">
        <f t="shared" si="67"/>
        <v>4.695170936356341E-2</v>
      </c>
      <c r="AG242" s="335"/>
    </row>
    <row r="243" spans="2:34">
      <c r="B243" s="275" t="s">
        <v>367</v>
      </c>
      <c r="E243" s="102">
        <f t="shared" si="65"/>
        <v>578315212</v>
      </c>
      <c r="G243" s="102">
        <f t="shared" si="66"/>
        <v>596020623</v>
      </c>
      <c r="I243" s="341">
        <v>3.5078</v>
      </c>
      <c r="J243" s="286" t="s">
        <v>314</v>
      </c>
      <c r="K243" s="267">
        <f>ROUND($I243*E243/100,0)</f>
        <v>20286141</v>
      </c>
      <c r="M243" s="267">
        <f>ROUND($I243*G243/100,0)</f>
        <v>20907211</v>
      </c>
      <c r="O243" s="341">
        <f>ROUND(I243*(1+$AD$243),4)</f>
        <v>3.6724999999999999</v>
      </c>
      <c r="P243" s="286" t="s">
        <v>314</v>
      </c>
      <c r="Q243" s="267">
        <f>ROUND(O243*$G243/100,0)</f>
        <v>21888857</v>
      </c>
      <c r="R243" s="267"/>
      <c r="S243" s="267"/>
      <c r="T243" s="267"/>
      <c r="U243" s="267"/>
      <c r="V243" s="267"/>
      <c r="W243" s="267"/>
      <c r="X243" s="267"/>
      <c r="Y243" s="267"/>
      <c r="Z243" s="267"/>
      <c r="AA243" s="267"/>
      <c r="AB243" s="301"/>
      <c r="AC243" s="291" t="s">
        <v>353</v>
      </c>
      <c r="AD243" s="324">
        <f>(AD239-Q237)/(M246-M237)-1</f>
        <v>4.6949705889977489E-2</v>
      </c>
      <c r="AF243" s="279">
        <f t="shared" si="67"/>
        <v>4.6952505844118697E-2</v>
      </c>
    </row>
    <row r="244" spans="2:34">
      <c r="B244" s="275" t="s">
        <v>271</v>
      </c>
      <c r="E244" s="102">
        <f t="shared" si="65"/>
        <v>1192608671.5596623</v>
      </c>
      <c r="G244" s="102">
        <f t="shared" si="66"/>
        <v>1230693339</v>
      </c>
      <c r="I244" s="341">
        <v>3.0226999999999999</v>
      </c>
      <c r="J244" s="286" t="s">
        <v>314</v>
      </c>
      <c r="K244" s="267">
        <f>ROUND($I244*E244/100,0)</f>
        <v>36048982</v>
      </c>
      <c r="M244" s="267">
        <f>ROUND($I244*G244/100,0)</f>
        <v>37200168</v>
      </c>
      <c r="O244" s="341">
        <f>ROUND((AD239-SUM(Q237:Q243))/G244*100,4)</f>
        <v>3.1633</v>
      </c>
      <c r="P244" s="286" t="s">
        <v>314</v>
      </c>
      <c r="Q244" s="267">
        <f>ROUND(O244*$G244/100,0)</f>
        <v>38930522</v>
      </c>
      <c r="R244" s="267"/>
      <c r="S244" s="267"/>
      <c r="T244" s="267"/>
      <c r="U244" s="267"/>
      <c r="V244" s="267"/>
      <c r="W244" s="267"/>
      <c r="X244" s="267"/>
      <c r="Y244" s="267"/>
      <c r="Z244" s="267"/>
      <c r="AA244" s="267"/>
      <c r="AB244" s="301"/>
      <c r="AC244" s="305" t="s">
        <v>321</v>
      </c>
      <c r="AD244" s="342">
        <f>O237/I237-1</f>
        <v>4.8387096774193505E-2</v>
      </c>
      <c r="AF244" s="279">
        <f t="shared" si="67"/>
        <v>4.651470539583813E-2</v>
      </c>
      <c r="AH244" s="335"/>
    </row>
    <row r="245" spans="2:34">
      <c r="B245" s="275" t="s">
        <v>333</v>
      </c>
      <c r="E245" s="103">
        <f t="shared" si="65"/>
        <v>8739279</v>
      </c>
      <c r="G245" s="103">
        <f t="shared" si="66"/>
        <v>0</v>
      </c>
      <c r="K245" s="308">
        <f>K257+K269</f>
        <v>262795</v>
      </c>
      <c r="M245" s="308">
        <f>M257+M269</f>
        <v>0</v>
      </c>
      <c r="Q245" s="308">
        <v>0</v>
      </c>
      <c r="R245" s="301"/>
      <c r="S245" s="301"/>
      <c r="T245" s="301"/>
      <c r="U245" s="301"/>
      <c r="V245" s="301"/>
      <c r="W245" s="301"/>
      <c r="X245" s="301"/>
      <c r="Y245" s="301"/>
      <c r="Z245" s="301"/>
      <c r="AA245" s="301"/>
      <c r="AC245" s="273" t="s">
        <v>336</v>
      </c>
      <c r="AD245" s="336">
        <f>(Q246)/(M246)-1</f>
        <v>4.6951879593847945E-2</v>
      </c>
      <c r="AE245" s="320"/>
    </row>
    <row r="246" spans="2:34" ht="16.5" thickBot="1">
      <c r="B246" s="275" t="s">
        <v>334</v>
      </c>
      <c r="E246" s="325">
        <f t="shared" si="65"/>
        <v>2022210371.5596623</v>
      </c>
      <c r="G246" s="325">
        <f t="shared" si="66"/>
        <v>2076915691</v>
      </c>
      <c r="I246" s="318"/>
      <c r="K246" s="319">
        <f>SUM(K237:K245)</f>
        <v>137901299</v>
      </c>
      <c r="M246" s="319">
        <f>SUM(M237:M245)</f>
        <v>141558614</v>
      </c>
      <c r="O246" s="318"/>
      <c r="Q246" s="319">
        <f>SUM(Q237:Q245)</f>
        <v>148205057</v>
      </c>
      <c r="R246" s="301"/>
      <c r="S246" s="301"/>
      <c r="T246" s="301"/>
      <c r="U246" s="301"/>
      <c r="V246" s="301"/>
      <c r="W246" s="301"/>
      <c r="X246" s="301"/>
      <c r="Y246" s="301"/>
      <c r="Z246" s="301"/>
      <c r="AA246" s="301"/>
      <c r="AC246" s="273" t="s">
        <v>0</v>
      </c>
      <c r="AD246" s="101">
        <f>(I242-I244)</f>
        <v>1.4585000000000004</v>
      </c>
      <c r="AE246" s="320"/>
      <c r="AF246" s="260">
        <f>O242-O244</f>
        <v>1.5283000000000002</v>
      </c>
    </row>
    <row r="247" spans="2:34" ht="16.5" thickTop="1">
      <c r="AB247" s="267"/>
      <c r="AE247" s="320"/>
      <c r="AF247" s="322"/>
      <c r="AG247" s="267"/>
      <c r="AH247" s="102"/>
    </row>
    <row r="248" spans="2:34">
      <c r="B248" s="272" t="s">
        <v>272</v>
      </c>
      <c r="AB248" s="267"/>
      <c r="AE248" s="320"/>
      <c r="AF248" s="320"/>
      <c r="AG248" s="267"/>
      <c r="AH248" s="102"/>
    </row>
    <row r="249" spans="2:34">
      <c r="B249" s="275" t="s">
        <v>345</v>
      </c>
      <c r="E249" s="102">
        <v>1860.7010707070679</v>
      </c>
      <c r="G249" s="102">
        <v>2102</v>
      </c>
      <c r="I249" s="300">
        <v>62</v>
      </c>
      <c r="J249" s="299"/>
      <c r="K249" s="267">
        <f>ROUND($I249*E249,0)</f>
        <v>115363</v>
      </c>
      <c r="M249" s="267">
        <f>ROUND($I249*G249,0)</f>
        <v>130324</v>
      </c>
      <c r="O249" s="300">
        <f t="shared" ref="O249:O256" si="68">O237</f>
        <v>65</v>
      </c>
      <c r="P249" s="299"/>
      <c r="Q249" s="267">
        <f>ROUND(O249*$G249,0)</f>
        <v>136630</v>
      </c>
      <c r="R249" s="267"/>
      <c r="S249" s="267"/>
      <c r="T249" s="267"/>
      <c r="U249" s="267"/>
      <c r="V249" s="267"/>
      <c r="W249" s="267"/>
      <c r="X249" s="267"/>
      <c r="Y249" s="267"/>
      <c r="Z249" s="267"/>
      <c r="AA249" s="267"/>
      <c r="AB249" s="267"/>
      <c r="AC249" s="99"/>
      <c r="AD249" s="99"/>
      <c r="AF249" s="279">
        <f t="shared" ref="AF249:AF256" si="69">O249/I249-1</f>
        <v>4.8387096774193505E-2</v>
      </c>
      <c r="AG249" s="267"/>
      <c r="AH249" s="102"/>
    </row>
    <row r="250" spans="2:34">
      <c r="B250" s="275" t="s">
        <v>268</v>
      </c>
      <c r="E250" s="102">
        <v>2216153.7901130705</v>
      </c>
      <c r="G250" s="102">
        <f>ROUND(E250*$G$258/$E$258,0)</f>
        <v>2353386</v>
      </c>
      <c r="I250" s="300">
        <v>4.22</v>
      </c>
      <c r="J250" s="299"/>
      <c r="K250" s="267">
        <f>ROUND($I250*E250,0)</f>
        <v>9352169</v>
      </c>
      <c r="M250" s="267">
        <f>ROUND($I250*G250,0)</f>
        <v>9931289</v>
      </c>
      <c r="O250" s="300">
        <f t="shared" si="68"/>
        <v>4.42</v>
      </c>
      <c r="P250" s="299"/>
      <c r="Q250" s="267">
        <f>ROUND(O250*$G250,0)</f>
        <v>10401966</v>
      </c>
      <c r="R250" s="267"/>
      <c r="S250" s="267"/>
      <c r="T250" s="267"/>
      <c r="U250" s="267"/>
      <c r="V250" s="267"/>
      <c r="W250" s="267"/>
      <c r="X250" s="267"/>
      <c r="Y250" s="267"/>
      <c r="Z250" s="267"/>
      <c r="AA250" s="267"/>
      <c r="AB250" s="267"/>
      <c r="AC250" s="99"/>
      <c r="AD250" s="99"/>
      <c r="AF250" s="279">
        <f t="shared" si="69"/>
        <v>4.7393364928909998E-2</v>
      </c>
      <c r="AG250" s="267"/>
      <c r="AH250" s="102"/>
    </row>
    <row r="251" spans="2:34">
      <c r="B251" s="275" t="s">
        <v>269</v>
      </c>
      <c r="E251" s="102">
        <v>930887.45272676111</v>
      </c>
      <c r="G251" s="102">
        <f>ROUND(E251*$G$258/$E$258,0)</f>
        <v>988531</v>
      </c>
      <c r="I251" s="300">
        <v>13.81</v>
      </c>
      <c r="J251" s="299"/>
      <c r="K251" s="267">
        <f>ROUND($I251*E251,0)</f>
        <v>12855556</v>
      </c>
      <c r="M251" s="267">
        <f>ROUND($I251*G251,0)</f>
        <v>13651613</v>
      </c>
      <c r="O251" s="300">
        <f t="shared" si="68"/>
        <v>14.46</v>
      </c>
      <c r="P251" s="299"/>
      <c r="Q251" s="267">
        <f>ROUND(O251*$G251,0)</f>
        <v>14294158</v>
      </c>
      <c r="R251" s="267"/>
      <c r="S251" s="267"/>
      <c r="T251" s="267"/>
      <c r="U251" s="267"/>
      <c r="V251" s="267"/>
      <c r="W251" s="267"/>
      <c r="X251" s="267"/>
      <c r="Y251" s="267"/>
      <c r="Z251" s="267"/>
      <c r="AA251" s="267"/>
      <c r="AB251" s="267"/>
      <c r="AC251" s="99"/>
      <c r="AF251" s="279">
        <f t="shared" si="69"/>
        <v>4.7067342505430876E-2</v>
      </c>
      <c r="AH251" s="102"/>
    </row>
    <row r="252" spans="2:34">
      <c r="B252" s="275" t="s">
        <v>270</v>
      </c>
      <c r="E252" s="102">
        <v>1230777.974099102</v>
      </c>
      <c r="G252" s="102">
        <f>ROUND(E252*$G$258/$E$258,0)</f>
        <v>1306992</v>
      </c>
      <c r="I252" s="300">
        <v>9.94</v>
      </c>
      <c r="J252" s="299"/>
      <c r="K252" s="267">
        <f>ROUND($I252*E252,0)</f>
        <v>12233933</v>
      </c>
      <c r="M252" s="267">
        <f>ROUND($I252*G252,0)</f>
        <v>12991500</v>
      </c>
      <c r="O252" s="300">
        <f t="shared" si="68"/>
        <v>10.41</v>
      </c>
      <c r="P252" s="299"/>
      <c r="Q252" s="267">
        <f>ROUND(O252*$G252,0)</f>
        <v>13605787</v>
      </c>
      <c r="R252" s="267"/>
      <c r="S252" s="267"/>
      <c r="T252" s="267"/>
      <c r="U252" s="267"/>
      <c r="V252" s="267"/>
      <c r="W252" s="267"/>
      <c r="X252" s="267"/>
      <c r="Y252" s="267"/>
      <c r="Z252" s="267"/>
      <c r="AA252" s="267"/>
      <c r="AB252" s="267"/>
      <c r="AD252" s="321"/>
      <c r="AE252" s="335"/>
      <c r="AF252" s="279">
        <f t="shared" si="69"/>
        <v>4.728370221327971E-2</v>
      </c>
      <c r="AH252" s="102"/>
    </row>
    <row r="253" spans="2:34">
      <c r="B253" s="275" t="s">
        <v>348</v>
      </c>
      <c r="E253" s="102">
        <v>808156.99747474701</v>
      </c>
      <c r="G253" s="102">
        <f>ROUND(E253*$G$258/$E$258,0)</f>
        <v>858201</v>
      </c>
      <c r="I253" s="300">
        <v>-1.01</v>
      </c>
      <c r="J253" s="299"/>
      <c r="K253" s="267">
        <f>ROUND($I253*E253,0)</f>
        <v>-816239</v>
      </c>
      <c r="M253" s="267">
        <f>ROUND($I253*G253,0)</f>
        <v>-866783</v>
      </c>
      <c r="O253" s="300">
        <f t="shared" si="68"/>
        <v>-1.06</v>
      </c>
      <c r="P253" s="299"/>
      <c r="Q253" s="267">
        <f>ROUND(O253*$G253,0)</f>
        <v>-909693</v>
      </c>
      <c r="R253" s="267"/>
      <c r="S253" s="267"/>
      <c r="T253" s="267"/>
      <c r="U253" s="267"/>
      <c r="V253" s="267"/>
      <c r="W253" s="267"/>
      <c r="X253" s="267"/>
      <c r="Y253" s="267"/>
      <c r="Z253" s="267"/>
      <c r="AA253" s="267"/>
      <c r="AB253" s="301"/>
      <c r="AD253" s="321"/>
      <c r="AF253" s="279">
        <f t="shared" si="69"/>
        <v>4.9504950495049549E-2</v>
      </c>
    </row>
    <row r="254" spans="2:34">
      <c r="B254" s="275" t="s">
        <v>341</v>
      </c>
      <c r="E254" s="102">
        <v>121964279</v>
      </c>
      <c r="G254" s="102">
        <f>ROUND(E254*($G$258-$G$257)/($E$258-$E$257),0)</f>
        <v>129940781</v>
      </c>
      <c r="I254" s="322">
        <v>4.4812000000000003</v>
      </c>
      <c r="J254" s="286" t="s">
        <v>314</v>
      </c>
      <c r="K254" s="267">
        <f>ROUND($I254*E254/100,0)</f>
        <v>5465463</v>
      </c>
      <c r="M254" s="267">
        <f>ROUND($I254*G254/100,0)</f>
        <v>5822906</v>
      </c>
      <c r="O254" s="322">
        <f t="shared" si="68"/>
        <v>4.6916000000000002</v>
      </c>
      <c r="P254" s="286" t="s">
        <v>314</v>
      </c>
      <c r="Q254" s="267">
        <f>ROUND(O254*$G254/100,0)</f>
        <v>6096302</v>
      </c>
      <c r="R254" s="267"/>
      <c r="S254" s="267"/>
      <c r="T254" s="267"/>
      <c r="U254" s="267"/>
      <c r="V254" s="267"/>
      <c r="W254" s="267"/>
      <c r="X254" s="267"/>
      <c r="Y254" s="267"/>
      <c r="Z254" s="267"/>
      <c r="AA254" s="267"/>
      <c r="AB254" s="301"/>
      <c r="AD254" s="321"/>
      <c r="AF254" s="279">
        <f t="shared" si="69"/>
        <v>4.695170936356341E-2</v>
      </c>
      <c r="AG254" s="335"/>
    </row>
    <row r="255" spans="2:34">
      <c r="B255" s="275" t="s">
        <v>367</v>
      </c>
      <c r="E255" s="102">
        <v>282789600</v>
      </c>
      <c r="G255" s="102">
        <f>ROUND(E255*($G$258-$G$257)/($E$258-$E$257),0)</f>
        <v>301284127</v>
      </c>
      <c r="I255" s="322">
        <v>3.5078</v>
      </c>
      <c r="J255" s="286" t="s">
        <v>314</v>
      </c>
      <c r="K255" s="267">
        <f>ROUND($I255*E255/100,0)</f>
        <v>9919694</v>
      </c>
      <c r="M255" s="267">
        <f>ROUND($I255*G255/100,0)</f>
        <v>10568445</v>
      </c>
      <c r="O255" s="322">
        <f t="shared" si="68"/>
        <v>3.6724999999999999</v>
      </c>
      <c r="P255" s="286" t="s">
        <v>314</v>
      </c>
      <c r="Q255" s="267">
        <f>ROUND(O255*$G255/100,0)</f>
        <v>11064660</v>
      </c>
      <c r="R255" s="267"/>
      <c r="S255" s="267"/>
      <c r="T255" s="267"/>
      <c r="U255" s="267"/>
      <c r="V255" s="267"/>
      <c r="W255" s="267"/>
      <c r="X255" s="267"/>
      <c r="Y255" s="267"/>
      <c r="Z255" s="267"/>
      <c r="AA255" s="267"/>
      <c r="AB255" s="301"/>
      <c r="AF255" s="279">
        <f t="shared" si="69"/>
        <v>4.6952505844118697E-2</v>
      </c>
    </row>
    <row r="256" spans="2:34">
      <c r="B256" s="275" t="s">
        <v>271</v>
      </c>
      <c r="E256" s="102">
        <v>606271028.55966222</v>
      </c>
      <c r="G256" s="102">
        <f>G258-G254-G255</f>
        <v>645921341</v>
      </c>
      <c r="I256" s="322">
        <v>3.0226999999999999</v>
      </c>
      <c r="J256" s="286" t="s">
        <v>314</v>
      </c>
      <c r="K256" s="267">
        <f>ROUND($I256*E256/100,0)</f>
        <v>18325754</v>
      </c>
      <c r="M256" s="267">
        <f>ROUND($I256*G256/100,0)</f>
        <v>19524264</v>
      </c>
      <c r="O256" s="322">
        <f t="shared" si="68"/>
        <v>3.1633</v>
      </c>
      <c r="P256" s="286" t="s">
        <v>314</v>
      </c>
      <c r="Q256" s="267">
        <f>ROUND(O256*$G256/100,0)</f>
        <v>20432430</v>
      </c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301"/>
      <c r="AC256" s="264" t="s">
        <v>315</v>
      </c>
      <c r="AD256" s="315">
        <f>Q258/M258-1</f>
        <v>4.6947943682458249E-2</v>
      </c>
      <c r="AF256" s="279">
        <f t="shared" si="69"/>
        <v>4.651470539583813E-2</v>
      </c>
      <c r="AH256" s="335"/>
    </row>
    <row r="257" spans="2:34">
      <c r="B257" s="275" t="s">
        <v>333</v>
      </c>
      <c r="E257" s="103">
        <v>3310108</v>
      </c>
      <c r="G257" s="103">
        <v>0</v>
      </c>
      <c r="K257" s="308">
        <v>94217</v>
      </c>
      <c r="M257" s="308">
        <v>0</v>
      </c>
      <c r="Q257" s="308">
        <v>0</v>
      </c>
      <c r="R257" s="301"/>
      <c r="S257" s="301"/>
      <c r="T257" s="301"/>
      <c r="U257" s="301"/>
      <c r="V257" s="301"/>
      <c r="W257" s="301"/>
      <c r="X257" s="301"/>
      <c r="Y257" s="301"/>
      <c r="Z257" s="301"/>
      <c r="AA257" s="301"/>
      <c r="AD257" s="327"/>
    </row>
    <row r="258" spans="2:34" ht="16.5" thickBot="1">
      <c r="B258" s="275" t="s">
        <v>334</v>
      </c>
      <c r="E258" s="325">
        <f>SUM(E254:E257)</f>
        <v>1014335015.5596622</v>
      </c>
      <c r="G258" s="325">
        <v>1077146249</v>
      </c>
      <c r="I258" s="318"/>
      <c r="K258" s="319">
        <f>SUM(K249:K257)</f>
        <v>67545910</v>
      </c>
      <c r="M258" s="319">
        <f>SUM(M249:M257)</f>
        <v>71753558</v>
      </c>
      <c r="O258" s="318"/>
      <c r="Q258" s="319">
        <f>SUM(Q249:Q257)</f>
        <v>75122240</v>
      </c>
      <c r="R258" s="301"/>
      <c r="S258" s="301"/>
      <c r="T258" s="301"/>
      <c r="U258" s="301"/>
      <c r="V258" s="301"/>
      <c r="W258" s="301"/>
      <c r="X258" s="301"/>
      <c r="Y258" s="301"/>
      <c r="Z258" s="301"/>
      <c r="AA258" s="301"/>
      <c r="AD258" s="335"/>
    </row>
    <row r="259" spans="2:34" ht="16.5" thickTop="1">
      <c r="AB259" s="267"/>
    </row>
    <row r="260" spans="2:34">
      <c r="B260" s="272" t="s">
        <v>273</v>
      </c>
      <c r="AB260" s="267"/>
    </row>
    <row r="261" spans="2:34">
      <c r="B261" s="275" t="s">
        <v>345</v>
      </c>
      <c r="E261" s="102">
        <v>1429.5650639730657</v>
      </c>
      <c r="G261" s="102">
        <v>1463</v>
      </c>
      <c r="I261" s="300">
        <v>62</v>
      </c>
      <c r="J261" s="299"/>
      <c r="K261" s="267">
        <f>ROUND($I261*E261,0)</f>
        <v>88633</v>
      </c>
      <c r="M261" s="267">
        <f>ROUND($I261*G261,0)</f>
        <v>90706</v>
      </c>
      <c r="O261" s="300">
        <f t="shared" ref="O261:O268" si="70">O249</f>
        <v>65</v>
      </c>
      <c r="P261" s="299"/>
      <c r="Q261" s="267">
        <f>ROUND(O261*$G261,0)</f>
        <v>95095</v>
      </c>
      <c r="R261" s="267"/>
      <c r="S261" s="267"/>
      <c r="T261" s="267"/>
      <c r="U261" s="267"/>
      <c r="V261" s="267"/>
      <c r="W261" s="267"/>
      <c r="X261" s="267"/>
      <c r="Y261" s="267"/>
      <c r="Z261" s="267"/>
      <c r="AA261" s="267"/>
      <c r="AB261" s="267"/>
      <c r="AF261" s="279">
        <f t="shared" ref="AF261:AF268" si="71">O261/I261-1</f>
        <v>4.8387096774193505E-2</v>
      </c>
    </row>
    <row r="262" spans="2:34">
      <c r="B262" s="275" t="s">
        <v>268</v>
      </c>
      <c r="E262" s="102">
        <v>2438550.1044043303</v>
      </c>
      <c r="G262" s="102">
        <f>ROUND(E262*$G$270/$E$270,0)</f>
        <v>2418938</v>
      </c>
      <c r="I262" s="300">
        <v>4.22</v>
      </c>
      <c r="J262" s="299"/>
      <c r="K262" s="267">
        <f>ROUND($I262*E262,0)</f>
        <v>10290681</v>
      </c>
      <c r="M262" s="267">
        <f>ROUND($I262*G262,0)</f>
        <v>10207918</v>
      </c>
      <c r="O262" s="300">
        <f t="shared" si="70"/>
        <v>4.42</v>
      </c>
      <c r="P262" s="299"/>
      <c r="Q262" s="267">
        <f>ROUND(O262*$G262,0)</f>
        <v>10691706</v>
      </c>
      <c r="R262" s="267"/>
      <c r="S262" s="267"/>
      <c r="T262" s="267"/>
      <c r="U262" s="267"/>
      <c r="V262" s="267"/>
      <c r="W262" s="267"/>
      <c r="X262" s="267"/>
      <c r="Y262" s="267"/>
      <c r="Z262" s="267"/>
      <c r="AA262" s="267"/>
      <c r="AB262" s="267"/>
      <c r="AF262" s="279">
        <f t="shared" si="71"/>
        <v>4.7393364928909998E-2</v>
      </c>
    </row>
    <row r="263" spans="2:34">
      <c r="B263" s="275" t="s">
        <v>269</v>
      </c>
      <c r="E263" s="102">
        <v>995394.08329553634</v>
      </c>
      <c r="G263" s="102">
        <f>ROUND(E263*$G$270/$E$270,0)</f>
        <v>987389</v>
      </c>
      <c r="I263" s="300">
        <v>13.81</v>
      </c>
      <c r="J263" s="299"/>
      <c r="K263" s="267">
        <f>ROUND($I263*E263,0)</f>
        <v>13746392</v>
      </c>
      <c r="M263" s="267">
        <f>ROUND($I263*G263,0)</f>
        <v>13635842</v>
      </c>
      <c r="O263" s="300">
        <f t="shared" si="70"/>
        <v>14.46</v>
      </c>
      <c r="P263" s="299"/>
      <c r="Q263" s="267">
        <f>ROUND(O263*$G263,0)</f>
        <v>14277645</v>
      </c>
      <c r="R263" s="267"/>
      <c r="S263" s="267"/>
      <c r="T263" s="267"/>
      <c r="U263" s="267"/>
      <c r="V263" s="267"/>
      <c r="W263" s="267"/>
      <c r="X263" s="267"/>
      <c r="Y263" s="267"/>
      <c r="Z263" s="267"/>
      <c r="AA263" s="267"/>
      <c r="AB263" s="267"/>
      <c r="AF263" s="279">
        <f t="shared" si="71"/>
        <v>4.7067342505430876E-2</v>
      </c>
    </row>
    <row r="264" spans="2:34">
      <c r="B264" s="275" t="s">
        <v>270</v>
      </c>
      <c r="E264" s="102">
        <v>1371215.2556306326</v>
      </c>
      <c r="G264" s="102">
        <f>ROUND(E264*$G$270/$E$270,0)</f>
        <v>1360187</v>
      </c>
      <c r="I264" s="300">
        <v>9.94</v>
      </c>
      <c r="J264" s="299"/>
      <c r="K264" s="267">
        <f>ROUND($I264*E264,0)</f>
        <v>13629880</v>
      </c>
      <c r="M264" s="267">
        <f>ROUND($I264*G264,0)</f>
        <v>13520259</v>
      </c>
      <c r="O264" s="300">
        <f t="shared" si="70"/>
        <v>10.41</v>
      </c>
      <c r="P264" s="299"/>
      <c r="Q264" s="267">
        <f>ROUND(O264*$G264,0)</f>
        <v>14159547</v>
      </c>
      <c r="R264" s="267"/>
      <c r="S264" s="267"/>
      <c r="T264" s="267"/>
      <c r="U264" s="267"/>
      <c r="V264" s="267"/>
      <c r="W264" s="267"/>
      <c r="X264" s="267"/>
      <c r="Y264" s="267"/>
      <c r="Z264" s="267"/>
      <c r="AA264" s="267"/>
      <c r="AB264" s="267"/>
      <c r="AE264" s="335"/>
      <c r="AF264" s="279">
        <f t="shared" si="71"/>
        <v>4.728370221327971E-2</v>
      </c>
    </row>
    <row r="265" spans="2:34">
      <c r="B265" s="275" t="s">
        <v>348</v>
      </c>
      <c r="E265" s="102">
        <v>1051499.55883838</v>
      </c>
      <c r="G265" s="102">
        <f>ROUND(E265*$G$270/$E$270,0)</f>
        <v>1043043</v>
      </c>
      <c r="I265" s="300">
        <v>-1.01</v>
      </c>
      <c r="J265" s="299"/>
      <c r="K265" s="267">
        <f>ROUND($I265*E265,0)</f>
        <v>-1062015</v>
      </c>
      <c r="M265" s="267">
        <f>ROUND($I265*G265,0)</f>
        <v>-1053473</v>
      </c>
      <c r="O265" s="300">
        <f t="shared" si="70"/>
        <v>-1.06</v>
      </c>
      <c r="P265" s="299"/>
      <c r="Q265" s="267">
        <f>ROUND(O265*$G265,0)</f>
        <v>-1105626</v>
      </c>
      <c r="R265" s="267"/>
      <c r="S265" s="267"/>
      <c r="T265" s="267"/>
      <c r="U265" s="267"/>
      <c r="V265" s="267"/>
      <c r="W265" s="267"/>
      <c r="X265" s="267"/>
      <c r="Y265" s="267"/>
      <c r="Z265" s="267"/>
      <c r="AA265" s="267"/>
      <c r="AB265" s="301"/>
      <c r="AE265" s="335"/>
      <c r="AF265" s="279">
        <f t="shared" si="71"/>
        <v>4.9504950495049549E-2</v>
      </c>
    </row>
    <row r="266" spans="2:34">
      <c r="B266" s="275" t="s">
        <v>341</v>
      </c>
      <c r="E266" s="102">
        <v>120582930</v>
      </c>
      <c r="G266" s="102">
        <f>ROUND(E266*($G$270-$G$269)/($E$270-$E$269),0)</f>
        <v>120260948</v>
      </c>
      <c r="I266" s="322">
        <v>4.4812000000000003</v>
      </c>
      <c r="J266" s="286" t="s">
        <v>314</v>
      </c>
      <c r="K266" s="267">
        <f>ROUND($I266*E266/100,0)</f>
        <v>5403562</v>
      </c>
      <c r="M266" s="267">
        <f>ROUND($I266*G266/100,0)</f>
        <v>5389134</v>
      </c>
      <c r="O266" s="322">
        <f t="shared" si="70"/>
        <v>4.6916000000000002</v>
      </c>
      <c r="P266" s="286" t="s">
        <v>314</v>
      </c>
      <c r="Q266" s="267">
        <f>ROUND(O266*$G266/100,0)</f>
        <v>5642163</v>
      </c>
      <c r="R266" s="267"/>
      <c r="S266" s="267"/>
      <c r="T266" s="267"/>
      <c r="U266" s="267"/>
      <c r="V266" s="267"/>
      <c r="W266" s="267"/>
      <c r="X266" s="267"/>
      <c r="Y266" s="267"/>
      <c r="Z266" s="267"/>
      <c r="AA266" s="267"/>
      <c r="AB266" s="301"/>
      <c r="AF266" s="279">
        <f t="shared" si="71"/>
        <v>4.695170936356341E-2</v>
      </c>
      <c r="AG266" s="335"/>
    </row>
    <row r="267" spans="2:34">
      <c r="B267" s="275" t="s">
        <v>367</v>
      </c>
      <c r="E267" s="102">
        <v>295525612</v>
      </c>
      <c r="G267" s="102">
        <f>ROUND(E267*($G$270-$G$269)/($E$270-$E$269),0)</f>
        <v>294736496</v>
      </c>
      <c r="I267" s="322">
        <v>3.5078</v>
      </c>
      <c r="J267" s="286" t="s">
        <v>314</v>
      </c>
      <c r="K267" s="267">
        <f>ROUND($I267*E267/100,0)</f>
        <v>10366447</v>
      </c>
      <c r="M267" s="267">
        <f>ROUND($I267*G267/100,0)</f>
        <v>10338767</v>
      </c>
      <c r="O267" s="322">
        <f t="shared" si="70"/>
        <v>3.6724999999999999</v>
      </c>
      <c r="P267" s="286" t="s">
        <v>314</v>
      </c>
      <c r="Q267" s="267">
        <f>ROUND(O267*$G267/100,0)</f>
        <v>10824198</v>
      </c>
      <c r="R267" s="267"/>
      <c r="S267" s="267"/>
      <c r="T267" s="267"/>
      <c r="U267" s="267"/>
      <c r="V267" s="267"/>
      <c r="W267" s="267"/>
      <c r="X267" s="267"/>
      <c r="Y267" s="267"/>
      <c r="Z267" s="267"/>
      <c r="AA267" s="267"/>
      <c r="AB267" s="301"/>
      <c r="AF267" s="279">
        <f t="shared" si="71"/>
        <v>4.6952505844118697E-2</v>
      </c>
      <c r="AG267" s="335"/>
    </row>
    <row r="268" spans="2:34">
      <c r="B268" s="275" t="s">
        <v>271</v>
      </c>
      <c r="E268" s="102">
        <v>586337643</v>
      </c>
      <c r="G268" s="102">
        <f>G270-G266-G267</f>
        <v>584771998</v>
      </c>
      <c r="I268" s="322">
        <v>3.0226999999999999</v>
      </c>
      <c r="J268" s="286" t="s">
        <v>314</v>
      </c>
      <c r="K268" s="267">
        <f>ROUND($I268*E268/100,0)</f>
        <v>17723228</v>
      </c>
      <c r="M268" s="267">
        <f>ROUND($I268*G268/100,0)</f>
        <v>17675903</v>
      </c>
      <c r="O268" s="322">
        <f t="shared" si="70"/>
        <v>3.1633</v>
      </c>
      <c r="P268" s="286" t="s">
        <v>314</v>
      </c>
      <c r="Q268" s="267">
        <f>ROUND(O268*$G268/100,0)</f>
        <v>18498093</v>
      </c>
      <c r="R268" s="267"/>
      <c r="S268" s="267"/>
      <c r="T268" s="267"/>
      <c r="U268" s="267"/>
      <c r="V268" s="267"/>
      <c r="W268" s="267"/>
      <c r="X268" s="267"/>
      <c r="Y268" s="267"/>
      <c r="Z268" s="267"/>
      <c r="AA268" s="267"/>
      <c r="AB268" s="301"/>
      <c r="AC268" s="264" t="s">
        <v>315</v>
      </c>
      <c r="AD268" s="315">
        <f>Q270/M270-1</f>
        <v>4.6955982672659102E-2</v>
      </c>
      <c r="AE268" s="320"/>
      <c r="AF268" s="279">
        <f t="shared" si="71"/>
        <v>4.651470539583813E-2</v>
      </c>
      <c r="AH268" s="335"/>
    </row>
    <row r="269" spans="2:34" s="335" customFormat="1">
      <c r="B269" s="275" t="s">
        <v>333</v>
      </c>
      <c r="C269" s="264"/>
      <c r="D269" s="264"/>
      <c r="E269" s="103">
        <v>5429171</v>
      </c>
      <c r="F269" s="265"/>
      <c r="G269" s="103">
        <v>0</v>
      </c>
      <c r="H269" s="265"/>
      <c r="I269" s="264"/>
      <c r="J269" s="265"/>
      <c r="K269" s="308">
        <v>168578</v>
      </c>
      <c r="L269" s="265"/>
      <c r="M269" s="308">
        <v>0</v>
      </c>
      <c r="N269" s="265"/>
      <c r="O269" s="264"/>
      <c r="P269" s="265"/>
      <c r="Q269" s="308">
        <v>0</v>
      </c>
      <c r="R269" s="301"/>
      <c r="S269" s="301"/>
      <c r="T269" s="301"/>
      <c r="U269" s="301"/>
      <c r="V269" s="301"/>
      <c r="W269" s="301"/>
      <c r="X269" s="301"/>
      <c r="Y269" s="301"/>
      <c r="Z269" s="301"/>
      <c r="AA269" s="301"/>
      <c r="AC269" s="264"/>
      <c r="AD269" s="327"/>
      <c r="AE269" s="320"/>
      <c r="AF269" s="260"/>
      <c r="AG269" s="260"/>
    </row>
    <row r="270" spans="2:34" ht="16.5" thickBot="1">
      <c r="B270" s="275" t="s">
        <v>334</v>
      </c>
      <c r="E270" s="325">
        <f>SUM(E266:E269)</f>
        <v>1007875356</v>
      </c>
      <c r="G270" s="325">
        <v>999769442</v>
      </c>
      <c r="I270" s="318"/>
      <c r="K270" s="319">
        <f>SUM(K261:K269)</f>
        <v>70355386</v>
      </c>
      <c r="M270" s="319">
        <f>SUM(M261:M269)</f>
        <v>69805056</v>
      </c>
      <c r="O270" s="318"/>
      <c r="Q270" s="319">
        <f>SUM(Q261:Q269)</f>
        <v>73082821</v>
      </c>
      <c r="R270" s="301"/>
      <c r="S270" s="301"/>
      <c r="T270" s="301"/>
      <c r="U270" s="301"/>
      <c r="V270" s="301"/>
      <c r="W270" s="301"/>
      <c r="X270" s="301"/>
      <c r="Y270" s="301"/>
      <c r="Z270" s="301"/>
      <c r="AA270" s="301"/>
      <c r="AD270" s="335"/>
      <c r="AE270" s="320"/>
      <c r="AF270" s="320"/>
      <c r="AG270" s="267"/>
    </row>
    <row r="271" spans="2:34" ht="16.5" thickTop="1">
      <c r="B271" s="335"/>
      <c r="C271" s="335"/>
      <c r="D271" s="335"/>
      <c r="E271" s="343"/>
      <c r="F271" s="344"/>
      <c r="G271" s="335"/>
      <c r="H271" s="344"/>
      <c r="I271" s="335"/>
      <c r="J271" s="344"/>
      <c r="K271" s="335"/>
      <c r="L271" s="344"/>
      <c r="M271" s="335"/>
      <c r="N271" s="344"/>
      <c r="O271" s="335"/>
      <c r="P271" s="344"/>
      <c r="Q271" s="335"/>
      <c r="R271" s="335"/>
      <c r="S271" s="335"/>
      <c r="T271" s="335"/>
      <c r="U271" s="335"/>
      <c r="V271" s="335"/>
      <c r="W271" s="335"/>
      <c r="X271" s="335"/>
      <c r="Y271" s="335"/>
      <c r="Z271" s="335"/>
      <c r="AA271" s="335"/>
      <c r="AB271" s="267"/>
      <c r="AC271" s="335"/>
      <c r="AD271" s="335"/>
      <c r="AF271" s="320"/>
      <c r="AG271" s="267"/>
      <c r="AH271" s="102"/>
    </row>
    <row r="272" spans="2:34">
      <c r="B272" s="272" t="s">
        <v>274</v>
      </c>
      <c r="E272" s="102"/>
      <c r="G272" s="102"/>
      <c r="AB272" s="267"/>
      <c r="AC272" s="264" t="s">
        <v>275</v>
      </c>
      <c r="AH272" s="102"/>
    </row>
    <row r="273" spans="2:34">
      <c r="B273" s="275" t="s">
        <v>345</v>
      </c>
      <c r="E273" s="102">
        <f t="shared" ref="E273:E279" si="72">E284+E306+E295</f>
        <v>1778.5331729508193</v>
      </c>
      <c r="G273" s="102">
        <f t="shared" ref="G273:G279" si="73">G284+G306+G295</f>
        <v>1710</v>
      </c>
      <c r="I273" s="99">
        <v>226</v>
      </c>
      <c r="J273" s="276"/>
      <c r="K273" s="267">
        <f>ROUND($I273*E273,0)</f>
        <v>401948</v>
      </c>
      <c r="M273" s="267">
        <f>ROUND($I273*G273,0)</f>
        <v>386460</v>
      </c>
      <c r="O273" s="99">
        <f>ROUND(I273*(1+AD277),0)</f>
        <v>241</v>
      </c>
      <c r="P273" s="276"/>
      <c r="Q273" s="267">
        <f>ROUND(O273*$G273,0)</f>
        <v>412110</v>
      </c>
      <c r="R273" s="267"/>
      <c r="S273" s="267"/>
      <c r="T273" s="267"/>
      <c r="U273" s="267"/>
      <c r="V273" s="267"/>
      <c r="W273" s="267"/>
      <c r="X273" s="267"/>
      <c r="Y273" s="267"/>
      <c r="Z273" s="267"/>
      <c r="AA273" s="267"/>
      <c r="AB273" s="267"/>
      <c r="AC273" s="277" t="s">
        <v>308</v>
      </c>
      <c r="AD273" s="278">
        <f>Q281+SUM(Q752:Q757)</f>
        <v>300161919</v>
      </c>
      <c r="AF273" s="279">
        <f t="shared" ref="AF273:AF279" si="74">O273/I273-1</f>
        <v>6.6371681415929196E-2</v>
      </c>
      <c r="AH273" s="102"/>
    </row>
    <row r="274" spans="2:34">
      <c r="B274" s="275" t="s">
        <v>268</v>
      </c>
      <c r="E274" s="102">
        <f t="shared" si="72"/>
        <v>7788706.6579479007</v>
      </c>
      <c r="G274" s="102">
        <f t="shared" si="73"/>
        <v>8310024</v>
      </c>
      <c r="I274" s="99">
        <v>1.94</v>
      </c>
      <c r="J274" s="276"/>
      <c r="K274" s="267">
        <f>ROUND($I274*E274,0)</f>
        <v>15110091</v>
      </c>
      <c r="M274" s="267">
        <f>ROUND($I274*G274,0)</f>
        <v>16121447</v>
      </c>
      <c r="O274" s="99">
        <f>ROUND(I274*(1+$AD$278),2)</f>
        <v>2.0699999999999998</v>
      </c>
      <c r="P274" s="276"/>
      <c r="Q274" s="267">
        <f>ROUND(O274*$G274,0)</f>
        <v>17201750</v>
      </c>
      <c r="R274" s="267"/>
      <c r="S274" s="267"/>
      <c r="T274" s="267"/>
      <c r="U274" s="267"/>
      <c r="V274" s="267"/>
      <c r="W274" s="267"/>
      <c r="X274" s="267"/>
      <c r="Y274" s="267"/>
      <c r="Z274" s="267"/>
      <c r="AA274" s="267"/>
      <c r="AB274" s="267"/>
      <c r="AC274" s="281" t="s">
        <v>310</v>
      </c>
      <c r="AD274" s="282">
        <f>(RateSpread!M25+RateSpread!M36*SUM('Resid Rate Calc (rev WRG-3)'!M752:M757)/'Resid Rate Calc (rev WRG-3)'!M758)*1000</f>
        <v>300161937.39716613</v>
      </c>
      <c r="AF274" s="279">
        <f t="shared" si="74"/>
        <v>6.7010309278350499E-2</v>
      </c>
      <c r="AG274" s="267"/>
    </row>
    <row r="275" spans="2:34">
      <c r="B275" s="275" t="s">
        <v>269</v>
      </c>
      <c r="E275" s="102">
        <f t="shared" si="72"/>
        <v>3214879.4731341181</v>
      </c>
      <c r="G275" s="102">
        <f t="shared" si="73"/>
        <v>3430491</v>
      </c>
      <c r="I275" s="99">
        <v>12.18</v>
      </c>
      <c r="J275" s="276"/>
      <c r="K275" s="267">
        <f>ROUND($I275*E275,0)</f>
        <v>39157232</v>
      </c>
      <c r="M275" s="267">
        <f>ROUND($I275*G275,0)</f>
        <v>41783380</v>
      </c>
      <c r="O275" s="99">
        <f t="shared" ref="O275:O276" si="75">ROUND(I275*(1+$AD$278),2)</f>
        <v>13</v>
      </c>
      <c r="P275" s="276"/>
      <c r="Q275" s="267">
        <f>ROUND(O275*$G275,0)</f>
        <v>44596383</v>
      </c>
      <c r="R275" s="267"/>
      <c r="S275" s="267"/>
      <c r="T275" s="267"/>
      <c r="U275" s="267"/>
      <c r="V275" s="267"/>
      <c r="W275" s="267"/>
      <c r="X275" s="267"/>
      <c r="Y275" s="267"/>
      <c r="Z275" s="267"/>
      <c r="AA275" s="267"/>
      <c r="AB275" s="267"/>
      <c r="AC275" s="283" t="s">
        <v>312</v>
      </c>
      <c r="AD275" s="284">
        <f>AD274-AD273</f>
        <v>18.397166132926941</v>
      </c>
      <c r="AF275" s="279">
        <f t="shared" si="74"/>
        <v>6.7323481116584594E-2</v>
      </c>
      <c r="AG275" s="267"/>
    </row>
    <row r="276" spans="2:34">
      <c r="B276" s="275" t="s">
        <v>270</v>
      </c>
      <c r="E276" s="102">
        <f t="shared" si="72"/>
        <v>4432944.7328767134</v>
      </c>
      <c r="G276" s="102">
        <f t="shared" si="73"/>
        <v>4733270</v>
      </c>
      <c r="I276" s="99">
        <v>8.26</v>
      </c>
      <c r="J276" s="276"/>
      <c r="K276" s="267">
        <f>ROUND($I276*E276,0)</f>
        <v>36616123</v>
      </c>
      <c r="M276" s="267">
        <f>ROUND($I276*G276,0)</f>
        <v>39096810</v>
      </c>
      <c r="O276" s="99">
        <f t="shared" si="75"/>
        <v>8.81</v>
      </c>
      <c r="P276" s="276"/>
      <c r="Q276" s="267">
        <f>ROUND(O276*$G276,0)</f>
        <v>41700109</v>
      </c>
      <c r="R276" s="267"/>
      <c r="S276" s="267"/>
      <c r="T276" s="267"/>
      <c r="U276" s="267"/>
      <c r="V276" s="267"/>
      <c r="W276" s="267"/>
      <c r="X276" s="267"/>
      <c r="Y276" s="267"/>
      <c r="Z276" s="267"/>
      <c r="AA276" s="267"/>
      <c r="AB276" s="301"/>
      <c r="AC276" s="287" t="s">
        <v>315</v>
      </c>
      <c r="AD276" s="323">
        <f>AD273/SUM(M281,M752:M757)-1</f>
        <v>6.6951887026498902E-2</v>
      </c>
      <c r="AF276" s="279">
        <f t="shared" si="74"/>
        <v>6.6585956416465031E-2</v>
      </c>
      <c r="AH276" s="102"/>
    </row>
    <row r="277" spans="2:34">
      <c r="B277" s="275" t="s">
        <v>276</v>
      </c>
      <c r="E277" s="102">
        <f t="shared" si="72"/>
        <v>438935100</v>
      </c>
      <c r="G277" s="102">
        <f t="shared" si="73"/>
        <v>471006782</v>
      </c>
      <c r="I277" s="345">
        <v>4.0587999999999997</v>
      </c>
      <c r="J277" s="286" t="s">
        <v>314</v>
      </c>
      <c r="K277" s="267">
        <f>ROUND($I277*E277/100,0)</f>
        <v>17815498</v>
      </c>
      <c r="M277" s="267">
        <f>ROUND($I277*G277/100,0)</f>
        <v>19117223</v>
      </c>
      <c r="O277" s="345">
        <f>ROUND(I277*(1+$AD$278),4)</f>
        <v>4.3304999999999998</v>
      </c>
      <c r="P277" s="286" t="s">
        <v>314</v>
      </c>
      <c r="Q277" s="267">
        <f>ROUND(O277*$G277/100,0)</f>
        <v>20396949</v>
      </c>
      <c r="R277" s="267"/>
      <c r="S277" s="267"/>
      <c r="T277" s="267"/>
      <c r="U277" s="267"/>
      <c r="V277" s="267"/>
      <c r="W277" s="267"/>
      <c r="X277" s="267"/>
      <c r="Y277" s="267"/>
      <c r="Z277" s="267"/>
      <c r="AA277" s="267"/>
      <c r="AB277" s="301"/>
      <c r="AC277" s="291" t="s">
        <v>317</v>
      </c>
      <c r="AD277" s="324">
        <f>AD274/SUM(M281,M752:M757)-1</f>
        <v>6.6951952420840843E-2</v>
      </c>
      <c r="AF277" s="279">
        <f t="shared" si="74"/>
        <v>6.6940967773726268E-2</v>
      </c>
      <c r="AG277" s="267"/>
      <c r="AH277" s="309"/>
    </row>
    <row r="278" spans="2:34">
      <c r="B278" s="275" t="s">
        <v>277</v>
      </c>
      <c r="E278" s="102">
        <f t="shared" si="72"/>
        <v>1155248331</v>
      </c>
      <c r="G278" s="102">
        <f t="shared" si="73"/>
        <v>1240617545</v>
      </c>
      <c r="I278" s="345">
        <v>3.052</v>
      </c>
      <c r="J278" s="286" t="s">
        <v>314</v>
      </c>
      <c r="K278" s="267">
        <f>ROUND($I278*E278/100,0)</f>
        <v>35258179</v>
      </c>
      <c r="M278" s="267">
        <f>ROUND($I278*G278/100,0)</f>
        <v>37863647</v>
      </c>
      <c r="O278" s="285">
        <f>ROUND(I278*(1+$AD$278),4)</f>
        <v>3.2563</v>
      </c>
      <c r="P278" s="286" t="s">
        <v>314</v>
      </c>
      <c r="Q278" s="267">
        <f>ROUND(O278*$G278/100,0)</f>
        <v>40398229</v>
      </c>
      <c r="R278" s="267"/>
      <c r="S278" s="267"/>
      <c r="T278" s="267"/>
      <c r="U278" s="267"/>
      <c r="V278" s="267"/>
      <c r="W278" s="267"/>
      <c r="X278" s="267"/>
      <c r="Y278" s="267"/>
      <c r="Z278" s="267"/>
      <c r="AA278" s="267"/>
      <c r="AB278" s="301"/>
      <c r="AC278" s="291" t="s">
        <v>353</v>
      </c>
      <c r="AD278" s="324">
        <f>(AD274-Q273)/SUM(M281,M752:M757,-M273)-1</f>
        <v>6.6952750639113656E-2</v>
      </c>
      <c r="AF278" s="279">
        <f t="shared" si="74"/>
        <v>6.6939711664482315E-2</v>
      </c>
      <c r="AH278" s="309"/>
    </row>
    <row r="279" spans="2:34">
      <c r="B279" s="275" t="s">
        <v>271</v>
      </c>
      <c r="E279" s="102">
        <f t="shared" si="72"/>
        <v>2626314603.6088982</v>
      </c>
      <c r="G279" s="102">
        <f t="shared" si="73"/>
        <v>2826442914.974</v>
      </c>
      <c r="I279" s="346">
        <v>2.5488</v>
      </c>
      <c r="J279" s="286" t="s">
        <v>314</v>
      </c>
      <c r="K279" s="267">
        <f>ROUND($I279*E279/100,0)</f>
        <v>66939507</v>
      </c>
      <c r="M279" s="267">
        <f>ROUND($I279*G279/100,0)</f>
        <v>72040377</v>
      </c>
      <c r="O279" s="345">
        <f>ROUND((AD274-SUM(Q273:Q278,Q751:Q756))/(G279+G757)*100,4)</f>
        <v>2.7195</v>
      </c>
      <c r="P279" s="286" t="s">
        <v>314</v>
      </c>
      <c r="Q279" s="267">
        <f>ROUND(O279*$G279/100,0)</f>
        <v>76865115</v>
      </c>
      <c r="R279" s="267"/>
      <c r="S279" s="267"/>
      <c r="T279" s="267"/>
      <c r="U279" s="267"/>
      <c r="V279" s="267"/>
      <c r="W279" s="267"/>
      <c r="X279" s="267"/>
      <c r="Y279" s="267"/>
      <c r="Z279" s="267"/>
      <c r="AA279" s="267"/>
      <c r="AB279" s="301"/>
      <c r="AC279" s="305" t="s">
        <v>321</v>
      </c>
      <c r="AD279" s="326">
        <f>O273/I273-1</f>
        <v>6.6371681415929196E-2</v>
      </c>
      <c r="AF279" s="279">
        <f t="shared" si="74"/>
        <v>6.697269303201514E-2</v>
      </c>
      <c r="AG279" s="321"/>
      <c r="AH279" s="309"/>
    </row>
    <row r="280" spans="2:34">
      <c r="B280" s="275" t="s">
        <v>333</v>
      </c>
      <c r="E280" s="103">
        <f>E302+E291+E313</f>
        <v>17971369</v>
      </c>
      <c r="G280" s="103">
        <f>G302+G291+G313</f>
        <v>0</v>
      </c>
      <c r="K280" s="308">
        <f>K302+K291+K313</f>
        <v>371839</v>
      </c>
      <c r="M280" s="308">
        <f>M302+M291+M313</f>
        <v>0</v>
      </c>
      <c r="Q280" s="308">
        <v>0</v>
      </c>
      <c r="R280" s="301"/>
      <c r="S280" s="301"/>
      <c r="T280" s="301"/>
      <c r="U280" s="301"/>
      <c r="V280" s="301"/>
      <c r="W280" s="301"/>
      <c r="X280" s="301"/>
      <c r="Y280" s="301"/>
      <c r="Z280" s="301"/>
      <c r="AA280" s="301"/>
      <c r="AC280" s="273" t="s">
        <v>336</v>
      </c>
      <c r="AD280" s="336">
        <f>(Q281)/(M281)-1</f>
        <v>6.6964113459910823E-2</v>
      </c>
    </row>
    <row r="281" spans="2:34" ht="16.5" thickBot="1">
      <c r="B281" s="275" t="s">
        <v>334</v>
      </c>
      <c r="E281" s="325">
        <f>E303+E292+E314</f>
        <v>4238469403.6088982</v>
      </c>
      <c r="G281" s="325">
        <f>G303+G292+G314</f>
        <v>4538067241.974</v>
      </c>
      <c r="I281" s="318"/>
      <c r="K281" s="319">
        <f>SUM(K273:K280)</f>
        <v>211670417</v>
      </c>
      <c r="M281" s="319">
        <f>SUM(M273:M280)</f>
        <v>226409344</v>
      </c>
      <c r="O281" s="318"/>
      <c r="Q281" s="319">
        <f>SUM(Q273:Q280)</f>
        <v>241570645</v>
      </c>
      <c r="R281" s="301"/>
      <c r="S281" s="301"/>
      <c r="T281" s="301"/>
      <c r="U281" s="301"/>
      <c r="V281" s="301"/>
      <c r="W281" s="301"/>
      <c r="X281" s="301"/>
      <c r="Y281" s="301"/>
      <c r="Z281" s="301"/>
      <c r="AA281" s="301"/>
      <c r="AC281" s="265"/>
      <c r="AD281" s="274"/>
      <c r="AE281" s="320"/>
    </row>
    <row r="282" spans="2:34" ht="16.5" thickTop="1">
      <c r="E282" s="102"/>
      <c r="G282" s="102"/>
      <c r="AB282" s="267"/>
    </row>
    <row r="283" spans="2:34">
      <c r="B283" s="272" t="s">
        <v>278</v>
      </c>
      <c r="E283" s="102"/>
      <c r="G283" s="102"/>
      <c r="AB283" s="267"/>
    </row>
    <row r="284" spans="2:34">
      <c r="B284" s="275" t="s">
        <v>345</v>
      </c>
      <c r="E284" s="102">
        <v>305.63333797814198</v>
      </c>
      <c r="G284" s="102">
        <v>300</v>
      </c>
      <c r="I284" s="300">
        <v>226</v>
      </c>
      <c r="J284" s="299"/>
      <c r="K284" s="267">
        <f>ROUND($I284*E284,0)</f>
        <v>69073</v>
      </c>
      <c r="M284" s="267">
        <f>ROUND($I284*G284,0)</f>
        <v>67800</v>
      </c>
      <c r="O284" s="300">
        <f t="shared" ref="O284:O290" si="76">O273</f>
        <v>241</v>
      </c>
      <c r="P284" s="299"/>
      <c r="Q284" s="267">
        <f>ROUND(O284*$G284,0)</f>
        <v>72300</v>
      </c>
      <c r="R284" s="267"/>
      <c r="S284" s="267"/>
      <c r="T284" s="267"/>
      <c r="U284" s="267"/>
      <c r="V284" s="267"/>
      <c r="W284" s="267"/>
      <c r="X284" s="267"/>
      <c r="Y284" s="267"/>
      <c r="Z284" s="267"/>
      <c r="AA284" s="267"/>
      <c r="AB284" s="267"/>
      <c r="AF284" s="279">
        <f t="shared" ref="AF284:AF290" si="77">O284/I284-1</f>
        <v>6.6371681415929196E-2</v>
      </c>
    </row>
    <row r="285" spans="2:34">
      <c r="B285" s="275" t="s">
        <v>268</v>
      </c>
      <c r="E285" s="102">
        <v>645283.86060606095</v>
      </c>
      <c r="G285" s="102">
        <f>ROUND(E285*$G$292/$E$292,0)</f>
        <v>582790</v>
      </c>
      <c r="I285" s="300">
        <v>1.94</v>
      </c>
      <c r="J285" s="299"/>
      <c r="K285" s="267">
        <f>ROUND($I285*E285,0)</f>
        <v>1251851</v>
      </c>
      <c r="M285" s="267">
        <f>ROUND($I285*G285,0)</f>
        <v>1130613</v>
      </c>
      <c r="O285" s="300">
        <f t="shared" si="76"/>
        <v>2.0699999999999998</v>
      </c>
      <c r="P285" s="299"/>
      <c r="Q285" s="267">
        <f>ROUND(O285*$G285,0)</f>
        <v>1206375</v>
      </c>
      <c r="R285" s="267"/>
      <c r="S285" s="267"/>
      <c r="T285" s="267"/>
      <c r="U285" s="267"/>
      <c r="V285" s="267"/>
      <c r="W285" s="267"/>
      <c r="X285" s="267"/>
      <c r="Y285" s="267"/>
      <c r="Z285" s="267"/>
      <c r="AA285" s="267"/>
      <c r="AB285" s="267"/>
      <c r="AC285" s="99"/>
      <c r="AF285" s="279">
        <f t="shared" si="77"/>
        <v>6.7010309278350499E-2</v>
      </c>
    </row>
    <row r="286" spans="2:34">
      <c r="B286" s="275" t="s">
        <v>269</v>
      </c>
      <c r="E286" s="102">
        <v>259347.34502788101</v>
      </c>
      <c r="G286" s="102">
        <f>ROUND(E286*$G$292/$E$292,0)</f>
        <v>234230</v>
      </c>
      <c r="I286" s="300">
        <v>12.18</v>
      </c>
      <c r="J286" s="299"/>
      <c r="K286" s="267">
        <f>ROUND($I286*E286,0)</f>
        <v>3158851</v>
      </c>
      <c r="M286" s="267">
        <f>ROUND($I286*G286,0)</f>
        <v>2852921</v>
      </c>
      <c r="O286" s="300">
        <f t="shared" si="76"/>
        <v>13</v>
      </c>
      <c r="P286" s="299"/>
      <c r="Q286" s="267">
        <f>ROUND(O286*$G286,0)</f>
        <v>3044990</v>
      </c>
      <c r="R286" s="267"/>
      <c r="S286" s="267"/>
      <c r="T286" s="267"/>
      <c r="U286" s="267"/>
      <c r="V286" s="267"/>
      <c r="W286" s="267"/>
      <c r="X286" s="267"/>
      <c r="Y286" s="267"/>
      <c r="Z286" s="267"/>
      <c r="AA286" s="267"/>
      <c r="AB286" s="267"/>
      <c r="AE286" s="309"/>
      <c r="AF286" s="279">
        <f t="shared" si="77"/>
        <v>6.7323481116584594E-2</v>
      </c>
    </row>
    <row r="287" spans="2:34">
      <c r="B287" s="275" t="s">
        <v>270</v>
      </c>
      <c r="E287" s="102">
        <v>354959.52602739702</v>
      </c>
      <c r="G287" s="102">
        <f>ROUND(E287*$G$292/$E$292,0)</f>
        <v>320583</v>
      </c>
      <c r="I287" s="300">
        <v>8.26</v>
      </c>
      <c r="J287" s="299"/>
      <c r="K287" s="267">
        <f>ROUND($I287*E287,0)</f>
        <v>2931966</v>
      </c>
      <c r="M287" s="267">
        <f>ROUND($I287*G287,0)</f>
        <v>2648016</v>
      </c>
      <c r="O287" s="300">
        <f t="shared" si="76"/>
        <v>8.81</v>
      </c>
      <c r="P287" s="299"/>
      <c r="Q287" s="267">
        <f>ROUND(O287*$G287,0)</f>
        <v>2824336</v>
      </c>
      <c r="R287" s="267"/>
      <c r="S287" s="267"/>
      <c r="T287" s="267"/>
      <c r="U287" s="267"/>
      <c r="V287" s="267"/>
      <c r="W287" s="267"/>
      <c r="X287" s="267"/>
      <c r="Y287" s="267"/>
      <c r="Z287" s="267"/>
      <c r="AA287" s="267"/>
      <c r="AB287" s="301"/>
      <c r="AF287" s="279">
        <f t="shared" si="77"/>
        <v>6.6585956416465031E-2</v>
      </c>
    </row>
    <row r="288" spans="2:34">
      <c r="B288" s="275" t="s">
        <v>276</v>
      </c>
      <c r="E288" s="102">
        <v>33553016</v>
      </c>
      <c r="G288" s="102">
        <f>ROUND(E288*$G$292/($E$292-$E$291),0)</f>
        <v>30404285</v>
      </c>
      <c r="I288" s="332">
        <v>4.0587999999999997</v>
      </c>
      <c r="J288" s="286" t="s">
        <v>314</v>
      </c>
      <c r="K288" s="267">
        <f>ROUND($I288*E288/100,0)</f>
        <v>1361850</v>
      </c>
      <c r="M288" s="267">
        <f>ROUND($I288*G288/100,0)</f>
        <v>1234049</v>
      </c>
      <c r="O288" s="332">
        <f t="shared" si="76"/>
        <v>4.3304999999999998</v>
      </c>
      <c r="P288" s="286" t="s">
        <v>314</v>
      </c>
      <c r="Q288" s="267">
        <f>ROUND(O288*$G288/100,0)</f>
        <v>1316658</v>
      </c>
      <c r="R288" s="267"/>
      <c r="S288" s="267"/>
      <c r="T288" s="267"/>
      <c r="U288" s="267"/>
      <c r="V288" s="267"/>
      <c r="W288" s="267"/>
      <c r="X288" s="267"/>
      <c r="Y288" s="267"/>
      <c r="Z288" s="267"/>
      <c r="AA288" s="267"/>
      <c r="AB288" s="301"/>
      <c r="AF288" s="279">
        <f t="shared" si="77"/>
        <v>6.6940967773726268E-2</v>
      </c>
      <c r="AG288" s="309"/>
    </row>
    <row r="289" spans="2:34">
      <c r="B289" s="275" t="s">
        <v>277</v>
      </c>
      <c r="E289" s="102">
        <v>82706165</v>
      </c>
      <c r="G289" s="102">
        <f>ROUND(E289*$G$292/($E$292-$E$291),0)</f>
        <v>74944734</v>
      </c>
      <c r="I289" s="332">
        <v>3.052</v>
      </c>
      <c r="J289" s="286" t="s">
        <v>314</v>
      </c>
      <c r="K289" s="267">
        <f>ROUND($I289*E289/100,0)</f>
        <v>2524192</v>
      </c>
      <c r="M289" s="267">
        <f>ROUND($I289*G289/100,0)</f>
        <v>2287313</v>
      </c>
      <c r="O289" s="332">
        <f t="shared" si="76"/>
        <v>3.2563</v>
      </c>
      <c r="P289" s="286" t="s">
        <v>314</v>
      </c>
      <c r="Q289" s="267">
        <f>ROUND(O289*$G289/100,0)</f>
        <v>2440425</v>
      </c>
      <c r="R289" s="267"/>
      <c r="S289" s="267"/>
      <c r="T289" s="267"/>
      <c r="U289" s="267"/>
      <c r="V289" s="267"/>
      <c r="W289" s="267"/>
      <c r="X289" s="267"/>
      <c r="Y289" s="267"/>
      <c r="Z289" s="267"/>
      <c r="AA289" s="267"/>
      <c r="AB289" s="301"/>
      <c r="AF289" s="279">
        <f t="shared" si="77"/>
        <v>6.6939711664482315E-2</v>
      </c>
    </row>
    <row r="290" spans="2:34">
      <c r="B290" s="275" t="s">
        <v>271</v>
      </c>
      <c r="E290" s="102">
        <v>175096850</v>
      </c>
      <c r="G290" s="102">
        <f>G292-G288-G289</f>
        <v>158665158.97399998</v>
      </c>
      <c r="I290" s="332">
        <v>2.5488</v>
      </c>
      <c r="J290" s="286" t="s">
        <v>314</v>
      </c>
      <c r="K290" s="267">
        <f>ROUND($I290*E290/100,0)</f>
        <v>4462869</v>
      </c>
      <c r="M290" s="267">
        <f>ROUND($I290*G290/100,0)</f>
        <v>4044058</v>
      </c>
      <c r="O290" s="332">
        <f t="shared" si="76"/>
        <v>2.7195</v>
      </c>
      <c r="P290" s="286" t="s">
        <v>314</v>
      </c>
      <c r="Q290" s="267">
        <f>ROUND(O290*$G290/100,0)</f>
        <v>4314899</v>
      </c>
      <c r="R290" s="267"/>
      <c r="S290" s="267"/>
      <c r="T290" s="267"/>
      <c r="U290" s="267"/>
      <c r="V290" s="267"/>
      <c r="W290" s="267"/>
      <c r="X290" s="267"/>
      <c r="Y290" s="267"/>
      <c r="Z290" s="267"/>
      <c r="AA290" s="267"/>
      <c r="AB290" s="301"/>
      <c r="AC290" s="264" t="s">
        <v>315</v>
      </c>
      <c r="AD290" s="315">
        <f>Q292/M292-1</f>
        <v>6.6963084578300247E-2</v>
      </c>
      <c r="AF290" s="279">
        <f t="shared" si="77"/>
        <v>6.697269303201514E-2</v>
      </c>
      <c r="AH290" s="309"/>
    </row>
    <row r="291" spans="2:34">
      <c r="B291" s="275" t="s">
        <v>333</v>
      </c>
      <c r="E291" s="103">
        <v>968800</v>
      </c>
      <c r="G291" s="103">
        <v>0</v>
      </c>
      <c r="K291" s="308">
        <v>22084</v>
      </c>
      <c r="M291" s="308">
        <v>0</v>
      </c>
      <c r="Q291" s="308">
        <v>0</v>
      </c>
      <c r="R291" s="301"/>
      <c r="S291" s="301"/>
      <c r="T291" s="301"/>
      <c r="U291" s="301"/>
      <c r="V291" s="301"/>
      <c r="W291" s="301"/>
      <c r="X291" s="301"/>
      <c r="Y291" s="301"/>
      <c r="Z291" s="301"/>
      <c r="AA291" s="301"/>
      <c r="AD291" s="327"/>
    </row>
    <row r="292" spans="2:34" ht="16.5" thickBot="1">
      <c r="B292" s="275" t="s">
        <v>334</v>
      </c>
      <c r="E292" s="325">
        <f>SUM(E288:E291)</f>
        <v>292324831</v>
      </c>
      <c r="G292" s="325">
        <v>264014177.97399998</v>
      </c>
      <c r="I292" s="318"/>
      <c r="K292" s="319">
        <f>SUM(K284:K291)</f>
        <v>15782736</v>
      </c>
      <c r="M292" s="319">
        <f>SUM(M284:M291)</f>
        <v>14264770</v>
      </c>
      <c r="O292" s="318"/>
      <c r="Q292" s="319">
        <f>SUM(Q284:Q291)</f>
        <v>15219983</v>
      </c>
      <c r="R292" s="301"/>
      <c r="S292" s="301"/>
      <c r="T292" s="301"/>
      <c r="U292" s="301"/>
      <c r="V292" s="301"/>
      <c r="W292" s="301"/>
      <c r="X292" s="301"/>
      <c r="Y292" s="301"/>
      <c r="Z292" s="301"/>
      <c r="AA292" s="301"/>
      <c r="AD292" s="309"/>
    </row>
    <row r="293" spans="2:34" ht="16.5" thickTop="1">
      <c r="E293" s="102"/>
      <c r="G293" s="102"/>
      <c r="AB293" s="267"/>
    </row>
    <row r="294" spans="2:34">
      <c r="B294" s="272" t="s">
        <v>279</v>
      </c>
      <c r="E294" s="102"/>
      <c r="G294" s="102"/>
      <c r="AB294" s="267"/>
    </row>
    <row r="295" spans="2:34">
      <c r="B295" s="275" t="s">
        <v>345</v>
      </c>
      <c r="E295" s="102">
        <v>1425.899851639344</v>
      </c>
      <c r="G295" s="102">
        <v>1374</v>
      </c>
      <c r="I295" s="300">
        <v>226</v>
      </c>
      <c r="J295" s="299"/>
      <c r="K295" s="267">
        <f>ROUND($I295*E295,0)</f>
        <v>322253</v>
      </c>
      <c r="M295" s="267">
        <f>ROUND($I295*G295,0)</f>
        <v>310524</v>
      </c>
      <c r="O295" s="300">
        <f t="shared" ref="O295:O301" si="78">O273</f>
        <v>241</v>
      </c>
      <c r="P295" s="299"/>
      <c r="Q295" s="267">
        <f>ROUND(O295*$G295,0)</f>
        <v>331134</v>
      </c>
      <c r="R295" s="267"/>
      <c r="S295" s="267"/>
      <c r="T295" s="267"/>
      <c r="U295" s="267"/>
      <c r="V295" s="267"/>
      <c r="W295" s="267"/>
      <c r="X295" s="267"/>
      <c r="Y295" s="267"/>
      <c r="Z295" s="267"/>
      <c r="AA295" s="267"/>
      <c r="AB295" s="267"/>
      <c r="AF295" s="279">
        <f t="shared" ref="AF295:AF301" si="79">O295/I295-1</f>
        <v>6.6371681415929196E-2</v>
      </c>
    </row>
    <row r="296" spans="2:34">
      <c r="B296" s="275" t="s">
        <v>268</v>
      </c>
      <c r="E296" s="102">
        <v>6313525.7913875598</v>
      </c>
      <c r="G296" s="102">
        <f>ROUND(E296*$G$303/$E$303,0)</f>
        <v>6916430</v>
      </c>
      <c r="I296" s="300">
        <v>1.94</v>
      </c>
      <c r="J296" s="299"/>
      <c r="K296" s="267">
        <f>ROUND($I296*E296,0)</f>
        <v>12248240</v>
      </c>
      <c r="M296" s="267">
        <f>ROUND($I296*G296,0)</f>
        <v>13417874</v>
      </c>
      <c r="O296" s="300">
        <f t="shared" si="78"/>
        <v>2.0699999999999998</v>
      </c>
      <c r="P296" s="299"/>
      <c r="Q296" s="267">
        <f>ROUND(O296*$G296,0)</f>
        <v>14317010</v>
      </c>
      <c r="R296" s="267"/>
      <c r="S296" s="267"/>
      <c r="T296" s="267"/>
      <c r="U296" s="267"/>
      <c r="V296" s="267"/>
      <c r="W296" s="267"/>
      <c r="X296" s="267"/>
      <c r="Y296" s="267"/>
      <c r="Z296" s="267"/>
      <c r="AA296" s="267"/>
      <c r="AB296" s="267"/>
      <c r="AF296" s="279">
        <f t="shared" si="79"/>
        <v>6.7010309278350499E-2</v>
      </c>
    </row>
    <row r="297" spans="2:34">
      <c r="B297" s="275" t="s">
        <v>269</v>
      </c>
      <c r="E297" s="102">
        <v>2605260.6013404382</v>
      </c>
      <c r="G297" s="102">
        <f>ROUND(E297*$G$303/$E$303,0)</f>
        <v>2854048</v>
      </c>
      <c r="I297" s="300">
        <v>12.18</v>
      </c>
      <c r="J297" s="299"/>
      <c r="K297" s="267">
        <f>ROUND($I297*E297,0)</f>
        <v>31732074</v>
      </c>
      <c r="M297" s="267">
        <f>ROUND($I297*G297,0)</f>
        <v>34762305</v>
      </c>
      <c r="O297" s="300">
        <f t="shared" si="78"/>
        <v>13</v>
      </c>
      <c r="P297" s="299"/>
      <c r="Q297" s="267">
        <f>ROUND(O297*$G297,0)</f>
        <v>37102624</v>
      </c>
      <c r="R297" s="267"/>
      <c r="S297" s="267"/>
      <c r="T297" s="267"/>
      <c r="U297" s="267"/>
      <c r="V297" s="267"/>
      <c r="W297" s="267"/>
      <c r="X297" s="267"/>
      <c r="Y297" s="267"/>
      <c r="Z297" s="267"/>
      <c r="AA297" s="267"/>
      <c r="AB297" s="267"/>
      <c r="AE297" s="309"/>
      <c r="AF297" s="279">
        <f t="shared" si="79"/>
        <v>6.7323481116584594E-2</v>
      </c>
    </row>
    <row r="298" spans="2:34">
      <c r="B298" s="275" t="s">
        <v>270</v>
      </c>
      <c r="E298" s="102">
        <v>3616199.2068493161</v>
      </c>
      <c r="G298" s="102">
        <f>ROUND(E298*$G$303/$E$303,0)</f>
        <v>3961525</v>
      </c>
      <c r="I298" s="300">
        <v>8.26</v>
      </c>
      <c r="J298" s="299"/>
      <c r="K298" s="267">
        <f>ROUND($I298*E298,0)</f>
        <v>29869805</v>
      </c>
      <c r="M298" s="267">
        <f>ROUND($I298*G298,0)</f>
        <v>32722197</v>
      </c>
      <c r="O298" s="300">
        <f t="shared" si="78"/>
        <v>8.81</v>
      </c>
      <c r="P298" s="299"/>
      <c r="Q298" s="267">
        <f>ROUND(O298*$G298,0)</f>
        <v>34901035</v>
      </c>
      <c r="R298" s="267"/>
      <c r="S298" s="267"/>
      <c r="T298" s="267"/>
      <c r="U298" s="267"/>
      <c r="V298" s="267"/>
      <c r="W298" s="267"/>
      <c r="X298" s="267"/>
      <c r="Y298" s="267"/>
      <c r="Z298" s="267"/>
      <c r="AA298" s="267"/>
      <c r="AB298" s="301"/>
      <c r="AF298" s="279">
        <f t="shared" si="79"/>
        <v>6.6585956416465031E-2</v>
      </c>
    </row>
    <row r="299" spans="2:34">
      <c r="B299" s="275" t="s">
        <v>276</v>
      </c>
      <c r="E299" s="102">
        <v>359749375</v>
      </c>
      <c r="G299" s="102">
        <f>ROUND(E299*$G$303/($E$303-E$302),0)</f>
        <v>396239107</v>
      </c>
      <c r="I299" s="332">
        <v>4.0587999999999997</v>
      </c>
      <c r="J299" s="286" t="s">
        <v>314</v>
      </c>
      <c r="K299" s="267">
        <f>ROUND($I299*E299/100,0)</f>
        <v>14601508</v>
      </c>
      <c r="M299" s="267">
        <f>ROUND($I299*G299/100,0)</f>
        <v>16082553</v>
      </c>
      <c r="O299" s="332">
        <f t="shared" si="78"/>
        <v>4.3304999999999998</v>
      </c>
      <c r="P299" s="286" t="s">
        <v>314</v>
      </c>
      <c r="Q299" s="267">
        <f>ROUND(O299*$G299/100,0)</f>
        <v>17159135</v>
      </c>
      <c r="R299" s="267"/>
      <c r="S299" s="267"/>
      <c r="T299" s="267"/>
      <c r="U299" s="267"/>
      <c r="V299" s="267"/>
      <c r="W299" s="267"/>
      <c r="X299" s="267"/>
      <c r="Y299" s="267"/>
      <c r="Z299" s="267"/>
      <c r="AA299" s="267"/>
      <c r="AB299" s="301"/>
      <c r="AF299" s="279">
        <f t="shared" si="79"/>
        <v>6.6940967773726268E-2</v>
      </c>
      <c r="AG299" s="309"/>
    </row>
    <row r="300" spans="2:34">
      <c r="B300" s="275" t="s">
        <v>277</v>
      </c>
      <c r="E300" s="102">
        <v>951391464</v>
      </c>
      <c r="G300" s="102">
        <f>ROUND(E300*$G$303/($E$303-E$302),0)</f>
        <v>1047892034</v>
      </c>
      <c r="I300" s="332">
        <v>3.052</v>
      </c>
      <c r="J300" s="286" t="s">
        <v>314</v>
      </c>
      <c r="K300" s="267">
        <f>ROUND($I300*E300/100,0)</f>
        <v>29036467</v>
      </c>
      <c r="M300" s="267">
        <f>ROUND($I300*G300/100,0)</f>
        <v>31981665</v>
      </c>
      <c r="O300" s="332">
        <f t="shared" si="78"/>
        <v>3.2563</v>
      </c>
      <c r="P300" s="286" t="s">
        <v>314</v>
      </c>
      <c r="Q300" s="267">
        <f>ROUND(O300*$G300/100,0)</f>
        <v>34122508</v>
      </c>
      <c r="R300" s="267"/>
      <c r="S300" s="267"/>
      <c r="T300" s="267"/>
      <c r="U300" s="267"/>
      <c r="V300" s="267"/>
      <c r="W300" s="267"/>
      <c r="X300" s="267"/>
      <c r="Y300" s="267"/>
      <c r="Z300" s="267"/>
      <c r="AA300" s="267"/>
      <c r="AB300" s="301"/>
      <c r="AF300" s="279">
        <f t="shared" si="79"/>
        <v>6.6939711664482315E-2</v>
      </c>
    </row>
    <row r="301" spans="2:34">
      <c r="B301" s="275" t="s">
        <v>271</v>
      </c>
      <c r="E301" s="102">
        <v>2203092623</v>
      </c>
      <c r="G301" s="102">
        <f>G303-G299-G300</f>
        <v>2426554469</v>
      </c>
      <c r="I301" s="332">
        <v>2.5488</v>
      </c>
      <c r="J301" s="286" t="s">
        <v>314</v>
      </c>
      <c r="K301" s="267">
        <f>ROUND($I301*E301/100,0)</f>
        <v>56152425</v>
      </c>
      <c r="M301" s="267">
        <f>ROUND($I301*G301/100,0)</f>
        <v>61848020</v>
      </c>
      <c r="O301" s="332">
        <f t="shared" si="78"/>
        <v>2.7195</v>
      </c>
      <c r="P301" s="286" t="s">
        <v>314</v>
      </c>
      <c r="Q301" s="267">
        <f>ROUND(O301*$G301/100,0)</f>
        <v>65990149</v>
      </c>
      <c r="R301" s="267"/>
      <c r="S301" s="267"/>
      <c r="T301" s="267"/>
      <c r="U301" s="267"/>
      <c r="V301" s="267"/>
      <c r="W301" s="267"/>
      <c r="X301" s="267"/>
      <c r="Y301" s="267"/>
      <c r="Z301" s="267"/>
      <c r="AA301" s="267"/>
      <c r="AB301" s="301"/>
      <c r="AC301" s="264" t="s">
        <v>315</v>
      </c>
      <c r="AD301" s="315">
        <f>Q303/M303-1</f>
        <v>6.6963755442782213E-2</v>
      </c>
      <c r="AF301" s="279">
        <f t="shared" si="79"/>
        <v>6.697269303201514E-2</v>
      </c>
      <c r="AH301" s="309"/>
    </row>
    <row r="302" spans="2:34">
      <c r="B302" s="275" t="s">
        <v>333</v>
      </c>
      <c r="E302" s="103">
        <v>19044942</v>
      </c>
      <c r="G302" s="103">
        <v>0</v>
      </c>
      <c r="K302" s="308">
        <v>412900</v>
      </c>
      <c r="M302" s="308">
        <v>0</v>
      </c>
      <c r="Q302" s="308">
        <v>0</v>
      </c>
      <c r="R302" s="301"/>
      <c r="S302" s="301"/>
      <c r="T302" s="301"/>
      <c r="U302" s="301"/>
      <c r="V302" s="301"/>
      <c r="W302" s="301"/>
      <c r="X302" s="301"/>
      <c r="Y302" s="301"/>
      <c r="Z302" s="301"/>
      <c r="AA302" s="301"/>
      <c r="AD302" s="327"/>
    </row>
    <row r="303" spans="2:34" ht="16.5" thickBot="1">
      <c r="B303" s="275" t="s">
        <v>334</v>
      </c>
      <c r="E303" s="325">
        <f>SUM(E299:E302)</f>
        <v>3533278404</v>
      </c>
      <c r="G303" s="325">
        <v>3870685610</v>
      </c>
      <c r="I303" s="318"/>
      <c r="K303" s="319">
        <f>SUM(K295:K302)</f>
        <v>174375672</v>
      </c>
      <c r="M303" s="319">
        <f>SUM(M295:M302)</f>
        <v>191125138</v>
      </c>
      <c r="O303" s="318"/>
      <c r="Q303" s="319">
        <f>SUM(Q295:Q302)</f>
        <v>203923595</v>
      </c>
      <c r="R303" s="301"/>
      <c r="S303" s="301"/>
      <c r="T303" s="301"/>
      <c r="U303" s="301"/>
      <c r="V303" s="301"/>
      <c r="W303" s="301"/>
      <c r="X303" s="301"/>
      <c r="Y303" s="301"/>
      <c r="Z303" s="301"/>
      <c r="AA303" s="301"/>
      <c r="AD303" s="309"/>
    </row>
    <row r="304" spans="2:34" ht="16.5" thickTop="1">
      <c r="E304" s="102"/>
      <c r="G304" s="102"/>
      <c r="AB304" s="267"/>
    </row>
    <row r="305" spans="2:34">
      <c r="B305" s="272" t="s">
        <v>280</v>
      </c>
      <c r="E305" s="102"/>
      <c r="G305" s="102"/>
      <c r="AB305" s="267"/>
    </row>
    <row r="306" spans="2:34">
      <c r="B306" s="275" t="s">
        <v>345</v>
      </c>
      <c r="E306" s="102">
        <v>46.999983333333297</v>
      </c>
      <c r="G306" s="102">
        <v>36</v>
      </c>
      <c r="I306" s="300">
        <v>226</v>
      </c>
      <c r="J306" s="299"/>
      <c r="K306" s="267">
        <f>ROUND($I306*E306,0)</f>
        <v>10622</v>
      </c>
      <c r="M306" s="267">
        <f>ROUND($I306*G306,0)</f>
        <v>8136</v>
      </c>
      <c r="O306" s="300">
        <f t="shared" ref="O306:O312" si="80">O273</f>
        <v>241</v>
      </c>
      <c r="P306" s="299"/>
      <c r="Q306" s="267">
        <f>ROUND(O306*$G306,0)</f>
        <v>8676</v>
      </c>
      <c r="R306" s="267"/>
      <c r="S306" s="267"/>
      <c r="T306" s="267"/>
      <c r="U306" s="267"/>
      <c r="V306" s="267"/>
      <c r="W306" s="267"/>
      <c r="X306" s="267"/>
      <c r="Y306" s="267"/>
      <c r="Z306" s="267"/>
      <c r="AA306" s="267"/>
      <c r="AB306" s="267"/>
      <c r="AF306" s="279">
        <f t="shared" ref="AF306:AF312" si="81">O306/I306-1</f>
        <v>6.6371681415929196E-2</v>
      </c>
    </row>
    <row r="307" spans="2:34">
      <c r="B307" s="275" t="s">
        <v>268</v>
      </c>
      <c r="E307" s="102">
        <v>829897.00595428003</v>
      </c>
      <c r="G307" s="102">
        <f>ROUND(E307*$G$314/$E$314,0)</f>
        <v>810804</v>
      </c>
      <c r="I307" s="300">
        <v>1.94</v>
      </c>
      <c r="J307" s="299"/>
      <c r="K307" s="267">
        <f>ROUND($I307*E307,0)</f>
        <v>1610000</v>
      </c>
      <c r="M307" s="267">
        <f>ROUND($I307*G307,0)</f>
        <v>1572960</v>
      </c>
      <c r="O307" s="300">
        <f t="shared" si="80"/>
        <v>2.0699999999999998</v>
      </c>
      <c r="P307" s="299"/>
      <c r="Q307" s="267">
        <f>ROUND(O307*$G307,0)</f>
        <v>1678364</v>
      </c>
      <c r="R307" s="267"/>
      <c r="S307" s="267"/>
      <c r="T307" s="267"/>
      <c r="U307" s="267"/>
      <c r="V307" s="267"/>
      <c r="W307" s="267"/>
      <c r="X307" s="267"/>
      <c r="Y307" s="267"/>
      <c r="Z307" s="267"/>
      <c r="AA307" s="267"/>
      <c r="AB307" s="267"/>
      <c r="AF307" s="279">
        <f t="shared" si="81"/>
        <v>6.7010309278350499E-2</v>
      </c>
    </row>
    <row r="308" spans="2:34">
      <c r="B308" s="275" t="s">
        <v>269</v>
      </c>
      <c r="E308" s="102">
        <v>350271.52676579898</v>
      </c>
      <c r="G308" s="102">
        <f>ROUND(E308*$G$314/$E$314,0)</f>
        <v>342213</v>
      </c>
      <c r="I308" s="300">
        <v>12.18</v>
      </c>
      <c r="J308" s="299"/>
      <c r="K308" s="267">
        <f>ROUND($I308*E308,0)</f>
        <v>4266307</v>
      </c>
      <c r="M308" s="267">
        <f>ROUND($I308*G308,0)</f>
        <v>4168154</v>
      </c>
      <c r="O308" s="300">
        <f t="shared" si="80"/>
        <v>13</v>
      </c>
      <c r="P308" s="299"/>
      <c r="Q308" s="267">
        <f>ROUND(O308*$G308,0)</f>
        <v>4448769</v>
      </c>
      <c r="R308" s="267"/>
      <c r="S308" s="267"/>
      <c r="T308" s="267"/>
      <c r="U308" s="267"/>
      <c r="V308" s="267"/>
      <c r="W308" s="267"/>
      <c r="X308" s="267"/>
      <c r="Y308" s="267"/>
      <c r="Z308" s="267"/>
      <c r="AA308" s="267"/>
      <c r="AB308" s="267"/>
      <c r="AE308" s="309"/>
      <c r="AF308" s="279">
        <f t="shared" si="81"/>
        <v>6.7323481116584594E-2</v>
      </c>
    </row>
    <row r="309" spans="2:34">
      <c r="B309" s="275" t="s">
        <v>270</v>
      </c>
      <c r="E309" s="102">
        <v>461786</v>
      </c>
      <c r="G309" s="102">
        <f>ROUND(E309*$G$314/$E$314,0)</f>
        <v>451162</v>
      </c>
      <c r="I309" s="300">
        <v>8.26</v>
      </c>
      <c r="J309" s="299"/>
      <c r="K309" s="267">
        <f>ROUND($I309*E309,0)</f>
        <v>3814352</v>
      </c>
      <c r="M309" s="267">
        <f>ROUND($I309*G309,0)</f>
        <v>3726598</v>
      </c>
      <c r="O309" s="300">
        <f t="shared" si="80"/>
        <v>8.81</v>
      </c>
      <c r="P309" s="299"/>
      <c r="Q309" s="267">
        <f>ROUND(O309*$G309,0)</f>
        <v>3974737</v>
      </c>
      <c r="R309" s="267"/>
      <c r="S309" s="267"/>
      <c r="T309" s="267"/>
      <c r="U309" s="267"/>
      <c r="V309" s="267"/>
      <c r="W309" s="267"/>
      <c r="X309" s="267"/>
      <c r="Y309" s="267"/>
      <c r="Z309" s="267"/>
      <c r="AA309" s="267"/>
      <c r="AB309" s="301"/>
      <c r="AF309" s="279">
        <f t="shared" si="81"/>
        <v>6.6585956416465031E-2</v>
      </c>
    </row>
    <row r="310" spans="2:34">
      <c r="B310" s="275" t="s">
        <v>276</v>
      </c>
      <c r="E310" s="102">
        <v>45632709</v>
      </c>
      <c r="G310" s="102">
        <f>ROUND(E310*$G$314/($E$314-$E$313),0)</f>
        <v>44363390</v>
      </c>
      <c r="I310" s="332">
        <v>4.0587999999999997</v>
      </c>
      <c r="J310" s="286" t="s">
        <v>314</v>
      </c>
      <c r="K310" s="267">
        <f>ROUND($I310*E310/100,0)</f>
        <v>1852140</v>
      </c>
      <c r="M310" s="267">
        <f>ROUND($I310*G310/100,0)</f>
        <v>1800621</v>
      </c>
      <c r="O310" s="332">
        <f t="shared" si="80"/>
        <v>4.3304999999999998</v>
      </c>
      <c r="P310" s="286" t="s">
        <v>314</v>
      </c>
      <c r="Q310" s="267">
        <f>ROUND(O310*$G310/100,0)</f>
        <v>1921157</v>
      </c>
      <c r="R310" s="267"/>
      <c r="S310" s="267"/>
      <c r="T310" s="267"/>
      <c r="U310" s="267"/>
      <c r="V310" s="267"/>
      <c r="W310" s="267"/>
      <c r="X310" s="267"/>
      <c r="Y310" s="267"/>
      <c r="Z310" s="267"/>
      <c r="AA310" s="267"/>
      <c r="AB310" s="301"/>
      <c r="AF310" s="279">
        <f t="shared" si="81"/>
        <v>6.6940967773726268E-2</v>
      </c>
      <c r="AG310" s="309"/>
    </row>
    <row r="311" spans="2:34">
      <c r="B311" s="275" t="s">
        <v>277</v>
      </c>
      <c r="E311" s="102">
        <v>121150702</v>
      </c>
      <c r="G311" s="102">
        <f>ROUND(E311*$G$314/($E$314-$E$313),0)</f>
        <v>117780777</v>
      </c>
      <c r="I311" s="332">
        <v>3.052</v>
      </c>
      <c r="J311" s="286" t="s">
        <v>314</v>
      </c>
      <c r="K311" s="267">
        <f>ROUND($I311*E311/100,0)</f>
        <v>3697519</v>
      </c>
      <c r="M311" s="267">
        <f>ROUND($I311*G311/100,0)</f>
        <v>3594669</v>
      </c>
      <c r="O311" s="332">
        <f t="shared" si="80"/>
        <v>3.2563</v>
      </c>
      <c r="P311" s="286" t="s">
        <v>314</v>
      </c>
      <c r="Q311" s="267">
        <f>ROUND(O311*$G311/100,0)</f>
        <v>3835295</v>
      </c>
      <c r="R311" s="267"/>
      <c r="S311" s="267"/>
      <c r="T311" s="267"/>
      <c r="U311" s="267"/>
      <c r="V311" s="267"/>
      <c r="W311" s="267"/>
      <c r="X311" s="267"/>
      <c r="Y311" s="267"/>
      <c r="Z311" s="267"/>
      <c r="AA311" s="267"/>
      <c r="AB311" s="301"/>
      <c r="AF311" s="279">
        <f t="shared" si="81"/>
        <v>6.6939711664482315E-2</v>
      </c>
    </row>
    <row r="312" spans="2:34">
      <c r="B312" s="275" t="s">
        <v>271</v>
      </c>
      <c r="E312" s="102">
        <v>248125130.6088984</v>
      </c>
      <c r="G312" s="102">
        <f>G314-G310-G311</f>
        <v>241223287</v>
      </c>
      <c r="I312" s="332">
        <v>2.5488</v>
      </c>
      <c r="J312" s="286" t="s">
        <v>314</v>
      </c>
      <c r="K312" s="267">
        <f>ROUND($I312*E312/100,0)</f>
        <v>6324213</v>
      </c>
      <c r="M312" s="267">
        <f>ROUND($I312*G312/100,0)</f>
        <v>6148299</v>
      </c>
      <c r="O312" s="332">
        <f t="shared" si="80"/>
        <v>2.7195</v>
      </c>
      <c r="P312" s="286" t="s">
        <v>314</v>
      </c>
      <c r="Q312" s="267">
        <f>ROUND(O312*$G312/100,0)</f>
        <v>6560067</v>
      </c>
      <c r="R312" s="267"/>
      <c r="S312" s="267"/>
      <c r="T312" s="267"/>
      <c r="U312" s="267"/>
      <c r="V312" s="267"/>
      <c r="W312" s="267"/>
      <c r="X312" s="267"/>
      <c r="Y312" s="267"/>
      <c r="Z312" s="267"/>
      <c r="AA312" s="267"/>
      <c r="AB312" s="301"/>
      <c r="AC312" s="264" t="s">
        <v>315</v>
      </c>
      <c r="AD312" s="315">
        <f>Q314/M314-1</f>
        <v>6.6967921167441435E-2</v>
      </c>
      <c r="AF312" s="279">
        <f t="shared" si="81"/>
        <v>6.697269303201514E-2</v>
      </c>
      <c r="AH312" s="309"/>
    </row>
    <row r="313" spans="2:34">
      <c r="B313" s="275" t="s">
        <v>333</v>
      </c>
      <c r="E313" s="103">
        <v>-2042373</v>
      </c>
      <c r="G313" s="103">
        <v>0</v>
      </c>
      <c r="K313" s="308">
        <v>-63145</v>
      </c>
      <c r="M313" s="308">
        <v>0</v>
      </c>
      <c r="Q313" s="308">
        <v>0</v>
      </c>
      <c r="R313" s="301"/>
      <c r="S313" s="301"/>
      <c r="T313" s="301"/>
      <c r="U313" s="301"/>
      <c r="V313" s="301"/>
      <c r="W313" s="301"/>
      <c r="X313" s="301"/>
      <c r="Y313" s="301"/>
      <c r="Z313" s="301"/>
      <c r="AA313" s="301"/>
      <c r="AD313" s="327"/>
      <c r="AE313" s="320"/>
    </row>
    <row r="314" spans="2:34" ht="16.5" thickBot="1">
      <c r="B314" s="275" t="s">
        <v>334</v>
      </c>
      <c r="E314" s="325">
        <f>SUM(E310:E313)</f>
        <v>412866168.6088984</v>
      </c>
      <c r="G314" s="325">
        <v>403367454</v>
      </c>
      <c r="I314" s="318"/>
      <c r="K314" s="319">
        <f>SUM(K306:K313)</f>
        <v>21512008</v>
      </c>
      <c r="M314" s="319">
        <f>SUM(M306:M313)</f>
        <v>21019437</v>
      </c>
      <c r="O314" s="318"/>
      <c r="Q314" s="319">
        <f>SUM(Q306:Q313)</f>
        <v>22427065</v>
      </c>
      <c r="R314" s="301"/>
      <c r="S314" s="301"/>
      <c r="T314" s="301"/>
      <c r="U314" s="301"/>
      <c r="V314" s="301"/>
      <c r="W314" s="301"/>
      <c r="X314" s="301"/>
      <c r="Y314" s="301"/>
      <c r="Z314" s="301"/>
      <c r="AA314" s="301"/>
      <c r="AD314" s="309"/>
      <c r="AE314" s="320"/>
    </row>
    <row r="315" spans="2:34" ht="16.5" thickTop="1">
      <c r="E315" s="102"/>
      <c r="G315" s="102"/>
      <c r="AB315" s="267"/>
      <c r="AF315" s="320"/>
      <c r="AG315" s="267"/>
      <c r="AH315" s="102"/>
    </row>
    <row r="316" spans="2:34">
      <c r="B316" s="272" t="s">
        <v>281</v>
      </c>
      <c r="E316" s="102"/>
      <c r="G316" s="102"/>
      <c r="I316" s="322"/>
      <c r="J316" s="330"/>
      <c r="O316" s="322"/>
      <c r="P316" s="330"/>
      <c r="AB316" s="267"/>
      <c r="AC316" s="277" t="s">
        <v>308</v>
      </c>
      <c r="AD316" s="278">
        <f>Q322</f>
        <v>3106781</v>
      </c>
      <c r="AG316" s="267"/>
      <c r="AH316" s="102"/>
    </row>
    <row r="317" spans="2:34">
      <c r="B317" s="275" t="s">
        <v>345</v>
      </c>
      <c r="E317" s="102">
        <f>E325+E333</f>
        <v>107.99999590163939</v>
      </c>
      <c r="G317" s="102">
        <f>G325+G333</f>
        <v>107.9999833333333</v>
      </c>
      <c r="I317" s="99">
        <v>226</v>
      </c>
      <c r="J317" s="276"/>
      <c r="K317" s="267">
        <f>ROUND($I317*E317,0)</f>
        <v>24408</v>
      </c>
      <c r="M317" s="267">
        <f>ROUND($I317*G317,0)</f>
        <v>24408</v>
      </c>
      <c r="O317" s="99">
        <f>O273</f>
        <v>241</v>
      </c>
      <c r="P317" s="276"/>
      <c r="Q317" s="267">
        <f>ROUND(O317*$G317,0)</f>
        <v>26028</v>
      </c>
      <c r="R317" s="267"/>
      <c r="S317" s="267"/>
      <c r="T317" s="267"/>
      <c r="U317" s="267"/>
      <c r="V317" s="267"/>
      <c r="W317" s="267"/>
      <c r="X317" s="267"/>
      <c r="Y317" s="267"/>
      <c r="Z317" s="267"/>
      <c r="AA317" s="267"/>
      <c r="AB317" s="267"/>
      <c r="AC317" s="291" t="s">
        <v>310</v>
      </c>
      <c r="AD317" s="347">
        <f>RateSpread!M26*1000</f>
        <v>3106782</v>
      </c>
      <c r="AF317" s="279">
        <f t="shared" ref="AF317:AF320" si="82">O317/I317-1</f>
        <v>6.6371681415929196E-2</v>
      </c>
      <c r="AG317" s="267"/>
      <c r="AH317" s="102"/>
    </row>
    <row r="318" spans="2:34">
      <c r="B318" s="275" t="s">
        <v>282</v>
      </c>
      <c r="E318" s="102">
        <f t="shared" ref="E318:G321" si="83">E326+E334</f>
        <v>251487.99191919208</v>
      </c>
      <c r="G318" s="102">
        <f t="shared" si="83"/>
        <v>247208</v>
      </c>
      <c r="I318" s="99">
        <v>1.94</v>
      </c>
      <c r="J318" s="276"/>
      <c r="K318" s="267">
        <f>ROUND($I318*E318,0)</f>
        <v>487887</v>
      </c>
      <c r="M318" s="267">
        <f>ROUND($I318*G318,0)</f>
        <v>479584</v>
      </c>
      <c r="O318" s="99">
        <f>O274</f>
        <v>2.0699999999999998</v>
      </c>
      <c r="P318" s="276"/>
      <c r="Q318" s="267">
        <f>ROUND(O318*$G318,0)</f>
        <v>511721</v>
      </c>
      <c r="R318" s="267"/>
      <c r="S318" s="267"/>
      <c r="T318" s="267"/>
      <c r="U318" s="267"/>
      <c r="V318" s="267"/>
      <c r="W318" s="267"/>
      <c r="X318" s="267"/>
      <c r="Y318" s="267"/>
      <c r="Z318" s="267"/>
      <c r="AA318" s="267"/>
      <c r="AB318" s="301"/>
      <c r="AC318" s="283" t="s">
        <v>312</v>
      </c>
      <c r="AD318" s="348">
        <f>AD317-AD316</f>
        <v>1</v>
      </c>
      <c r="AF318" s="279">
        <f t="shared" si="82"/>
        <v>6.7010309278350499E-2</v>
      </c>
      <c r="AG318" s="267"/>
      <c r="AH318" s="309"/>
    </row>
    <row r="319" spans="2:34">
      <c r="B319" s="275" t="s">
        <v>283</v>
      </c>
      <c r="E319" s="102">
        <f t="shared" si="83"/>
        <v>24452263</v>
      </c>
      <c r="G319" s="102">
        <f t="shared" si="83"/>
        <v>24112579</v>
      </c>
      <c r="I319" s="100">
        <v>7.4984999999999999</v>
      </c>
      <c r="J319" s="286" t="s">
        <v>314</v>
      </c>
      <c r="K319" s="267">
        <f>ROUND($I319*E319/100,0)</f>
        <v>1833553</v>
      </c>
      <c r="M319" s="267">
        <f>ROUND($I319*G319/100,0)</f>
        <v>1808082</v>
      </c>
      <c r="O319" s="100">
        <f>ROUND(I319*(1+AD321),4)</f>
        <v>8.0005000000000006</v>
      </c>
      <c r="P319" s="286" t="s">
        <v>314</v>
      </c>
      <c r="Q319" s="267">
        <f>ROUND(O319*$G319/100,0)</f>
        <v>1929127</v>
      </c>
      <c r="R319" s="267"/>
      <c r="S319" s="267"/>
      <c r="T319" s="267"/>
      <c r="U319" s="267"/>
      <c r="V319" s="267"/>
      <c r="W319" s="267"/>
      <c r="X319" s="267"/>
      <c r="Y319" s="267"/>
      <c r="Z319" s="267"/>
      <c r="AA319" s="267"/>
      <c r="AB319" s="301"/>
      <c r="AC319" s="287" t="s">
        <v>315</v>
      </c>
      <c r="AD319" s="324">
        <f>AD316/(M322)-1</f>
        <v>6.6951733772828037E-2</v>
      </c>
      <c r="AF319" s="279">
        <f t="shared" si="82"/>
        <v>6.6946722677869053E-2</v>
      </c>
      <c r="AH319" s="309"/>
    </row>
    <row r="320" spans="2:34">
      <c r="B320" s="275" t="s">
        <v>271</v>
      </c>
      <c r="E320" s="102">
        <f t="shared" si="83"/>
        <v>18907397</v>
      </c>
      <c r="G320" s="102">
        <f t="shared" si="83"/>
        <v>18605127</v>
      </c>
      <c r="I320" s="100">
        <v>3.2235999999999998</v>
      </c>
      <c r="J320" s="286" t="s">
        <v>314</v>
      </c>
      <c r="K320" s="267">
        <f>ROUND($I320*E320/100,0)</f>
        <v>609499</v>
      </c>
      <c r="M320" s="267">
        <f>ROUND($I320*G320/100,0)</f>
        <v>599755</v>
      </c>
      <c r="O320" s="100">
        <f>ROUND((AD317-SUM(Q317:Q319))/(G320)*100,4)</f>
        <v>3.4394</v>
      </c>
      <c r="P320" s="286" t="s">
        <v>314</v>
      </c>
      <c r="Q320" s="267">
        <f>ROUND(O320*$G320/100,0)</f>
        <v>639905</v>
      </c>
      <c r="R320" s="267"/>
      <c r="S320" s="267"/>
      <c r="T320" s="267"/>
      <c r="U320" s="267"/>
      <c r="V320" s="267"/>
      <c r="W320" s="267"/>
      <c r="X320" s="267"/>
      <c r="Y320" s="267"/>
      <c r="Z320" s="267"/>
      <c r="AA320" s="267"/>
      <c r="AB320" s="301"/>
      <c r="AC320" s="291" t="s">
        <v>317</v>
      </c>
      <c r="AD320" s="324">
        <f>AD317/(M322)-1</f>
        <v>6.69520771995884E-2</v>
      </c>
      <c r="AF320" s="279">
        <f t="shared" si="82"/>
        <v>6.6943789552053712E-2</v>
      </c>
      <c r="AG320" s="321"/>
      <c r="AH320" s="309"/>
    </row>
    <row r="321" spans="2:34">
      <c r="B321" s="275" t="s">
        <v>333</v>
      </c>
      <c r="E321" s="103">
        <f t="shared" si="83"/>
        <v>183937</v>
      </c>
      <c r="G321" s="103">
        <f t="shared" si="83"/>
        <v>0</v>
      </c>
      <c r="K321" s="308">
        <f t="shared" ref="K321" si="84">K329+K337</f>
        <v>5614</v>
      </c>
      <c r="M321" s="308">
        <v>0</v>
      </c>
      <c r="Q321" s="308">
        <v>0</v>
      </c>
      <c r="R321" s="301"/>
      <c r="S321" s="301"/>
      <c r="T321" s="301"/>
      <c r="U321" s="301"/>
      <c r="V321" s="301"/>
      <c r="W321" s="301"/>
      <c r="X321" s="301"/>
      <c r="Y321" s="301"/>
      <c r="Z321" s="301"/>
      <c r="AA321" s="301"/>
      <c r="AC321" s="291" t="s">
        <v>353</v>
      </c>
      <c r="AD321" s="324">
        <f>(AD317-Q317-Q318)/(M322-M317-M318)-1</f>
        <v>6.6946392135348143E-2</v>
      </c>
    </row>
    <row r="322" spans="2:34" ht="16.5" thickBot="1">
      <c r="B322" s="275" t="s">
        <v>334</v>
      </c>
      <c r="E322" s="325">
        <f>SUM(E319:E321)</f>
        <v>43543597</v>
      </c>
      <c r="G322" s="325">
        <f>SUM(G319:G321)</f>
        <v>42717706</v>
      </c>
      <c r="I322" s="318"/>
      <c r="K322" s="319">
        <f>SUM(K317:K321)</f>
        <v>2960961</v>
      </c>
      <c r="M322" s="319">
        <f>SUM(M317:M321)</f>
        <v>2911829</v>
      </c>
      <c r="O322" s="318"/>
      <c r="Q322" s="319">
        <f>SUM(Q317:Q321)</f>
        <v>3106781</v>
      </c>
      <c r="R322" s="301"/>
      <c r="S322" s="301"/>
      <c r="T322" s="301"/>
      <c r="U322" s="301"/>
      <c r="V322" s="301"/>
      <c r="W322" s="301"/>
      <c r="X322" s="301"/>
      <c r="Y322" s="301"/>
      <c r="Z322" s="301"/>
      <c r="AA322" s="301"/>
      <c r="AC322" s="305" t="s">
        <v>321</v>
      </c>
      <c r="AD322" s="342">
        <f>Q317/M317-1</f>
        <v>6.6371681415929196E-2</v>
      </c>
    </row>
    <row r="323" spans="2:34" ht="16.5" thickTop="1">
      <c r="E323" s="102"/>
      <c r="G323" s="102"/>
      <c r="AB323" s="267"/>
    </row>
    <row r="324" spans="2:34">
      <c r="B324" s="272" t="s">
        <v>284</v>
      </c>
      <c r="E324" s="102"/>
      <c r="G324" s="102"/>
      <c r="I324" s="322"/>
      <c r="J324" s="330"/>
      <c r="O324" s="322"/>
      <c r="P324" s="330"/>
      <c r="AB324" s="267"/>
      <c r="AG324" s="267"/>
      <c r="AH324" s="102"/>
    </row>
    <row r="325" spans="2:34">
      <c r="B325" s="275" t="s">
        <v>345</v>
      </c>
      <c r="E325" s="102">
        <v>23.999983333333301</v>
      </c>
      <c r="G325" s="102">
        <v>23.999983333333301</v>
      </c>
      <c r="I325" s="99">
        <v>226</v>
      </c>
      <c r="J325" s="276"/>
      <c r="K325" s="267">
        <f>ROUND($I325*E325,0)</f>
        <v>5424</v>
      </c>
      <c r="M325" s="267">
        <f>ROUND($I325*G325,0)</f>
        <v>5424</v>
      </c>
      <c r="O325" s="99">
        <f>O317</f>
        <v>241</v>
      </c>
      <c r="P325" s="276"/>
      <c r="Q325" s="267">
        <f>ROUND(O325*$G325,0)</f>
        <v>5784</v>
      </c>
      <c r="R325" s="267"/>
      <c r="S325" s="267"/>
      <c r="T325" s="267"/>
      <c r="U325" s="267"/>
      <c r="V325" s="267"/>
      <c r="W325" s="267"/>
      <c r="X325" s="267"/>
      <c r="Y325" s="267"/>
      <c r="Z325" s="267"/>
      <c r="AA325" s="267"/>
      <c r="AB325" s="267"/>
      <c r="AC325" s="274"/>
      <c r="AD325" s="301"/>
      <c r="AE325" s="274"/>
      <c r="AF325" s="279"/>
      <c r="AG325" s="267"/>
      <c r="AH325" s="102"/>
    </row>
    <row r="326" spans="2:34">
      <c r="B326" s="275" t="s">
        <v>282</v>
      </c>
      <c r="E326" s="102">
        <v>80457.997660818699</v>
      </c>
      <c r="G326" s="102">
        <f>ROUND(E326*$G$330/$E$330,0)</f>
        <v>78619</v>
      </c>
      <c r="I326" s="99">
        <v>1.94</v>
      </c>
      <c r="J326" s="276"/>
      <c r="K326" s="267">
        <f>ROUND($I326*E326,0)</f>
        <v>156089</v>
      </c>
      <c r="M326" s="267">
        <f>ROUND($I326*G326,0)</f>
        <v>152521</v>
      </c>
      <c r="O326" s="99">
        <f t="shared" ref="O326:O328" si="85">O318</f>
        <v>2.0699999999999998</v>
      </c>
      <c r="P326" s="276"/>
      <c r="Q326" s="267">
        <f>ROUND(O326*$G326,0)</f>
        <v>162741</v>
      </c>
      <c r="R326" s="267"/>
      <c r="S326" s="267"/>
      <c r="T326" s="267"/>
      <c r="U326" s="267"/>
      <c r="V326" s="267"/>
      <c r="W326" s="267"/>
      <c r="X326" s="267"/>
      <c r="Y326" s="267"/>
      <c r="Z326" s="267"/>
      <c r="AA326" s="267"/>
      <c r="AB326" s="301"/>
      <c r="AC326" s="349"/>
      <c r="AD326" s="301"/>
      <c r="AE326" s="274"/>
      <c r="AF326" s="279"/>
      <c r="AG326" s="267"/>
      <c r="AH326" s="309"/>
    </row>
    <row r="327" spans="2:34">
      <c r="B327" s="275" t="s">
        <v>283</v>
      </c>
      <c r="E327" s="102">
        <v>11304000</v>
      </c>
      <c r="G327" s="102">
        <f>ROUND(E327*($G$330-$G$329)/($E$330-$E$329),0)</f>
        <v>11081846</v>
      </c>
      <c r="I327" s="100">
        <v>7.4984999999999999</v>
      </c>
      <c r="J327" s="286" t="s">
        <v>314</v>
      </c>
      <c r="K327" s="267">
        <f>ROUND($I327*E327/100,0)</f>
        <v>847630</v>
      </c>
      <c r="M327" s="267">
        <f>ROUND($I327*G327/100,0)</f>
        <v>830972</v>
      </c>
      <c r="O327" s="100">
        <f t="shared" si="85"/>
        <v>8.0005000000000006</v>
      </c>
      <c r="P327" s="286" t="s">
        <v>314</v>
      </c>
      <c r="Q327" s="267">
        <f>ROUND(O327*$G327/100,0)</f>
        <v>886603</v>
      </c>
      <c r="R327" s="267"/>
      <c r="S327" s="267"/>
      <c r="T327" s="267"/>
      <c r="U327" s="267"/>
      <c r="V327" s="267"/>
      <c r="W327" s="267"/>
      <c r="X327" s="267"/>
      <c r="Y327" s="267"/>
      <c r="Z327" s="267"/>
      <c r="AA327" s="267"/>
      <c r="AB327" s="301"/>
      <c r="AC327" s="265"/>
      <c r="AD327" s="327"/>
      <c r="AE327" s="274"/>
      <c r="AF327" s="279"/>
      <c r="AH327" s="309"/>
    </row>
    <row r="328" spans="2:34">
      <c r="B328" s="275" t="s">
        <v>271</v>
      </c>
      <c r="E328" s="102">
        <v>12438000</v>
      </c>
      <c r="G328" s="102">
        <f>G330-G327</f>
        <v>12193559</v>
      </c>
      <c r="I328" s="100">
        <v>3.2235999999999998</v>
      </c>
      <c r="J328" s="286" t="s">
        <v>314</v>
      </c>
      <c r="K328" s="267">
        <f>ROUND($I328*E328/100,0)</f>
        <v>400951</v>
      </c>
      <c r="M328" s="267">
        <f>ROUND($I328*G328/100,0)</f>
        <v>393072</v>
      </c>
      <c r="O328" s="100">
        <f t="shared" si="85"/>
        <v>3.4394</v>
      </c>
      <c r="P328" s="286" t="s">
        <v>314</v>
      </c>
      <c r="Q328" s="267">
        <f>ROUND(O328*$G328/100,0)</f>
        <v>419385</v>
      </c>
      <c r="R328" s="267"/>
      <c r="S328" s="267"/>
      <c r="T328" s="267"/>
      <c r="U328" s="267"/>
      <c r="V328" s="267"/>
      <c r="W328" s="267"/>
      <c r="X328" s="267"/>
      <c r="Y328" s="267"/>
      <c r="Z328" s="267"/>
      <c r="AA328" s="267"/>
      <c r="AB328" s="301"/>
      <c r="AC328" s="265"/>
      <c r="AD328" s="327"/>
      <c r="AE328" s="274"/>
      <c r="AF328" s="279"/>
      <c r="AG328" s="321"/>
      <c r="AH328" s="309"/>
    </row>
    <row r="329" spans="2:34">
      <c r="B329" s="275" t="s">
        <v>333</v>
      </c>
      <c r="E329" s="103">
        <v>77842</v>
      </c>
      <c r="G329" s="103">
        <v>0</v>
      </c>
      <c r="K329" s="308">
        <v>1950</v>
      </c>
      <c r="M329" s="308">
        <v>0</v>
      </c>
      <c r="Q329" s="308">
        <v>0</v>
      </c>
      <c r="R329" s="301"/>
      <c r="S329" s="301"/>
      <c r="T329" s="301"/>
      <c r="U329" s="301"/>
      <c r="V329" s="301"/>
      <c r="W329" s="301"/>
      <c r="X329" s="301"/>
      <c r="Y329" s="301"/>
      <c r="Z329" s="301"/>
      <c r="AA329" s="301"/>
      <c r="AC329" s="265"/>
      <c r="AD329" s="327"/>
      <c r="AE329" s="274"/>
      <c r="AF329" s="274"/>
    </row>
    <row r="330" spans="2:34" ht="16.5" thickBot="1">
      <c r="B330" s="275" t="s">
        <v>334</v>
      </c>
      <c r="E330" s="325">
        <f>SUM(E327:E329)</f>
        <v>23819842</v>
      </c>
      <c r="G330" s="325">
        <v>23275405</v>
      </c>
      <c r="I330" s="318"/>
      <c r="K330" s="319">
        <f>SUM(K325:K329)</f>
        <v>1412044</v>
      </c>
      <c r="M330" s="319">
        <f>SUM(M325:M329)</f>
        <v>1381989</v>
      </c>
      <c r="O330" s="318"/>
      <c r="Q330" s="319">
        <f>SUM(Q325:Q329)</f>
        <v>1474513</v>
      </c>
      <c r="R330" s="301"/>
      <c r="S330" s="301"/>
      <c r="T330" s="301"/>
      <c r="U330" s="301"/>
      <c r="V330" s="301"/>
      <c r="W330" s="301"/>
      <c r="X330" s="301"/>
      <c r="Y330" s="301"/>
      <c r="Z330" s="301"/>
      <c r="AA330" s="301"/>
      <c r="AC330" s="265"/>
      <c r="AD330" s="295"/>
      <c r="AE330" s="274"/>
      <c r="AF330" s="274"/>
    </row>
    <row r="331" spans="2:34" ht="16.5" thickTop="1">
      <c r="E331" s="102"/>
      <c r="G331" s="102"/>
      <c r="AB331" s="267"/>
    </row>
    <row r="332" spans="2:34">
      <c r="B332" s="272" t="s">
        <v>285</v>
      </c>
      <c r="E332" s="102"/>
      <c r="G332" s="102"/>
      <c r="I332" s="322"/>
      <c r="J332" s="330"/>
      <c r="O332" s="322"/>
      <c r="P332" s="330"/>
      <c r="AB332" s="267"/>
      <c r="AE332" s="309"/>
    </row>
    <row r="333" spans="2:34">
      <c r="B333" s="275" t="s">
        <v>345</v>
      </c>
      <c r="E333" s="102">
        <v>84.00001256830609</v>
      </c>
      <c r="G333" s="102">
        <v>84</v>
      </c>
      <c r="I333" s="300">
        <v>226</v>
      </c>
      <c r="J333" s="299"/>
      <c r="K333" s="267">
        <f>ROUND($I333*E333,0)</f>
        <v>18984</v>
      </c>
      <c r="M333" s="267">
        <f>ROUND($I333*G333,0)</f>
        <v>18984</v>
      </c>
      <c r="O333" s="300">
        <f>O317</f>
        <v>241</v>
      </c>
      <c r="P333" s="299"/>
      <c r="Q333" s="267">
        <f>ROUND(O333*$G333,0)</f>
        <v>20244</v>
      </c>
      <c r="R333" s="267"/>
      <c r="S333" s="267"/>
      <c r="T333" s="267"/>
      <c r="U333" s="267"/>
      <c r="V333" s="267"/>
      <c r="W333" s="267"/>
      <c r="X333" s="267"/>
      <c r="Y333" s="267"/>
      <c r="Z333" s="267"/>
      <c r="AA333" s="267"/>
      <c r="AB333" s="301"/>
      <c r="AC333" s="265"/>
      <c r="AD333" s="274"/>
      <c r="AE333" s="274"/>
      <c r="AF333" s="279">
        <f t="shared" ref="AF333:AF336" si="86">O333/I333-1</f>
        <v>6.6371681415929196E-2</v>
      </c>
    </row>
    <row r="334" spans="2:34">
      <c r="B334" s="275" t="s">
        <v>282</v>
      </c>
      <c r="E334" s="102">
        <v>171029.99425837339</v>
      </c>
      <c r="G334" s="102">
        <f>ROUND(E334*$G$338/$E$338,0)</f>
        <v>168589</v>
      </c>
      <c r="I334" s="300">
        <v>1.94</v>
      </c>
      <c r="J334" s="299"/>
      <c r="K334" s="267">
        <f>ROUND($I334*E334,0)</f>
        <v>331798</v>
      </c>
      <c r="M334" s="267">
        <f>ROUND($I334*G334,0)</f>
        <v>327063</v>
      </c>
      <c r="O334" s="300">
        <f t="shared" ref="O334:O336" si="87">O318</f>
        <v>2.0699999999999998</v>
      </c>
      <c r="P334" s="299"/>
      <c r="Q334" s="267">
        <f>ROUND(O334*$G334,0)</f>
        <v>348979</v>
      </c>
      <c r="R334" s="267"/>
      <c r="S334" s="267"/>
      <c r="T334" s="267"/>
      <c r="U334" s="267"/>
      <c r="V334" s="267"/>
      <c r="W334" s="267"/>
      <c r="X334" s="267"/>
      <c r="Y334" s="267"/>
      <c r="Z334" s="267"/>
      <c r="AA334" s="267"/>
      <c r="AB334" s="301"/>
      <c r="AC334" s="265"/>
      <c r="AD334" s="274"/>
      <c r="AE334" s="274"/>
      <c r="AF334" s="279">
        <f t="shared" si="86"/>
        <v>6.7010309278350499E-2</v>
      </c>
      <c r="AG334" s="309"/>
    </row>
    <row r="335" spans="2:34">
      <c r="B335" s="275" t="s">
        <v>283</v>
      </c>
      <c r="E335" s="102">
        <v>13148263</v>
      </c>
      <c r="G335" s="102">
        <f>ROUND(E335*($G$338-$G$337)/($E$338-$E$337),0)</f>
        <v>13030733</v>
      </c>
      <c r="I335" s="332">
        <v>7.4984999999999999</v>
      </c>
      <c r="J335" s="286" t="s">
        <v>314</v>
      </c>
      <c r="K335" s="267">
        <f>ROUND($I335*E335/100,0)</f>
        <v>985923</v>
      </c>
      <c r="M335" s="267">
        <f>ROUND($I335*G335/100,0)</f>
        <v>977110</v>
      </c>
      <c r="O335" s="332">
        <f t="shared" si="87"/>
        <v>8.0005000000000006</v>
      </c>
      <c r="P335" s="286" t="s">
        <v>314</v>
      </c>
      <c r="Q335" s="267">
        <f>ROUND(O335*$G335/100,0)</f>
        <v>1042524</v>
      </c>
      <c r="R335" s="267"/>
      <c r="S335" s="267"/>
      <c r="T335" s="267"/>
      <c r="U335" s="267"/>
      <c r="V335" s="267"/>
      <c r="W335" s="267"/>
      <c r="X335" s="267"/>
      <c r="Y335" s="267"/>
      <c r="Z335" s="267"/>
      <c r="AA335" s="267"/>
      <c r="AB335" s="301"/>
      <c r="AC335" s="265"/>
      <c r="AD335" s="274"/>
      <c r="AE335" s="274"/>
      <c r="AF335" s="279">
        <f t="shared" si="86"/>
        <v>6.6946722677869053E-2</v>
      </c>
    </row>
    <row r="336" spans="2:34">
      <c r="B336" s="275" t="s">
        <v>271</v>
      </c>
      <c r="E336" s="102">
        <v>6469397</v>
      </c>
      <c r="G336" s="102">
        <f>G338-G335</f>
        <v>6411568</v>
      </c>
      <c r="I336" s="332">
        <v>3.2235999999999998</v>
      </c>
      <c r="J336" s="286" t="s">
        <v>314</v>
      </c>
      <c r="K336" s="267">
        <f>ROUND($I336*E336/100,0)</f>
        <v>208547</v>
      </c>
      <c r="M336" s="267">
        <f>ROUND($I336*G336/100,0)</f>
        <v>206683</v>
      </c>
      <c r="O336" s="332">
        <f t="shared" si="87"/>
        <v>3.4394</v>
      </c>
      <c r="P336" s="286" t="s">
        <v>314</v>
      </c>
      <c r="Q336" s="267">
        <f>ROUND(O336*$G336/100,0)</f>
        <v>220519</v>
      </c>
      <c r="R336" s="267"/>
      <c r="S336" s="267"/>
      <c r="T336" s="267"/>
      <c r="U336" s="267"/>
      <c r="V336" s="267"/>
      <c r="W336" s="267"/>
      <c r="X336" s="267"/>
      <c r="Y336" s="267"/>
      <c r="Z336" s="267"/>
      <c r="AA336" s="267"/>
      <c r="AB336" s="301"/>
      <c r="AC336" s="265"/>
      <c r="AD336" s="327"/>
      <c r="AE336" s="274"/>
      <c r="AF336" s="279">
        <f t="shared" si="86"/>
        <v>6.6943789552053712E-2</v>
      </c>
      <c r="AH336" s="309"/>
    </row>
    <row r="337" spans="2:34">
      <c r="B337" s="275" t="s">
        <v>333</v>
      </c>
      <c r="E337" s="103">
        <v>106095</v>
      </c>
      <c r="G337" s="103">
        <v>0</v>
      </c>
      <c r="K337" s="308">
        <v>3664</v>
      </c>
      <c r="M337" s="308">
        <v>0</v>
      </c>
      <c r="Q337" s="308">
        <v>0</v>
      </c>
      <c r="R337" s="301"/>
      <c r="S337" s="301"/>
      <c r="T337" s="301"/>
      <c r="U337" s="301"/>
      <c r="V337" s="301"/>
      <c r="W337" s="301"/>
      <c r="X337" s="301"/>
      <c r="Y337" s="301"/>
      <c r="Z337" s="301"/>
      <c r="AA337" s="301"/>
      <c r="AC337" s="265"/>
      <c r="AD337" s="327"/>
      <c r="AE337" s="274"/>
    </row>
    <row r="338" spans="2:34" ht="16.5" thickBot="1">
      <c r="B338" s="275" t="s">
        <v>334</v>
      </c>
      <c r="E338" s="325">
        <f>SUM(E335:E337)</f>
        <v>19723755</v>
      </c>
      <c r="G338" s="325">
        <v>19442301</v>
      </c>
      <c r="I338" s="318"/>
      <c r="K338" s="319">
        <f>SUM(K333:K337)</f>
        <v>1548916</v>
      </c>
      <c r="M338" s="319">
        <f>SUM(M333:M337)</f>
        <v>1529840</v>
      </c>
      <c r="O338" s="318"/>
      <c r="Q338" s="319">
        <f>SUM(Q333:Q337)</f>
        <v>1632266</v>
      </c>
      <c r="R338" s="301"/>
      <c r="S338" s="301"/>
      <c r="T338" s="301"/>
      <c r="U338" s="301"/>
      <c r="V338" s="301"/>
      <c r="W338" s="301"/>
      <c r="X338" s="301"/>
      <c r="Y338" s="301"/>
      <c r="Z338" s="301"/>
      <c r="AA338" s="301"/>
      <c r="AD338" s="309"/>
      <c r="AE338" s="320"/>
    </row>
    <row r="339" spans="2:34" ht="16.5" thickTop="1">
      <c r="E339" s="102"/>
      <c r="G339" s="102"/>
      <c r="AB339" s="267"/>
      <c r="AE339" s="320"/>
    </row>
    <row r="340" spans="2:34">
      <c r="B340" s="272" t="s">
        <v>286</v>
      </c>
      <c r="AB340" s="267"/>
      <c r="AF340" s="320"/>
      <c r="AG340" s="267"/>
      <c r="AH340" s="102"/>
    </row>
    <row r="341" spans="2:34">
      <c r="B341" s="275" t="s">
        <v>287</v>
      </c>
      <c r="E341" s="102">
        <v>6</v>
      </c>
      <c r="G341" s="102">
        <v>6</v>
      </c>
      <c r="I341" s="300">
        <v>110</v>
      </c>
      <c r="J341" s="299"/>
      <c r="K341" s="267">
        <f>ROUND($I341*E341,0)</f>
        <v>660</v>
      </c>
      <c r="M341" s="267">
        <f>ROUND($I341*G341,0)</f>
        <v>660</v>
      </c>
      <c r="O341" s="300">
        <f>ROUND(I341*(1+$AD$350),0)</f>
        <v>115</v>
      </c>
      <c r="P341" s="299"/>
      <c r="Q341" s="267">
        <f>ROUND(O341*$G341,0)</f>
        <v>690</v>
      </c>
      <c r="R341" s="267"/>
      <c r="S341" s="267"/>
      <c r="T341" s="267"/>
      <c r="U341" s="267"/>
      <c r="V341" s="267"/>
      <c r="W341" s="267"/>
      <c r="X341" s="267"/>
      <c r="Y341" s="267"/>
      <c r="Z341" s="267"/>
      <c r="AA341" s="267"/>
      <c r="AB341" s="267"/>
      <c r="AF341" s="279">
        <f t="shared" ref="AF341:AF347" si="88">O341/I341-1</f>
        <v>4.5454545454545414E-2</v>
      </c>
      <c r="AG341" s="267"/>
    </row>
    <row r="342" spans="2:34">
      <c r="B342" s="275" t="s">
        <v>288</v>
      </c>
      <c r="E342" s="102">
        <v>2544.7336666666665</v>
      </c>
      <c r="G342" s="102">
        <v>2641</v>
      </c>
      <c r="I342" s="300">
        <v>34</v>
      </c>
      <c r="J342" s="299"/>
      <c r="K342" s="267">
        <f>ROUND($I342*E342,0)</f>
        <v>86521</v>
      </c>
      <c r="M342" s="267">
        <f>ROUND($I342*G342,0)</f>
        <v>89794</v>
      </c>
      <c r="O342" s="300">
        <f t="shared" ref="O342:O343" si="89">ROUND(I342*(1+$AD$350),0)</f>
        <v>36</v>
      </c>
      <c r="P342" s="299"/>
      <c r="Q342" s="267">
        <f>ROUND(O342*$G342,0)</f>
        <v>95076</v>
      </c>
      <c r="R342" s="267"/>
      <c r="S342" s="267"/>
      <c r="T342" s="267"/>
      <c r="U342" s="267"/>
      <c r="V342" s="267"/>
      <c r="W342" s="267"/>
      <c r="X342" s="267"/>
      <c r="Y342" s="267"/>
      <c r="Z342" s="267"/>
      <c r="AA342" s="267"/>
      <c r="AB342" s="267"/>
      <c r="AC342" s="99"/>
      <c r="AF342" s="279">
        <f t="shared" si="88"/>
        <v>5.8823529411764719E-2</v>
      </c>
      <c r="AH342" s="102"/>
    </row>
    <row r="343" spans="2:34">
      <c r="B343" s="275" t="s">
        <v>289</v>
      </c>
      <c r="E343" s="102">
        <v>11330.340227272705</v>
      </c>
      <c r="G343" s="102">
        <f>ROUND(E343*(G$341+G$342)/(E$341+E$342),0)</f>
        <v>11758</v>
      </c>
      <c r="I343" s="300">
        <v>13</v>
      </c>
      <c r="J343" s="299"/>
      <c r="K343" s="267">
        <f>ROUND($I343*E343,0)</f>
        <v>147294</v>
      </c>
      <c r="M343" s="267">
        <f>ROUND($I343*G343,0)</f>
        <v>152854</v>
      </c>
      <c r="O343" s="300">
        <f t="shared" si="89"/>
        <v>14</v>
      </c>
      <c r="P343" s="299"/>
      <c r="Q343" s="267">
        <f>ROUND(O343*$G343,0)</f>
        <v>164612</v>
      </c>
      <c r="R343" s="267"/>
      <c r="S343" s="267"/>
      <c r="T343" s="267"/>
      <c r="U343" s="267"/>
      <c r="V343" s="267"/>
      <c r="W343" s="267"/>
      <c r="X343" s="267"/>
      <c r="Y343" s="267"/>
      <c r="Z343" s="267"/>
      <c r="AA343" s="267"/>
      <c r="AB343" s="301"/>
      <c r="AC343" s="99"/>
      <c r="AE343" s="320"/>
      <c r="AF343" s="279">
        <f t="shared" si="88"/>
        <v>7.6923076923076872E-2</v>
      </c>
      <c r="AH343" s="102"/>
    </row>
    <row r="344" spans="2:34">
      <c r="B344" s="275" t="s">
        <v>290</v>
      </c>
      <c r="E344" s="102">
        <v>366682.45554269559</v>
      </c>
      <c r="G344" s="102">
        <f>ROUND(E344*$G$354/$E$354,0)</f>
        <v>374044</v>
      </c>
      <c r="I344" s="300">
        <v>6.44</v>
      </c>
      <c r="J344" s="299"/>
      <c r="K344" s="267">
        <f>ROUND($I344*E344,0)</f>
        <v>2361435</v>
      </c>
      <c r="M344" s="267">
        <f>ROUND($I344*G344,0)</f>
        <v>2408843</v>
      </c>
      <c r="O344" s="300">
        <f>ROUND(I344*(1+AD$352),2)</f>
        <v>6.74</v>
      </c>
      <c r="P344" s="299"/>
      <c r="Q344" s="267">
        <f>ROUND(O344*$G344,0)</f>
        <v>2521057</v>
      </c>
      <c r="R344" s="267"/>
      <c r="S344" s="267"/>
      <c r="T344" s="267"/>
      <c r="U344" s="267"/>
      <c r="V344" s="267"/>
      <c r="W344" s="267"/>
      <c r="X344" s="267"/>
      <c r="Y344" s="267"/>
      <c r="Z344" s="267"/>
      <c r="AA344" s="267"/>
      <c r="AB344" s="301"/>
      <c r="AD344" s="321"/>
      <c r="AE344" s="320"/>
      <c r="AF344" s="279">
        <f t="shared" si="88"/>
        <v>4.658385093167694E-2</v>
      </c>
    </row>
    <row r="345" spans="2:34">
      <c r="B345" s="275" t="s">
        <v>348</v>
      </c>
      <c r="E345" s="102">
        <v>4381.440993788824</v>
      </c>
      <c r="G345" s="102">
        <f>ROUND(E345*$G$354/$E$354,0)</f>
        <v>4469</v>
      </c>
      <c r="I345" s="300">
        <v>-1.8</v>
      </c>
      <c r="J345" s="299"/>
      <c r="K345" s="267">
        <f>ROUND($I345*E345,0)</f>
        <v>-7887</v>
      </c>
      <c r="M345" s="267">
        <f>ROUND($I345*G345,0)</f>
        <v>-8044</v>
      </c>
      <c r="O345" s="300">
        <f>ROUND(I345*(1+AD$352),2)</f>
        <v>-1.88</v>
      </c>
      <c r="P345" s="299"/>
      <c r="Q345" s="267">
        <f>ROUND(O345*$G345,0)</f>
        <v>-8402</v>
      </c>
      <c r="R345" s="267"/>
      <c r="S345" s="267"/>
      <c r="T345" s="267"/>
      <c r="U345" s="267"/>
      <c r="V345" s="267"/>
      <c r="W345" s="267"/>
      <c r="X345" s="267"/>
      <c r="Y345" s="267"/>
      <c r="Z345" s="267"/>
      <c r="AA345" s="267"/>
      <c r="AC345" s="350"/>
      <c r="AD345" s="321"/>
      <c r="AF345" s="279">
        <f t="shared" si="88"/>
        <v>4.4444444444444287E-2</v>
      </c>
      <c r="AG345" s="267"/>
    </row>
    <row r="346" spans="2:34">
      <c r="B346" s="275" t="s">
        <v>291</v>
      </c>
      <c r="E346" s="102">
        <v>84779069</v>
      </c>
      <c r="G346" s="102">
        <f>ROUND(E346*$G$348/$E$348,0)</f>
        <v>79033048</v>
      </c>
      <c r="I346" s="100">
        <v>6.4139999999999997</v>
      </c>
      <c r="J346" s="286" t="s">
        <v>314</v>
      </c>
      <c r="K346" s="267">
        <f>ROUND($I346*E346/100,0)</f>
        <v>5437729</v>
      </c>
      <c r="M346" s="267">
        <f>ROUND($I346*G346/100,0)</f>
        <v>5069180</v>
      </c>
      <c r="O346" s="100">
        <f>ROUND(I346*(1+AD$352),4)</f>
        <v>6.7110000000000003</v>
      </c>
      <c r="P346" s="286" t="s">
        <v>314</v>
      </c>
      <c r="Q346" s="267">
        <f>ROUND(O346*$G346/100,0)</f>
        <v>5303908</v>
      </c>
      <c r="R346" s="267"/>
      <c r="S346" s="267"/>
      <c r="T346" s="267"/>
      <c r="U346" s="267"/>
      <c r="V346" s="267"/>
      <c r="W346" s="267"/>
      <c r="X346" s="267"/>
      <c r="Y346" s="267"/>
      <c r="Z346" s="267"/>
      <c r="AA346" s="267"/>
      <c r="AB346" s="301"/>
      <c r="AC346" s="264" t="s">
        <v>292</v>
      </c>
      <c r="AF346" s="279">
        <f t="shared" si="88"/>
        <v>4.6304957904583777E-2</v>
      </c>
      <c r="AG346" s="267"/>
    </row>
    <row r="347" spans="2:34">
      <c r="B347" s="275" t="s">
        <v>293</v>
      </c>
      <c r="E347" s="103">
        <v>53405969.091379449</v>
      </c>
      <c r="G347" s="103">
        <f>G348-G346</f>
        <v>49786304</v>
      </c>
      <c r="I347" s="100">
        <v>4.7408999999999999</v>
      </c>
      <c r="J347" s="286" t="s">
        <v>314</v>
      </c>
      <c r="K347" s="308">
        <f>ROUND($I347*E347/100,0)</f>
        <v>2531924</v>
      </c>
      <c r="M347" s="308">
        <f>ROUND($I347*G347/100,0)</f>
        <v>2360319</v>
      </c>
      <c r="O347" s="100">
        <f>ROUND(I347*(1+AD$352),4)</f>
        <v>4.9603999999999999</v>
      </c>
      <c r="P347" s="286" t="s">
        <v>314</v>
      </c>
      <c r="Q347" s="308">
        <f>ROUND(O347*$G347/100,0)</f>
        <v>2469600</v>
      </c>
      <c r="R347" s="301"/>
      <c r="S347" s="301"/>
      <c r="T347" s="301"/>
      <c r="U347" s="301"/>
      <c r="V347" s="301"/>
      <c r="W347" s="301"/>
      <c r="X347" s="301"/>
      <c r="Y347" s="301"/>
      <c r="Z347" s="301"/>
      <c r="AA347" s="301"/>
      <c r="AB347" s="267"/>
      <c r="AC347" s="277" t="s">
        <v>308</v>
      </c>
      <c r="AD347" s="278">
        <f>Q354+Q370</f>
        <v>13793092</v>
      </c>
      <c r="AF347" s="279">
        <f t="shared" si="88"/>
        <v>4.6299225885380491E-2</v>
      </c>
      <c r="AH347" s="102"/>
    </row>
    <row r="348" spans="2:34">
      <c r="B348" s="275" t="s">
        <v>294</v>
      </c>
      <c r="E348" s="103">
        <f>E347+E346</f>
        <v>138185038.09137946</v>
      </c>
      <c r="G348" s="351">
        <f>ROUND(G354*E348/(E348+E352),0)</f>
        <v>128819352</v>
      </c>
      <c r="I348" s="352"/>
      <c r="K348" s="308">
        <f>SUM(K341:K347)</f>
        <v>10557676</v>
      </c>
      <c r="M348" s="308">
        <f>SUM(M341:M347)</f>
        <v>10073606</v>
      </c>
      <c r="O348" s="352"/>
      <c r="Q348" s="308">
        <f>SUM(Q341:Q347)</f>
        <v>10546541</v>
      </c>
      <c r="R348" s="301"/>
      <c r="S348" s="301"/>
      <c r="T348" s="301"/>
      <c r="U348" s="301"/>
      <c r="V348" s="301"/>
      <c r="W348" s="301"/>
      <c r="X348" s="301"/>
      <c r="Y348" s="301"/>
      <c r="Z348" s="301"/>
      <c r="AA348" s="301"/>
      <c r="AB348" s="301"/>
      <c r="AC348" s="291" t="s">
        <v>310</v>
      </c>
      <c r="AD348" s="282">
        <f>RateSpread!M30*1000</f>
        <v>13793092</v>
      </c>
      <c r="AH348" s="102"/>
    </row>
    <row r="349" spans="2:34">
      <c r="B349" s="275" t="s">
        <v>295</v>
      </c>
      <c r="E349" s="102"/>
      <c r="G349" s="102"/>
      <c r="AB349" s="301"/>
      <c r="AC349" s="283" t="s">
        <v>312</v>
      </c>
      <c r="AD349" s="353">
        <f>AD348-AD347</f>
        <v>0</v>
      </c>
    </row>
    <row r="350" spans="2:34">
      <c r="B350" s="275" t="s">
        <v>296</v>
      </c>
      <c r="E350" s="280">
        <v>4912.366666666655</v>
      </c>
      <c r="G350" s="280">
        <f>ROUND(E350*(G$341+G$342)/(E$341+E$342),0)</f>
        <v>5098</v>
      </c>
      <c r="I350" s="299">
        <v>13</v>
      </c>
      <c r="J350" s="299"/>
      <c r="K350" s="301">
        <f>ROUND($I350*E350,0)</f>
        <v>63861</v>
      </c>
      <c r="M350" s="301">
        <f>ROUND($I350*G350,0)</f>
        <v>66274</v>
      </c>
      <c r="O350" s="299">
        <f>O343</f>
        <v>14</v>
      </c>
      <c r="P350" s="299"/>
      <c r="Q350" s="301">
        <f>ROUND(O350*$G350,0)</f>
        <v>71372</v>
      </c>
      <c r="R350" s="301"/>
      <c r="S350" s="301"/>
      <c r="T350" s="301"/>
      <c r="U350" s="301"/>
      <c r="V350" s="301"/>
      <c r="W350" s="301"/>
      <c r="X350" s="301"/>
      <c r="Y350" s="301"/>
      <c r="Z350" s="301"/>
      <c r="AA350" s="301"/>
      <c r="AB350" s="301"/>
      <c r="AC350" s="305" t="s">
        <v>317</v>
      </c>
      <c r="AD350" s="326">
        <f>AD348/(M354+M370)-1</f>
        <v>4.695190861938614E-2</v>
      </c>
      <c r="AF350" s="279">
        <f t="shared" ref="AF350:AF351" si="90">O350/I350-1</f>
        <v>7.6923076923076872E-2</v>
      </c>
    </row>
    <row r="351" spans="2:34">
      <c r="B351" s="275" t="s">
        <v>297</v>
      </c>
      <c r="E351" s="103">
        <v>45199650.713012196</v>
      </c>
      <c r="G351" s="103">
        <f>G352</f>
        <v>42136180</v>
      </c>
      <c r="I351" s="322">
        <v>4.3933999999999997</v>
      </c>
      <c r="J351" s="286" t="s">
        <v>314</v>
      </c>
      <c r="K351" s="339">
        <f>ROUND($I351*E351/100,0)</f>
        <v>1985801</v>
      </c>
      <c r="M351" s="339">
        <f>ROUND($I351*G351/100,0)</f>
        <v>1851211</v>
      </c>
      <c r="O351" s="100">
        <f>ROUND(I351*(1+AD$352),4)</f>
        <v>4.5968</v>
      </c>
      <c r="P351" s="286" t="s">
        <v>314</v>
      </c>
      <c r="Q351" s="308">
        <f>ROUND(O351*$G351/100,0)</f>
        <v>1936916</v>
      </c>
      <c r="R351" s="301"/>
      <c r="S351" s="301"/>
      <c r="T351" s="301"/>
      <c r="U351" s="301"/>
      <c r="V351" s="301"/>
      <c r="W351" s="301"/>
      <c r="X351" s="301"/>
      <c r="Y351" s="301"/>
      <c r="Z351" s="301"/>
      <c r="AA351" s="301"/>
      <c r="AB351" s="301"/>
      <c r="AC351" s="287" t="s">
        <v>315</v>
      </c>
      <c r="AD351" s="323">
        <f>AD347/(M354+M370)-1</f>
        <v>4.695190861938614E-2</v>
      </c>
      <c r="AF351" s="279">
        <f t="shared" si="90"/>
        <v>4.6296717803978815E-2</v>
      </c>
    </row>
    <row r="352" spans="2:34">
      <c r="B352" s="275" t="s">
        <v>163</v>
      </c>
      <c r="E352" s="103">
        <f>E351</f>
        <v>45199650.713012196</v>
      </c>
      <c r="G352" s="103">
        <f>G354-G348</f>
        <v>42136180</v>
      </c>
      <c r="I352" s="352"/>
      <c r="K352" s="308">
        <f>K350+K351</f>
        <v>2049662</v>
      </c>
      <c r="M352" s="308">
        <f>M350+M351</f>
        <v>1917485</v>
      </c>
      <c r="O352" s="352"/>
      <c r="Q352" s="308">
        <f>Q350+Q351</f>
        <v>2008288</v>
      </c>
      <c r="R352" s="301"/>
      <c r="S352" s="301"/>
      <c r="T352" s="301"/>
      <c r="U352" s="301"/>
      <c r="V352" s="301"/>
      <c r="W352" s="301"/>
      <c r="X352" s="301"/>
      <c r="Y352" s="301"/>
      <c r="Z352" s="301"/>
      <c r="AA352" s="301"/>
      <c r="AB352" s="301"/>
      <c r="AC352" s="291" t="s">
        <v>353</v>
      </c>
      <c r="AD352" s="324">
        <f>(AD348-Q341-Q342-Q343-Q350-Q357-Q358-Q359-Q366)/(M344+M345+M346+M347+M351+M360+M361+M362+M363+M367)-1</f>
        <v>4.6297586299110405E-2</v>
      </c>
    </row>
    <row r="353" spans="2:34">
      <c r="B353" s="275" t="s">
        <v>333</v>
      </c>
      <c r="E353" s="103">
        <v>-15793852</v>
      </c>
      <c r="G353" s="103">
        <v>0</v>
      </c>
      <c r="K353" s="308">
        <v>-931823.26</v>
      </c>
      <c r="M353" s="308">
        <v>0</v>
      </c>
      <c r="Q353" s="308">
        <v>0</v>
      </c>
      <c r="R353" s="301"/>
      <c r="S353" s="301"/>
      <c r="T353" s="301"/>
      <c r="U353" s="301"/>
      <c r="V353" s="301"/>
      <c r="W353" s="301"/>
      <c r="X353" s="301"/>
      <c r="Y353" s="301"/>
      <c r="Z353" s="301"/>
      <c r="AA353" s="301"/>
      <c r="AC353" s="305" t="s">
        <v>336</v>
      </c>
      <c r="AD353" s="326">
        <f>(Q354)/(M354)-1</f>
        <v>4.7013069953351305E-2</v>
      </c>
    </row>
    <row r="354" spans="2:34" ht="16.5" thickBot="1">
      <c r="B354" s="275" t="s">
        <v>164</v>
      </c>
      <c r="E354" s="325">
        <f>E351+E348+E353</f>
        <v>167590836.80439165</v>
      </c>
      <c r="G354" s="325">
        <v>170955532</v>
      </c>
      <c r="I354" s="318"/>
      <c r="K354" s="319">
        <f>K352+K348+K353</f>
        <v>11675514.74</v>
      </c>
      <c r="M354" s="319">
        <f>M352+M348+M353</f>
        <v>11991091</v>
      </c>
      <c r="O354" s="318"/>
      <c r="Q354" s="319">
        <f>Q352+Q348+Q353</f>
        <v>12554829</v>
      </c>
      <c r="R354" s="301"/>
      <c r="S354" s="301"/>
      <c r="T354" s="301"/>
      <c r="U354" s="301"/>
      <c r="V354" s="301"/>
      <c r="W354" s="301"/>
      <c r="X354" s="301"/>
      <c r="Y354" s="301"/>
      <c r="Z354" s="301"/>
      <c r="AA354" s="301"/>
    </row>
    <row r="355" spans="2:34" ht="16.5" thickTop="1">
      <c r="E355" s="102"/>
      <c r="G355" s="102"/>
      <c r="AB355" s="267"/>
      <c r="AE355" s="320"/>
    </row>
    <row r="356" spans="2:34">
      <c r="B356" s="272" t="s">
        <v>165</v>
      </c>
      <c r="E356" s="102"/>
      <c r="G356" s="102"/>
      <c r="AB356" s="267"/>
      <c r="AF356" s="320"/>
      <c r="AG356" s="267"/>
    </row>
    <row r="357" spans="2:34">
      <c r="B357" s="275" t="s">
        <v>287</v>
      </c>
      <c r="E357" s="102">
        <v>2.4876530612244903</v>
      </c>
      <c r="G357" s="102">
        <v>3</v>
      </c>
      <c r="I357" s="300">
        <v>110</v>
      </c>
      <c r="J357" s="299"/>
      <c r="K357" s="267">
        <f>ROUND($I357*E357,0)</f>
        <v>274</v>
      </c>
      <c r="M357" s="267">
        <f>ROUND($I357*G357,0)</f>
        <v>330</v>
      </c>
      <c r="O357" s="300">
        <f>O341</f>
        <v>115</v>
      </c>
      <c r="P357" s="299"/>
      <c r="Q357" s="267">
        <f>ROUND(O357*$G357,0)</f>
        <v>345</v>
      </c>
      <c r="R357" s="267"/>
      <c r="S357" s="267"/>
      <c r="T357" s="267"/>
      <c r="U357" s="267"/>
      <c r="V357" s="267"/>
      <c r="W357" s="267"/>
      <c r="X357" s="267"/>
      <c r="Y357" s="267"/>
      <c r="Z357" s="267"/>
      <c r="AA357" s="267"/>
      <c r="AB357" s="267"/>
      <c r="AF357" s="279">
        <f t="shared" ref="AF357:AF363" si="91">O357/I357-1</f>
        <v>4.5454545454545414E-2</v>
      </c>
      <c r="AG357" s="267"/>
    </row>
    <row r="358" spans="2:34">
      <c r="B358" s="275" t="s">
        <v>288</v>
      </c>
      <c r="E358" s="102">
        <v>250.73466666666701</v>
      </c>
      <c r="G358" s="280">
        <v>260</v>
      </c>
      <c r="I358" s="300">
        <v>34</v>
      </c>
      <c r="J358" s="299"/>
      <c r="K358" s="267">
        <f>ROUND($I358*E358,0)</f>
        <v>8525</v>
      </c>
      <c r="M358" s="267">
        <f>ROUND($I358*G358,0)</f>
        <v>8840</v>
      </c>
      <c r="O358" s="300">
        <f>O342</f>
        <v>36</v>
      </c>
      <c r="P358" s="299"/>
      <c r="Q358" s="267">
        <f>ROUND(O358*$G358,0)</f>
        <v>9360</v>
      </c>
      <c r="R358" s="267"/>
      <c r="S358" s="267"/>
      <c r="T358" s="267"/>
      <c r="U358" s="267"/>
      <c r="V358" s="267"/>
      <c r="W358" s="267"/>
      <c r="X358" s="267"/>
      <c r="Y358" s="267"/>
      <c r="Z358" s="267"/>
      <c r="AA358" s="267"/>
      <c r="AB358" s="267"/>
      <c r="AF358" s="279">
        <f t="shared" si="91"/>
        <v>5.8823529411764719E-2</v>
      </c>
      <c r="AH358" s="102"/>
    </row>
    <row r="359" spans="2:34">
      <c r="B359" s="275" t="s">
        <v>166</v>
      </c>
      <c r="E359" s="102">
        <v>1101.6144696969707</v>
      </c>
      <c r="G359" s="280">
        <f>ROUND(E359*(G357+G358)/(E357+E358),0)</f>
        <v>1144</v>
      </c>
      <c r="I359" s="300">
        <v>13</v>
      </c>
      <c r="J359" s="299"/>
      <c r="K359" s="267">
        <f>ROUND($I359*E359,0)</f>
        <v>14321</v>
      </c>
      <c r="M359" s="267">
        <f>ROUND($I359*G359,0)</f>
        <v>14872</v>
      </c>
      <c r="O359" s="300">
        <f>O343</f>
        <v>14</v>
      </c>
      <c r="P359" s="299"/>
      <c r="Q359" s="267">
        <f>ROUND(O359*$G359,0)</f>
        <v>16016</v>
      </c>
      <c r="R359" s="267"/>
      <c r="S359" s="267"/>
      <c r="T359" s="267"/>
      <c r="U359" s="267"/>
      <c r="V359" s="267"/>
      <c r="W359" s="267"/>
      <c r="X359" s="267"/>
      <c r="Y359" s="267"/>
      <c r="Z359" s="267"/>
      <c r="AA359" s="267"/>
      <c r="AB359" s="301"/>
      <c r="AF359" s="279">
        <f t="shared" si="91"/>
        <v>7.6923076923076872E-2</v>
      </c>
      <c r="AH359" s="102"/>
    </row>
    <row r="360" spans="2:34">
      <c r="B360" s="275" t="s">
        <v>290</v>
      </c>
      <c r="E360" s="102">
        <v>45214.772155145518</v>
      </c>
      <c r="G360" s="280">
        <f>ROUND(E360*$G$370/$E$370,0)</f>
        <v>46123</v>
      </c>
      <c r="I360" s="300">
        <v>6.44</v>
      </c>
      <c r="J360" s="299"/>
      <c r="K360" s="267">
        <f>ROUND($I360*E360,0)</f>
        <v>291183</v>
      </c>
      <c r="M360" s="267">
        <f>ROUND($I360*G360,0)</f>
        <v>297032</v>
      </c>
      <c r="O360" s="300">
        <f>O344</f>
        <v>6.74</v>
      </c>
      <c r="P360" s="299"/>
      <c r="Q360" s="267">
        <f>ROUND(O360*$G360,0)</f>
        <v>310869</v>
      </c>
      <c r="R360" s="267"/>
      <c r="S360" s="267"/>
      <c r="T360" s="267"/>
      <c r="U360" s="267"/>
      <c r="V360" s="267"/>
      <c r="W360" s="267"/>
      <c r="X360" s="267"/>
      <c r="Y360" s="267"/>
      <c r="Z360" s="267"/>
      <c r="AA360" s="267"/>
      <c r="AB360" s="301"/>
      <c r="AF360" s="279">
        <f t="shared" si="91"/>
        <v>4.658385093167694E-2</v>
      </c>
      <c r="AG360" s="267"/>
    </row>
    <row r="361" spans="2:34">
      <c r="B361" s="275" t="s">
        <v>167</v>
      </c>
      <c r="E361" s="102">
        <v>2513.4596273291927</v>
      </c>
      <c r="G361" s="280">
        <f>ROUND(E361*$G$370/$E$370,0)</f>
        <v>2564</v>
      </c>
      <c r="I361" s="300">
        <v>-1.8</v>
      </c>
      <c r="J361" s="299"/>
      <c r="K361" s="267">
        <f>ROUND($I361*E361,0)</f>
        <v>-4524</v>
      </c>
      <c r="M361" s="267">
        <f>ROUND($I361*G361,0)</f>
        <v>-4615</v>
      </c>
      <c r="O361" s="300">
        <f>O345</f>
        <v>-1.88</v>
      </c>
      <c r="P361" s="299"/>
      <c r="Q361" s="267">
        <f>ROUND(O361*$G361,0)</f>
        <v>-4820</v>
      </c>
      <c r="R361" s="267"/>
      <c r="S361" s="267"/>
      <c r="T361" s="267"/>
      <c r="U361" s="267"/>
      <c r="V361" s="267"/>
      <c r="W361" s="267"/>
      <c r="X361" s="267"/>
      <c r="Y361" s="267"/>
      <c r="Z361" s="267"/>
      <c r="AA361" s="267"/>
      <c r="AD361" s="321"/>
      <c r="AF361" s="279">
        <f t="shared" si="91"/>
        <v>4.4444444444444287E-2</v>
      </c>
    </row>
    <row r="362" spans="2:34">
      <c r="B362" s="275" t="s">
        <v>283</v>
      </c>
      <c r="E362" s="102">
        <v>2723359</v>
      </c>
      <c r="G362" s="280">
        <f>ROUND(E362*$G$364/$E$364,0)</f>
        <v>2538780</v>
      </c>
      <c r="I362" s="100">
        <v>12.671900000000001</v>
      </c>
      <c r="J362" s="286" t="s">
        <v>314</v>
      </c>
      <c r="K362" s="267">
        <f>ROUND($I362*E362/100,0)</f>
        <v>345101</v>
      </c>
      <c r="M362" s="267">
        <f>ROUND($I362*G362/100,0)</f>
        <v>321712</v>
      </c>
      <c r="O362" s="100">
        <f>ROUND(I362*(1+AD$352),4)</f>
        <v>13.258599999999999</v>
      </c>
      <c r="P362" s="286" t="s">
        <v>314</v>
      </c>
      <c r="Q362" s="267">
        <f>ROUND(O362*$G362/100,0)</f>
        <v>336607</v>
      </c>
      <c r="R362" s="267"/>
      <c r="S362" s="267"/>
      <c r="T362" s="267"/>
      <c r="U362" s="267"/>
      <c r="V362" s="267"/>
      <c r="W362" s="267"/>
      <c r="X362" s="267"/>
      <c r="Y362" s="267"/>
      <c r="Z362" s="267"/>
      <c r="AA362" s="267"/>
      <c r="AB362" s="301"/>
      <c r="AF362" s="279">
        <f t="shared" si="91"/>
        <v>4.6299292134565295E-2</v>
      </c>
      <c r="AG362" s="267"/>
      <c r="AH362" s="102"/>
    </row>
    <row r="363" spans="2:34">
      <c r="B363" s="275" t="s">
        <v>271</v>
      </c>
      <c r="E363" s="103">
        <v>9941601.8865102641</v>
      </c>
      <c r="G363" s="103">
        <f>G364-G362</f>
        <v>9267796</v>
      </c>
      <c r="I363" s="322">
        <v>3.6644000000000001</v>
      </c>
      <c r="J363" s="286" t="s">
        <v>314</v>
      </c>
      <c r="K363" s="339">
        <f>ROUND($I363*E363/100,0)</f>
        <v>364300</v>
      </c>
      <c r="M363" s="339">
        <f>ROUND($I363*G363/100,0)</f>
        <v>339609</v>
      </c>
      <c r="O363" s="322">
        <f>ROUND((AD348-Q354-SUM(Q357:Q362,Q368))/G363*100,4)</f>
        <v>3.8250000000000002</v>
      </c>
      <c r="P363" s="286" t="s">
        <v>314</v>
      </c>
      <c r="Q363" s="308">
        <f>ROUND(O363*$G363/100,0)</f>
        <v>354493</v>
      </c>
      <c r="R363" s="301"/>
      <c r="S363" s="301"/>
      <c r="T363" s="301"/>
      <c r="U363" s="301"/>
      <c r="V363" s="301"/>
      <c r="W363" s="301"/>
      <c r="X363" s="301"/>
      <c r="Y363" s="301"/>
      <c r="Z363" s="301"/>
      <c r="AA363" s="301"/>
      <c r="AB363" s="267"/>
      <c r="AF363" s="279">
        <f t="shared" si="91"/>
        <v>4.3827093112105642E-2</v>
      </c>
      <c r="AG363" s="267"/>
    </row>
    <row r="364" spans="2:34">
      <c r="B364" s="275" t="s">
        <v>294</v>
      </c>
      <c r="E364" s="103">
        <f>E363+E362</f>
        <v>12664960.886510264</v>
      </c>
      <c r="G364" s="103">
        <f>ROUND(G370*E364/(E364+E368),0)</f>
        <v>11806576</v>
      </c>
      <c r="I364" s="352"/>
      <c r="K364" s="308">
        <f>SUM(K357:K363)</f>
        <v>1019180</v>
      </c>
      <c r="M364" s="308">
        <f>SUM(M357:M363)</f>
        <v>977780</v>
      </c>
      <c r="O364" s="352"/>
      <c r="Q364" s="308">
        <f>SUM(Q357:Q363)</f>
        <v>1022870</v>
      </c>
      <c r="R364" s="301"/>
      <c r="S364" s="301"/>
      <c r="T364" s="301"/>
      <c r="U364" s="301"/>
      <c r="V364" s="301"/>
      <c r="W364" s="301"/>
      <c r="X364" s="301"/>
      <c r="Y364" s="301"/>
      <c r="Z364" s="301"/>
      <c r="AA364" s="301"/>
      <c r="AB364" s="301"/>
      <c r="AE364" s="309"/>
      <c r="AG364" s="321"/>
    </row>
    <row r="365" spans="2:34">
      <c r="B365" s="275" t="s">
        <v>295</v>
      </c>
      <c r="E365" s="102"/>
      <c r="G365" s="102"/>
      <c r="AB365" s="301"/>
      <c r="AC365" s="274"/>
      <c r="AD365" s="301"/>
    </row>
    <row r="366" spans="2:34">
      <c r="B366" s="275" t="s">
        <v>296</v>
      </c>
      <c r="E366" s="280">
        <v>530.23333333333437</v>
      </c>
      <c r="G366" s="280">
        <f>ROUND(E366*(G357+G358)/(E357+E358),0)</f>
        <v>551</v>
      </c>
      <c r="I366" s="299">
        <v>13</v>
      </c>
      <c r="J366" s="299"/>
      <c r="K366" s="301">
        <f>ROUND($I366*E366,0)</f>
        <v>6893</v>
      </c>
      <c r="M366" s="301">
        <f>ROUND($I366*G366,0)</f>
        <v>7163</v>
      </c>
      <c r="O366" s="299">
        <f>O350</f>
        <v>14</v>
      </c>
      <c r="P366" s="299"/>
      <c r="Q366" s="301">
        <f>ROUND(O366*$G366,0)</f>
        <v>7714</v>
      </c>
      <c r="R366" s="301"/>
      <c r="S366" s="301"/>
      <c r="T366" s="301"/>
      <c r="U366" s="301"/>
      <c r="V366" s="301"/>
      <c r="W366" s="301"/>
      <c r="X366" s="301"/>
      <c r="Y366" s="301"/>
      <c r="Z366" s="301"/>
      <c r="AA366" s="301"/>
      <c r="AB366" s="301"/>
      <c r="AC366" s="265"/>
      <c r="AD366" s="295"/>
      <c r="AF366" s="279">
        <f t="shared" ref="AF366:AF367" si="92">O366/I366-1</f>
        <v>7.6923076923076872E-2</v>
      </c>
      <c r="AG366" s="309"/>
    </row>
    <row r="367" spans="2:34">
      <c r="B367" s="275" t="s">
        <v>297</v>
      </c>
      <c r="E367" s="103">
        <v>4846365.4605747815</v>
      </c>
      <c r="G367" s="103">
        <f>G368</f>
        <v>4517896</v>
      </c>
      <c r="I367" s="322">
        <v>4.3933999999999997</v>
      </c>
      <c r="J367" s="286" t="s">
        <v>314</v>
      </c>
      <c r="K367" s="339">
        <f>ROUND($I367*E367/100,0)</f>
        <v>212920</v>
      </c>
      <c r="M367" s="339">
        <f>ROUND($I367*G367/100,0)</f>
        <v>198489</v>
      </c>
      <c r="O367" s="322">
        <f>O351</f>
        <v>4.5968</v>
      </c>
      <c r="P367" s="286" t="s">
        <v>314</v>
      </c>
      <c r="Q367" s="308">
        <f>ROUND(O367*$G367/100,0)</f>
        <v>207679</v>
      </c>
      <c r="R367" s="301"/>
      <c r="S367" s="301"/>
      <c r="T367" s="301"/>
      <c r="U367" s="301"/>
      <c r="V367" s="301"/>
      <c r="W367" s="301"/>
      <c r="X367" s="301"/>
      <c r="Y367" s="301"/>
      <c r="Z367" s="301"/>
      <c r="AA367" s="301"/>
      <c r="AB367" s="301"/>
      <c r="AC367" s="274"/>
      <c r="AD367" s="301"/>
      <c r="AF367" s="279">
        <f t="shared" si="92"/>
        <v>4.6296717803978815E-2</v>
      </c>
    </row>
    <row r="368" spans="2:34">
      <c r="B368" s="275" t="s">
        <v>163</v>
      </c>
      <c r="E368" s="103">
        <f>E367</f>
        <v>4846365.4605747815</v>
      </c>
      <c r="G368" s="103">
        <f>G370-G364</f>
        <v>4517896</v>
      </c>
      <c r="I368" s="352"/>
      <c r="K368" s="308">
        <f>K366+K367</f>
        <v>219813</v>
      </c>
      <c r="M368" s="308">
        <f>M366+M367</f>
        <v>205652</v>
      </c>
      <c r="O368" s="352"/>
      <c r="Q368" s="308">
        <f>Q366+Q367</f>
        <v>215393</v>
      </c>
      <c r="R368" s="301"/>
      <c r="S368" s="301"/>
      <c r="T368" s="301"/>
      <c r="U368" s="301"/>
      <c r="V368" s="301"/>
      <c r="W368" s="301"/>
      <c r="X368" s="301"/>
      <c r="Y368" s="301"/>
      <c r="Z368" s="301"/>
      <c r="AA368" s="301"/>
      <c r="AB368" s="301"/>
      <c r="AC368" s="265"/>
      <c r="AD368" s="295"/>
      <c r="AE368" s="317"/>
      <c r="AH368" s="309"/>
    </row>
    <row r="369" spans="2:32">
      <c r="B369" s="275" t="s">
        <v>333</v>
      </c>
      <c r="E369" s="103">
        <v>-1508148</v>
      </c>
      <c r="G369" s="103">
        <v>0</v>
      </c>
      <c r="K369" s="308">
        <v>-88979</v>
      </c>
      <c r="M369" s="308">
        <v>0</v>
      </c>
      <c r="Q369" s="308">
        <v>0</v>
      </c>
      <c r="R369" s="301"/>
      <c r="S369" s="301"/>
      <c r="T369" s="301"/>
      <c r="U369" s="301"/>
      <c r="V369" s="301"/>
      <c r="W369" s="301"/>
      <c r="X369" s="301"/>
      <c r="Y369" s="301"/>
      <c r="Z369" s="301"/>
      <c r="AA369" s="301"/>
      <c r="AC369" s="264" t="s">
        <v>336</v>
      </c>
      <c r="AD369" s="327">
        <f>(Q370)/(M370)-1</f>
        <v>4.6332193146712219E-2</v>
      </c>
      <c r="AE369" s="317"/>
    </row>
    <row r="370" spans="2:32" ht="16.5" thickBot="1">
      <c r="B370" s="275" t="s">
        <v>168</v>
      </c>
      <c r="E370" s="325">
        <f>E367+E364+E369</f>
        <v>16003178.347085044</v>
      </c>
      <c r="G370" s="325">
        <v>16324472</v>
      </c>
      <c r="I370" s="318"/>
      <c r="K370" s="319">
        <f>K368+K364+K369</f>
        <v>1150014</v>
      </c>
      <c r="M370" s="319">
        <f>M368+M364+M369</f>
        <v>1183432</v>
      </c>
      <c r="O370" s="318"/>
      <c r="Q370" s="319">
        <f>Q368+Q364+Q369</f>
        <v>1238263</v>
      </c>
      <c r="R370" s="301"/>
      <c r="S370" s="301"/>
      <c r="T370" s="301"/>
      <c r="U370" s="301"/>
      <c r="V370" s="301"/>
      <c r="W370" s="301"/>
      <c r="X370" s="301"/>
      <c r="Y370" s="301"/>
      <c r="Z370" s="301"/>
      <c r="AA370" s="301"/>
      <c r="AE370" s="317"/>
      <c r="AF370" s="317"/>
    </row>
    <row r="371" spans="2:32" ht="16.5" thickTop="1">
      <c r="E371" s="102" t="s">
        <v>169</v>
      </c>
      <c r="G371" s="102"/>
      <c r="AB371" s="267"/>
      <c r="AE371" s="317"/>
      <c r="AF371" s="317"/>
    </row>
    <row r="372" spans="2:32">
      <c r="B372" s="272" t="s">
        <v>170</v>
      </c>
      <c r="E372" s="102"/>
      <c r="G372" s="102"/>
      <c r="AB372" s="267"/>
      <c r="AC372" s="260"/>
      <c r="AF372" s="317"/>
    </row>
    <row r="373" spans="2:32">
      <c r="B373" s="333" t="s">
        <v>171</v>
      </c>
      <c r="E373" s="280"/>
      <c r="G373" s="280"/>
      <c r="I373" s="276"/>
      <c r="J373" s="276"/>
      <c r="K373" s="301"/>
      <c r="M373" s="301"/>
      <c r="O373" s="276"/>
      <c r="P373" s="276"/>
      <c r="Q373" s="301"/>
      <c r="R373" s="301"/>
      <c r="S373" s="301"/>
      <c r="T373" s="301"/>
      <c r="U373" s="301"/>
      <c r="V373" s="301"/>
      <c r="W373" s="301"/>
      <c r="X373" s="301"/>
      <c r="Y373" s="301"/>
      <c r="Z373" s="301"/>
      <c r="AA373" s="301"/>
      <c r="AB373" s="267"/>
      <c r="AC373" s="277" t="s">
        <v>308</v>
      </c>
      <c r="AD373" s="278">
        <f>Q422</f>
        <v>5089243</v>
      </c>
    </row>
    <row r="374" spans="2:32">
      <c r="B374" s="275" t="s">
        <v>172</v>
      </c>
      <c r="E374" s="102">
        <v>46429.748502994</v>
      </c>
      <c r="G374" s="102">
        <f t="shared" ref="G374:G388" si="93">ROUND(E374*$G$419/$E$419,0)</f>
        <v>40532</v>
      </c>
      <c r="I374" s="99">
        <v>11.8</v>
      </c>
      <c r="J374" s="276"/>
      <c r="K374" s="267">
        <f t="shared" ref="K374:K388" si="94">ROUND(E374*$I374,0)</f>
        <v>547871</v>
      </c>
      <c r="M374" s="267">
        <f t="shared" ref="M374:M388" si="95">ROUND(G374*$I374,0)</f>
        <v>478278</v>
      </c>
      <c r="O374" s="99">
        <f>ROUND(I374*(1+$AD$377),2)</f>
        <v>11.8</v>
      </c>
      <c r="P374" s="276"/>
      <c r="Q374" s="267">
        <f t="shared" ref="Q374:Q388" si="96">ROUND(G374*O374,0)</f>
        <v>478278</v>
      </c>
      <c r="R374" s="267"/>
      <c r="S374" s="267"/>
      <c r="T374" s="267"/>
      <c r="U374" s="267"/>
      <c r="V374" s="267"/>
      <c r="W374" s="267"/>
      <c r="X374" s="267"/>
      <c r="Y374" s="267"/>
      <c r="Z374" s="267"/>
      <c r="AA374" s="267"/>
      <c r="AB374" s="267"/>
      <c r="AC374" s="281" t="s">
        <v>310</v>
      </c>
      <c r="AD374" s="282">
        <f>RateSpread!M42*1000</f>
        <v>5089243</v>
      </c>
      <c r="AE374" s="354"/>
      <c r="AF374" s="279">
        <f t="shared" ref="AF374:AF400" si="97">O374/I374-1</f>
        <v>0</v>
      </c>
    </row>
    <row r="375" spans="2:32">
      <c r="B375" s="275" t="s">
        <v>173</v>
      </c>
      <c r="E375" s="102">
        <v>252210.68246445499</v>
      </c>
      <c r="G375" s="102">
        <f t="shared" si="93"/>
        <v>220174</v>
      </c>
      <c r="I375" s="99">
        <v>12.78</v>
      </c>
      <c r="J375" s="276"/>
      <c r="K375" s="267">
        <f t="shared" si="94"/>
        <v>3223253</v>
      </c>
      <c r="M375" s="267">
        <f t="shared" si="95"/>
        <v>2813824</v>
      </c>
      <c r="O375" s="99">
        <f t="shared" ref="O375:O388" si="98">ROUND(I375*(1+$AD$377),2)</f>
        <v>12.78</v>
      </c>
      <c r="P375" s="276"/>
      <c r="Q375" s="267">
        <f t="shared" si="96"/>
        <v>2813824</v>
      </c>
      <c r="R375" s="267"/>
      <c r="S375" s="267"/>
      <c r="T375" s="267"/>
      <c r="U375" s="267"/>
      <c r="V375" s="267"/>
      <c r="W375" s="267"/>
      <c r="X375" s="267"/>
      <c r="Y375" s="267"/>
      <c r="Z375" s="267"/>
      <c r="AA375" s="267"/>
      <c r="AB375" s="260"/>
      <c r="AC375" s="283" t="s">
        <v>312</v>
      </c>
      <c r="AD375" s="284">
        <f>AD374-AD373</f>
        <v>0</v>
      </c>
      <c r="AE375" s="354"/>
      <c r="AF375" s="279">
        <f t="shared" si="97"/>
        <v>0</v>
      </c>
    </row>
    <row r="376" spans="2:32">
      <c r="B376" s="275" t="s">
        <v>174</v>
      </c>
      <c r="E376" s="102">
        <v>156</v>
      </c>
      <c r="G376" s="102">
        <f t="shared" si="93"/>
        <v>136</v>
      </c>
      <c r="I376" s="99">
        <v>11.5</v>
      </c>
      <c r="J376" s="276"/>
      <c r="K376" s="267">
        <f t="shared" si="94"/>
        <v>1794</v>
      </c>
      <c r="M376" s="267">
        <f t="shared" si="95"/>
        <v>1564</v>
      </c>
      <c r="O376" s="99">
        <f t="shared" si="98"/>
        <v>11.5</v>
      </c>
      <c r="P376" s="276"/>
      <c r="Q376" s="267">
        <f t="shared" si="96"/>
        <v>1564</v>
      </c>
      <c r="R376" s="267"/>
      <c r="S376" s="267"/>
      <c r="T376" s="267"/>
      <c r="U376" s="267"/>
      <c r="V376" s="267"/>
      <c r="W376" s="267"/>
      <c r="X376" s="267"/>
      <c r="Y376" s="267"/>
      <c r="Z376" s="267"/>
      <c r="AA376" s="267"/>
      <c r="AB376" s="260"/>
      <c r="AC376" s="287" t="s">
        <v>315</v>
      </c>
      <c r="AD376" s="323">
        <f>AD373/M422-1</f>
        <v>0</v>
      </c>
      <c r="AE376" s="354"/>
      <c r="AF376" s="279">
        <f t="shared" si="97"/>
        <v>0</v>
      </c>
    </row>
    <row r="377" spans="2:32">
      <c r="B377" s="275" t="s">
        <v>175</v>
      </c>
      <c r="E377" s="102">
        <v>345.200043393361</v>
      </c>
      <c r="G377" s="102">
        <f t="shared" si="93"/>
        <v>301</v>
      </c>
      <c r="I377" s="99">
        <v>46.54</v>
      </c>
      <c r="J377" s="276"/>
      <c r="K377" s="267">
        <f t="shared" si="94"/>
        <v>16066</v>
      </c>
      <c r="M377" s="267">
        <f t="shared" si="95"/>
        <v>14009</v>
      </c>
      <c r="O377" s="99">
        <f t="shared" si="98"/>
        <v>46.54</v>
      </c>
      <c r="P377" s="276"/>
      <c r="Q377" s="267">
        <f t="shared" si="96"/>
        <v>14009</v>
      </c>
      <c r="R377" s="267"/>
      <c r="S377" s="267"/>
      <c r="T377" s="267"/>
      <c r="U377" s="267"/>
      <c r="V377" s="267"/>
      <c r="W377" s="267"/>
      <c r="X377" s="267"/>
      <c r="Y377" s="267"/>
      <c r="Z377" s="267"/>
      <c r="AA377" s="267"/>
      <c r="AB377" s="260"/>
      <c r="AC377" s="305" t="s">
        <v>317</v>
      </c>
      <c r="AD377" s="326">
        <f>AD374/M422-1</f>
        <v>0</v>
      </c>
      <c r="AE377" s="354"/>
      <c r="AF377" s="279">
        <f t="shared" si="97"/>
        <v>0</v>
      </c>
    </row>
    <row r="378" spans="2:32">
      <c r="B378" s="275" t="s">
        <v>176</v>
      </c>
      <c r="E378" s="102">
        <v>194.466560509554</v>
      </c>
      <c r="G378" s="102">
        <f t="shared" si="93"/>
        <v>170</v>
      </c>
      <c r="I378" s="99">
        <v>38.049999999999997</v>
      </c>
      <c r="J378" s="276"/>
      <c r="K378" s="267">
        <f t="shared" si="94"/>
        <v>7399</v>
      </c>
      <c r="M378" s="267">
        <f t="shared" si="95"/>
        <v>6469</v>
      </c>
      <c r="O378" s="99">
        <f t="shared" si="98"/>
        <v>38.049999999999997</v>
      </c>
      <c r="P378" s="276"/>
      <c r="Q378" s="267">
        <f t="shared" si="96"/>
        <v>6469</v>
      </c>
      <c r="R378" s="267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0"/>
      <c r="AC378" s="273" t="s">
        <v>336</v>
      </c>
      <c r="AD378" s="336">
        <f>(Q422)/(M422)-1</f>
        <v>0</v>
      </c>
      <c r="AE378" s="354"/>
      <c r="AF378" s="279">
        <f t="shared" si="97"/>
        <v>0</v>
      </c>
    </row>
    <row r="379" spans="2:32">
      <c r="B379" s="275" t="s">
        <v>177</v>
      </c>
      <c r="E379" s="102">
        <v>22365.243742550701</v>
      </c>
      <c r="G379" s="102">
        <f t="shared" si="93"/>
        <v>19524</v>
      </c>
      <c r="I379" s="99">
        <v>16.940000000000001</v>
      </c>
      <c r="J379" s="276"/>
      <c r="K379" s="267">
        <f t="shared" si="94"/>
        <v>378867</v>
      </c>
      <c r="M379" s="267">
        <f t="shared" si="95"/>
        <v>330737</v>
      </c>
      <c r="O379" s="99">
        <f t="shared" si="98"/>
        <v>16.940000000000001</v>
      </c>
      <c r="P379" s="276"/>
      <c r="Q379" s="267">
        <f t="shared" si="96"/>
        <v>330737</v>
      </c>
      <c r="R379" s="267"/>
      <c r="S379" s="267"/>
      <c r="T379" s="267"/>
      <c r="U379" s="267"/>
      <c r="V379" s="267"/>
      <c r="W379" s="267"/>
      <c r="X379" s="267"/>
      <c r="Y379" s="267"/>
      <c r="Z379" s="267"/>
      <c r="AA379" s="267"/>
      <c r="AB379" s="260"/>
      <c r="AC379" s="354"/>
      <c r="AD379" s="354"/>
      <c r="AE379" s="354"/>
      <c r="AF379" s="279">
        <f t="shared" si="97"/>
        <v>0</v>
      </c>
    </row>
    <row r="380" spans="2:32">
      <c r="B380" s="275" t="s">
        <v>178</v>
      </c>
      <c r="E380" s="102">
        <v>96</v>
      </c>
      <c r="G380" s="102">
        <f t="shared" si="93"/>
        <v>84</v>
      </c>
      <c r="I380" s="99">
        <v>15.25</v>
      </c>
      <c r="J380" s="276"/>
      <c r="K380" s="267">
        <f t="shared" si="94"/>
        <v>1464</v>
      </c>
      <c r="M380" s="267">
        <f t="shared" si="95"/>
        <v>1281</v>
      </c>
      <c r="O380" s="99">
        <f t="shared" si="98"/>
        <v>15.25</v>
      </c>
      <c r="P380" s="276"/>
      <c r="Q380" s="267">
        <f t="shared" si="96"/>
        <v>1281</v>
      </c>
      <c r="R380" s="267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0"/>
      <c r="AC380" s="354"/>
      <c r="AD380" s="354"/>
      <c r="AE380" s="354"/>
      <c r="AF380" s="279">
        <f t="shared" si="97"/>
        <v>0</v>
      </c>
    </row>
    <row r="381" spans="2:32">
      <c r="B381" s="275" t="s">
        <v>179</v>
      </c>
      <c r="E381" s="102">
        <v>1401.3261557948099</v>
      </c>
      <c r="G381" s="102">
        <f t="shared" si="93"/>
        <v>1223</v>
      </c>
      <c r="I381" s="99">
        <v>47.83</v>
      </c>
      <c r="J381" s="276"/>
      <c r="K381" s="267">
        <f t="shared" si="94"/>
        <v>67025</v>
      </c>
      <c r="M381" s="267">
        <f t="shared" si="95"/>
        <v>58496</v>
      </c>
      <c r="O381" s="99">
        <f t="shared" si="98"/>
        <v>47.83</v>
      </c>
      <c r="P381" s="276"/>
      <c r="Q381" s="267">
        <f t="shared" si="96"/>
        <v>58496</v>
      </c>
      <c r="R381" s="267"/>
      <c r="S381" s="267"/>
      <c r="T381" s="267"/>
      <c r="U381" s="267"/>
      <c r="V381" s="267"/>
      <c r="W381" s="267"/>
      <c r="X381" s="267"/>
      <c r="Y381" s="267"/>
      <c r="Z381" s="267"/>
      <c r="AA381" s="267"/>
      <c r="AB381" s="260"/>
      <c r="AC381" s="354"/>
      <c r="AD381" s="354"/>
      <c r="AE381" s="354"/>
      <c r="AF381" s="279">
        <f t="shared" si="97"/>
        <v>0</v>
      </c>
    </row>
    <row r="382" spans="2:32">
      <c r="B382" s="275" t="s">
        <v>180</v>
      </c>
      <c r="E382" s="102">
        <v>849.51719712525698</v>
      </c>
      <c r="G382" s="102">
        <f t="shared" si="93"/>
        <v>742</v>
      </c>
      <c r="I382" s="99">
        <v>39.340000000000003</v>
      </c>
      <c r="J382" s="276"/>
      <c r="K382" s="267">
        <f t="shared" si="94"/>
        <v>33420</v>
      </c>
      <c r="M382" s="267">
        <f t="shared" si="95"/>
        <v>29190</v>
      </c>
      <c r="O382" s="99">
        <f t="shared" si="98"/>
        <v>39.340000000000003</v>
      </c>
      <c r="P382" s="276"/>
      <c r="Q382" s="267">
        <f t="shared" si="96"/>
        <v>29190</v>
      </c>
      <c r="R382" s="267"/>
      <c r="S382" s="267"/>
      <c r="T382" s="267"/>
      <c r="U382" s="267"/>
      <c r="V382" s="267"/>
      <c r="W382" s="267"/>
      <c r="X382" s="267"/>
      <c r="Y382" s="267"/>
      <c r="Z382" s="267"/>
      <c r="AA382" s="267"/>
      <c r="AB382" s="260"/>
      <c r="AC382" s="354"/>
      <c r="AD382" s="354"/>
      <c r="AE382" s="354"/>
      <c r="AF382" s="279">
        <f t="shared" si="97"/>
        <v>0</v>
      </c>
    </row>
    <row r="383" spans="2:32">
      <c r="B383" s="275" t="s">
        <v>181</v>
      </c>
      <c r="E383" s="102">
        <v>30304.4087870105</v>
      </c>
      <c r="G383" s="102">
        <f t="shared" si="93"/>
        <v>26455</v>
      </c>
      <c r="I383" s="99">
        <v>21.14</v>
      </c>
      <c r="J383" s="276"/>
      <c r="K383" s="267">
        <f t="shared" si="94"/>
        <v>640635</v>
      </c>
      <c r="M383" s="267">
        <f t="shared" si="95"/>
        <v>559259</v>
      </c>
      <c r="O383" s="99">
        <f t="shared" si="98"/>
        <v>21.14</v>
      </c>
      <c r="P383" s="276"/>
      <c r="Q383" s="267">
        <f t="shared" si="96"/>
        <v>559259</v>
      </c>
      <c r="R383" s="267"/>
      <c r="S383" s="267"/>
      <c r="T383" s="267"/>
      <c r="U383" s="267"/>
      <c r="V383" s="267"/>
      <c r="W383" s="267"/>
      <c r="X383" s="267"/>
      <c r="Y383" s="267"/>
      <c r="Z383" s="267"/>
      <c r="AA383" s="267"/>
      <c r="AB383" s="260"/>
      <c r="AC383" s="354"/>
      <c r="AD383" s="354"/>
      <c r="AE383" s="354"/>
      <c r="AF383" s="279">
        <f t="shared" si="97"/>
        <v>0</v>
      </c>
    </row>
    <row r="384" spans="2:32">
      <c r="B384" s="275" t="s">
        <v>182</v>
      </c>
      <c r="E384" s="102">
        <v>48</v>
      </c>
      <c r="G384" s="102">
        <f t="shared" si="93"/>
        <v>42</v>
      </c>
      <c r="I384" s="99">
        <v>19.03</v>
      </c>
      <c r="J384" s="276"/>
      <c r="K384" s="267">
        <f t="shared" si="94"/>
        <v>913</v>
      </c>
      <c r="M384" s="267">
        <f t="shared" si="95"/>
        <v>799</v>
      </c>
      <c r="O384" s="99">
        <f t="shared" si="98"/>
        <v>19.03</v>
      </c>
      <c r="P384" s="276"/>
      <c r="Q384" s="267">
        <f t="shared" si="96"/>
        <v>799</v>
      </c>
      <c r="R384" s="267"/>
      <c r="S384" s="267"/>
      <c r="T384" s="267"/>
      <c r="U384" s="267"/>
      <c r="V384" s="267"/>
      <c r="W384" s="267"/>
      <c r="X384" s="267"/>
      <c r="Y384" s="267"/>
      <c r="Z384" s="267"/>
      <c r="AA384" s="267"/>
      <c r="AB384" s="260"/>
      <c r="AC384" s="354"/>
      <c r="AD384" s="354"/>
      <c r="AE384" s="354"/>
      <c r="AF384" s="279">
        <f t="shared" si="97"/>
        <v>0</v>
      </c>
    </row>
    <row r="385" spans="2:33">
      <c r="B385" s="275" t="s">
        <v>183</v>
      </c>
      <c r="E385" s="102">
        <v>1344</v>
      </c>
      <c r="G385" s="102">
        <f t="shared" si="93"/>
        <v>1173</v>
      </c>
      <c r="I385" s="99">
        <v>51.48</v>
      </c>
      <c r="J385" s="276"/>
      <c r="K385" s="267">
        <f t="shared" si="94"/>
        <v>69189</v>
      </c>
      <c r="M385" s="267">
        <f t="shared" si="95"/>
        <v>60386</v>
      </c>
      <c r="O385" s="99">
        <f t="shared" si="98"/>
        <v>51.48</v>
      </c>
      <c r="P385" s="276"/>
      <c r="Q385" s="267">
        <f t="shared" si="96"/>
        <v>60386</v>
      </c>
      <c r="R385" s="267"/>
      <c r="S385" s="267"/>
      <c r="T385" s="267"/>
      <c r="U385" s="267"/>
      <c r="V385" s="267"/>
      <c r="W385" s="267"/>
      <c r="X385" s="267"/>
      <c r="Y385" s="267"/>
      <c r="Z385" s="267"/>
      <c r="AA385" s="267"/>
      <c r="AB385" s="260"/>
      <c r="AC385" s="354"/>
      <c r="AD385" s="354"/>
      <c r="AE385" s="354"/>
      <c r="AF385" s="279">
        <f t="shared" si="97"/>
        <v>0</v>
      </c>
    </row>
    <row r="386" spans="2:33">
      <c r="B386" s="275" t="s">
        <v>184</v>
      </c>
      <c r="E386" s="102">
        <v>0</v>
      </c>
      <c r="G386" s="102">
        <f t="shared" si="93"/>
        <v>0</v>
      </c>
      <c r="I386" s="99">
        <v>43.01</v>
      </c>
      <c r="J386" s="276"/>
      <c r="K386" s="267">
        <f t="shared" si="94"/>
        <v>0</v>
      </c>
      <c r="M386" s="267">
        <f t="shared" si="95"/>
        <v>0</v>
      </c>
      <c r="O386" s="99">
        <f t="shared" si="98"/>
        <v>43.01</v>
      </c>
      <c r="P386" s="276"/>
      <c r="Q386" s="267">
        <f t="shared" si="96"/>
        <v>0</v>
      </c>
      <c r="R386" s="267"/>
      <c r="S386" s="267"/>
      <c r="T386" s="267"/>
      <c r="U386" s="267"/>
      <c r="V386" s="267"/>
      <c r="W386" s="267"/>
      <c r="X386" s="267"/>
      <c r="Y386" s="267"/>
      <c r="Z386" s="267"/>
      <c r="AA386" s="267"/>
      <c r="AB386" s="260"/>
      <c r="AC386" s="354"/>
      <c r="AD386" s="354"/>
      <c r="AE386" s="354"/>
      <c r="AF386" s="279">
        <f t="shared" si="97"/>
        <v>0</v>
      </c>
    </row>
    <row r="387" spans="2:33">
      <c r="B387" s="275" t="s">
        <v>185</v>
      </c>
      <c r="E387" s="102">
        <v>13505.4974776872</v>
      </c>
      <c r="G387" s="102">
        <f t="shared" si="93"/>
        <v>11790</v>
      </c>
      <c r="I387" s="99">
        <v>26.02</v>
      </c>
      <c r="J387" s="276"/>
      <c r="K387" s="267">
        <f t="shared" si="94"/>
        <v>351413</v>
      </c>
      <c r="M387" s="267">
        <f t="shared" si="95"/>
        <v>306776</v>
      </c>
      <c r="O387" s="99">
        <f t="shared" si="98"/>
        <v>26.02</v>
      </c>
      <c r="P387" s="276"/>
      <c r="Q387" s="267">
        <f t="shared" si="96"/>
        <v>306776</v>
      </c>
      <c r="R387" s="267"/>
      <c r="S387" s="267"/>
      <c r="T387" s="267"/>
      <c r="U387" s="267"/>
      <c r="V387" s="267"/>
      <c r="W387" s="267"/>
      <c r="X387" s="267"/>
      <c r="Y387" s="267"/>
      <c r="Z387" s="267"/>
      <c r="AA387" s="267"/>
      <c r="AB387" s="260"/>
      <c r="AC387" s="355"/>
      <c r="AD387" s="355"/>
      <c r="AE387" s="355"/>
      <c r="AF387" s="279">
        <f t="shared" si="97"/>
        <v>0</v>
      </c>
    </row>
    <row r="388" spans="2:33">
      <c r="B388" s="275" t="s">
        <v>186</v>
      </c>
      <c r="E388" s="102">
        <v>0</v>
      </c>
      <c r="G388" s="102">
        <f t="shared" si="93"/>
        <v>0</v>
      </c>
      <c r="I388" s="99">
        <v>51.54</v>
      </c>
      <c r="J388" s="276"/>
      <c r="K388" s="267">
        <f t="shared" si="94"/>
        <v>0</v>
      </c>
      <c r="M388" s="267">
        <f t="shared" si="95"/>
        <v>0</v>
      </c>
      <c r="O388" s="99">
        <f t="shared" si="98"/>
        <v>51.54</v>
      </c>
      <c r="P388" s="276"/>
      <c r="Q388" s="267">
        <f t="shared" si="96"/>
        <v>0</v>
      </c>
      <c r="R388" s="267"/>
      <c r="S388" s="267"/>
      <c r="T388" s="267"/>
      <c r="U388" s="267"/>
      <c r="V388" s="267"/>
      <c r="W388" s="267"/>
      <c r="X388" s="267"/>
      <c r="Y388" s="267"/>
      <c r="Z388" s="267"/>
      <c r="AA388" s="267"/>
      <c r="AB388" s="260"/>
      <c r="AC388" s="354"/>
      <c r="AD388" s="354"/>
      <c r="AE388" s="354"/>
      <c r="AF388" s="279">
        <f t="shared" si="97"/>
        <v>0</v>
      </c>
      <c r="AG388" s="264"/>
    </row>
    <row r="389" spans="2:33">
      <c r="B389" s="333" t="s">
        <v>187</v>
      </c>
      <c r="E389" s="102"/>
      <c r="G389" s="102"/>
      <c r="I389" s="300"/>
      <c r="J389" s="299"/>
      <c r="K389" s="267"/>
      <c r="M389" s="267"/>
      <c r="O389" s="300"/>
      <c r="P389" s="299"/>
      <c r="Q389" s="267"/>
      <c r="R389" s="267"/>
      <c r="S389" s="267"/>
      <c r="T389" s="267"/>
      <c r="U389" s="267"/>
      <c r="V389" s="267"/>
      <c r="W389" s="267"/>
      <c r="X389" s="267"/>
      <c r="Y389" s="267"/>
      <c r="Z389" s="267"/>
      <c r="AA389" s="267"/>
      <c r="AB389" s="260"/>
      <c r="AC389" s="354"/>
      <c r="AD389" s="354"/>
      <c r="AE389" s="354"/>
      <c r="AF389" s="279"/>
    </row>
    <row r="390" spans="2:33" s="264" customFormat="1">
      <c r="B390" s="275" t="s">
        <v>188</v>
      </c>
      <c r="E390" s="102">
        <v>48</v>
      </c>
      <c r="F390" s="265"/>
      <c r="G390" s="102">
        <f t="shared" ref="G390:G400" si="99">ROUND(E390*$G$419/$E$419,0)</f>
        <v>42</v>
      </c>
      <c r="H390" s="265"/>
      <c r="I390" s="99">
        <v>48.74</v>
      </c>
      <c r="J390" s="276"/>
      <c r="K390" s="267">
        <f t="shared" ref="K390:K400" si="100">ROUND(E390*$I390,0)</f>
        <v>2340</v>
      </c>
      <c r="L390" s="265"/>
      <c r="M390" s="267">
        <f t="shared" ref="M390:M400" si="101">ROUND(G390*$I390,0)</f>
        <v>2047</v>
      </c>
      <c r="N390" s="265"/>
      <c r="O390" s="99">
        <f t="shared" ref="O390:O400" si="102">ROUND(I390*(1+$AD$377),2)</f>
        <v>48.74</v>
      </c>
      <c r="P390" s="276"/>
      <c r="Q390" s="267">
        <f t="shared" ref="Q390:Q400" si="103">ROUND(G390*O390,0)</f>
        <v>2047</v>
      </c>
      <c r="R390" s="267"/>
      <c r="S390" s="267"/>
      <c r="T390" s="267"/>
      <c r="U390" s="267"/>
      <c r="V390" s="267"/>
      <c r="W390" s="267"/>
      <c r="X390" s="267"/>
      <c r="Y390" s="267"/>
      <c r="Z390" s="267"/>
      <c r="AA390" s="267"/>
      <c r="AC390" s="354"/>
      <c r="AD390" s="354"/>
      <c r="AE390" s="354"/>
      <c r="AF390" s="279">
        <f t="shared" si="97"/>
        <v>0</v>
      </c>
      <c r="AG390" s="260"/>
    </row>
    <row r="391" spans="2:33">
      <c r="B391" s="275" t="s">
        <v>189</v>
      </c>
      <c r="E391" s="102">
        <v>588</v>
      </c>
      <c r="G391" s="102">
        <f t="shared" si="99"/>
        <v>513</v>
      </c>
      <c r="I391" s="99">
        <v>40.270000000000003</v>
      </c>
      <c r="J391" s="276"/>
      <c r="K391" s="267">
        <f t="shared" si="100"/>
        <v>23679</v>
      </c>
      <c r="M391" s="267">
        <f t="shared" si="101"/>
        <v>20659</v>
      </c>
      <c r="O391" s="99">
        <f t="shared" si="102"/>
        <v>40.270000000000003</v>
      </c>
      <c r="P391" s="276"/>
      <c r="Q391" s="267">
        <f t="shared" si="103"/>
        <v>20659</v>
      </c>
      <c r="R391" s="267"/>
      <c r="S391" s="267"/>
      <c r="T391" s="267"/>
      <c r="U391" s="267"/>
      <c r="V391" s="267"/>
      <c r="W391" s="267"/>
      <c r="X391" s="267"/>
      <c r="Y391" s="267"/>
      <c r="Z391" s="267"/>
      <c r="AA391" s="267"/>
      <c r="AB391" s="260"/>
      <c r="AC391" s="354"/>
      <c r="AD391" s="354"/>
      <c r="AE391" s="354"/>
      <c r="AF391" s="279">
        <f t="shared" si="97"/>
        <v>0</v>
      </c>
    </row>
    <row r="392" spans="2:33">
      <c r="B392" s="275" t="s">
        <v>190</v>
      </c>
      <c r="E392" s="102">
        <v>133.79989969909701</v>
      </c>
      <c r="G392" s="102">
        <f t="shared" si="99"/>
        <v>117</v>
      </c>
      <c r="I392" s="99">
        <v>20.13</v>
      </c>
      <c r="J392" s="276"/>
      <c r="K392" s="267">
        <f t="shared" si="100"/>
        <v>2693</v>
      </c>
      <c r="M392" s="267">
        <f t="shared" si="101"/>
        <v>2355</v>
      </c>
      <c r="O392" s="99">
        <f t="shared" si="102"/>
        <v>20.13</v>
      </c>
      <c r="P392" s="276"/>
      <c r="Q392" s="267">
        <f t="shared" si="103"/>
        <v>2355</v>
      </c>
      <c r="R392" s="267"/>
      <c r="S392" s="267"/>
      <c r="T392" s="267"/>
      <c r="U392" s="267"/>
      <c r="V392" s="267"/>
      <c r="W392" s="267"/>
      <c r="X392" s="267"/>
      <c r="Y392" s="267"/>
      <c r="Z392" s="267"/>
      <c r="AA392" s="267"/>
      <c r="AB392" s="260"/>
      <c r="AC392" s="355"/>
      <c r="AD392" s="355"/>
      <c r="AE392" s="355"/>
      <c r="AF392" s="279">
        <f t="shared" si="97"/>
        <v>0</v>
      </c>
    </row>
    <row r="393" spans="2:33">
      <c r="B393" s="275" t="s">
        <v>191</v>
      </c>
      <c r="E393" s="102">
        <v>0</v>
      </c>
      <c r="G393" s="102">
        <f t="shared" si="99"/>
        <v>0</v>
      </c>
      <c r="I393" s="99">
        <v>50.65</v>
      </c>
      <c r="J393" s="276"/>
      <c r="K393" s="267">
        <f t="shared" si="100"/>
        <v>0</v>
      </c>
      <c r="M393" s="267">
        <f t="shared" si="101"/>
        <v>0</v>
      </c>
      <c r="O393" s="99">
        <f t="shared" si="102"/>
        <v>50.65</v>
      </c>
      <c r="P393" s="276"/>
      <c r="Q393" s="267">
        <f t="shared" si="103"/>
        <v>0</v>
      </c>
      <c r="R393" s="267"/>
      <c r="S393" s="267"/>
      <c r="T393" s="267"/>
      <c r="U393" s="267"/>
      <c r="V393" s="267"/>
      <c r="W393" s="267"/>
      <c r="X393" s="267"/>
      <c r="Y393" s="267"/>
      <c r="Z393" s="267"/>
      <c r="AA393" s="267"/>
      <c r="AB393" s="260"/>
      <c r="AC393" s="354"/>
      <c r="AD393" s="354"/>
      <c r="AE393" s="354"/>
      <c r="AF393" s="279">
        <f t="shared" si="97"/>
        <v>0</v>
      </c>
      <c r="AG393" s="264"/>
    </row>
    <row r="394" spans="2:33">
      <c r="B394" s="275" t="s">
        <v>192</v>
      </c>
      <c r="E394" s="102">
        <v>1763.8620689655199</v>
      </c>
      <c r="G394" s="102">
        <f t="shared" si="99"/>
        <v>1540</v>
      </c>
      <c r="I394" s="99">
        <v>42.17</v>
      </c>
      <c r="J394" s="276"/>
      <c r="K394" s="267">
        <f t="shared" si="100"/>
        <v>74382</v>
      </c>
      <c r="M394" s="267">
        <f t="shared" si="101"/>
        <v>64942</v>
      </c>
      <c r="O394" s="99">
        <f t="shared" si="102"/>
        <v>42.17</v>
      </c>
      <c r="P394" s="276"/>
      <c r="Q394" s="267">
        <f t="shared" si="103"/>
        <v>64942</v>
      </c>
      <c r="R394" s="267"/>
      <c r="S394" s="267"/>
      <c r="T394" s="267"/>
      <c r="U394" s="267"/>
      <c r="V394" s="267"/>
      <c r="W394" s="267"/>
      <c r="X394" s="267"/>
      <c r="Y394" s="267"/>
      <c r="Z394" s="267"/>
      <c r="AA394" s="267"/>
      <c r="AB394" s="260"/>
      <c r="AC394" s="354"/>
      <c r="AD394" s="354"/>
      <c r="AE394" s="354"/>
      <c r="AF394" s="279">
        <f t="shared" si="97"/>
        <v>0</v>
      </c>
    </row>
    <row r="395" spans="2:33" s="264" customFormat="1">
      <c r="B395" s="275" t="s">
        <v>193</v>
      </c>
      <c r="E395" s="102">
        <v>386.18065693430702</v>
      </c>
      <c r="F395" s="265"/>
      <c r="G395" s="102">
        <f t="shared" si="99"/>
        <v>337</v>
      </c>
      <c r="H395" s="265"/>
      <c r="I395" s="99">
        <v>22.13</v>
      </c>
      <c r="J395" s="276"/>
      <c r="K395" s="267">
        <f t="shared" si="100"/>
        <v>8546</v>
      </c>
      <c r="L395" s="265"/>
      <c r="M395" s="267">
        <f t="shared" si="101"/>
        <v>7458</v>
      </c>
      <c r="N395" s="265"/>
      <c r="O395" s="99">
        <f t="shared" si="102"/>
        <v>22.13</v>
      </c>
      <c r="P395" s="276"/>
      <c r="Q395" s="267">
        <f t="shared" si="103"/>
        <v>7458</v>
      </c>
      <c r="R395" s="267"/>
      <c r="S395" s="267"/>
      <c r="T395" s="267"/>
      <c r="U395" s="267"/>
      <c r="V395" s="267"/>
      <c r="W395" s="267"/>
      <c r="X395" s="267"/>
      <c r="Y395" s="267"/>
      <c r="Z395" s="267"/>
      <c r="AA395" s="267"/>
      <c r="AC395" s="355"/>
      <c r="AD395" s="355"/>
      <c r="AE395" s="355"/>
      <c r="AF395" s="279">
        <f t="shared" si="97"/>
        <v>0</v>
      </c>
      <c r="AG395" s="260"/>
    </row>
    <row r="396" spans="2:33">
      <c r="B396" s="275" t="s">
        <v>194</v>
      </c>
      <c r="E396" s="102">
        <v>96</v>
      </c>
      <c r="G396" s="102">
        <f t="shared" si="99"/>
        <v>84</v>
      </c>
      <c r="I396" s="99">
        <v>53.69</v>
      </c>
      <c r="J396" s="276"/>
      <c r="K396" s="267">
        <f t="shared" si="100"/>
        <v>5154</v>
      </c>
      <c r="M396" s="267">
        <f t="shared" si="101"/>
        <v>4510</v>
      </c>
      <c r="O396" s="99">
        <f t="shared" si="102"/>
        <v>53.69</v>
      </c>
      <c r="P396" s="276"/>
      <c r="Q396" s="267">
        <f t="shared" si="103"/>
        <v>4510</v>
      </c>
      <c r="R396" s="267"/>
      <c r="S396" s="267"/>
      <c r="T396" s="267"/>
      <c r="U396" s="267"/>
      <c r="V396" s="267"/>
      <c r="W396" s="267"/>
      <c r="X396" s="267"/>
      <c r="Y396" s="267"/>
      <c r="Z396" s="267"/>
      <c r="AA396" s="267"/>
      <c r="AB396" s="260"/>
      <c r="AC396" s="354"/>
      <c r="AD396" s="354"/>
      <c r="AE396" s="354"/>
      <c r="AF396" s="279">
        <f t="shared" si="97"/>
        <v>0</v>
      </c>
      <c r="AG396" s="264"/>
    </row>
    <row r="397" spans="2:33">
      <c r="B397" s="275" t="s">
        <v>195</v>
      </c>
      <c r="E397" s="102">
        <v>427.23899932990798</v>
      </c>
      <c r="G397" s="102">
        <f t="shared" si="99"/>
        <v>373</v>
      </c>
      <c r="I397" s="99">
        <v>45.2</v>
      </c>
      <c r="J397" s="276"/>
      <c r="K397" s="267">
        <f t="shared" si="100"/>
        <v>19311</v>
      </c>
      <c r="M397" s="267">
        <f t="shared" si="101"/>
        <v>16860</v>
      </c>
      <c r="O397" s="99">
        <f t="shared" si="102"/>
        <v>45.2</v>
      </c>
      <c r="P397" s="276"/>
      <c r="Q397" s="267">
        <f t="shared" si="103"/>
        <v>16860</v>
      </c>
      <c r="R397" s="267"/>
      <c r="S397" s="267"/>
      <c r="T397" s="267"/>
      <c r="U397" s="267"/>
      <c r="V397" s="267"/>
      <c r="W397" s="267"/>
      <c r="X397" s="267"/>
      <c r="Y397" s="267"/>
      <c r="Z397" s="267"/>
      <c r="AA397" s="267"/>
      <c r="AB397" s="260"/>
      <c r="AC397" s="354"/>
      <c r="AD397" s="354"/>
      <c r="AE397" s="354"/>
      <c r="AF397" s="279">
        <f t="shared" si="97"/>
        <v>0</v>
      </c>
    </row>
    <row r="398" spans="2:33" s="264" customFormat="1">
      <c r="B398" s="275" t="s">
        <v>196</v>
      </c>
      <c r="E398" s="102">
        <v>12</v>
      </c>
      <c r="F398" s="265"/>
      <c r="G398" s="102">
        <f t="shared" si="99"/>
        <v>10</v>
      </c>
      <c r="H398" s="265"/>
      <c r="I398" s="276">
        <v>25.78</v>
      </c>
      <c r="J398" s="276"/>
      <c r="K398" s="267">
        <f t="shared" si="100"/>
        <v>309</v>
      </c>
      <c r="L398" s="265"/>
      <c r="M398" s="267">
        <f t="shared" si="101"/>
        <v>258</v>
      </c>
      <c r="N398" s="265"/>
      <c r="O398" s="99">
        <f t="shared" si="102"/>
        <v>25.78</v>
      </c>
      <c r="P398" s="276"/>
      <c r="Q398" s="267">
        <f t="shared" si="103"/>
        <v>258</v>
      </c>
      <c r="R398" s="267"/>
      <c r="S398" s="267"/>
      <c r="T398" s="267"/>
      <c r="U398" s="267"/>
      <c r="V398" s="267"/>
      <c r="W398" s="267"/>
      <c r="X398" s="267"/>
      <c r="Y398" s="267"/>
      <c r="Z398" s="267"/>
      <c r="AA398" s="267"/>
      <c r="AC398" s="355"/>
      <c r="AD398" s="355"/>
      <c r="AE398" s="355"/>
      <c r="AF398" s="279">
        <f t="shared" si="97"/>
        <v>0</v>
      </c>
      <c r="AG398" s="260"/>
    </row>
    <row r="399" spans="2:33">
      <c r="B399" s="275" t="s">
        <v>197</v>
      </c>
      <c r="E399" s="102">
        <v>0</v>
      </c>
      <c r="G399" s="102">
        <f t="shared" si="99"/>
        <v>0</v>
      </c>
      <c r="I399" s="276">
        <v>55.33</v>
      </c>
      <c r="J399" s="276"/>
      <c r="K399" s="267">
        <f t="shared" si="100"/>
        <v>0</v>
      </c>
      <c r="M399" s="267">
        <f t="shared" si="101"/>
        <v>0</v>
      </c>
      <c r="O399" s="99">
        <f t="shared" si="102"/>
        <v>55.33</v>
      </c>
      <c r="P399" s="276"/>
      <c r="Q399" s="267">
        <f t="shared" si="103"/>
        <v>0</v>
      </c>
      <c r="R399" s="267"/>
      <c r="S399" s="267"/>
      <c r="T399" s="267"/>
      <c r="U399" s="267"/>
      <c r="V399" s="267"/>
      <c r="W399" s="267"/>
      <c r="X399" s="267"/>
      <c r="Y399" s="267"/>
      <c r="Z399" s="267"/>
      <c r="AA399" s="267"/>
      <c r="AB399" s="260"/>
      <c r="AC399" s="354"/>
      <c r="AD399" s="354"/>
      <c r="AE399" s="354"/>
      <c r="AF399" s="279">
        <f t="shared" si="97"/>
        <v>0</v>
      </c>
      <c r="AG399" s="264"/>
    </row>
    <row r="400" spans="2:33">
      <c r="B400" s="275" t="s">
        <v>198</v>
      </c>
      <c r="E400" s="102">
        <v>0</v>
      </c>
      <c r="G400" s="102">
        <f t="shared" si="99"/>
        <v>0</v>
      </c>
      <c r="I400" s="276">
        <v>46.86</v>
      </c>
      <c r="J400" s="276"/>
      <c r="K400" s="267">
        <f t="shared" si="100"/>
        <v>0</v>
      </c>
      <c r="M400" s="267">
        <f t="shared" si="101"/>
        <v>0</v>
      </c>
      <c r="O400" s="99">
        <f t="shared" si="102"/>
        <v>46.86</v>
      </c>
      <c r="P400" s="276"/>
      <c r="Q400" s="267">
        <f t="shared" si="103"/>
        <v>0</v>
      </c>
      <c r="R400" s="267"/>
      <c r="S400" s="267"/>
      <c r="T400" s="267"/>
      <c r="U400" s="267"/>
      <c r="V400" s="267"/>
      <c r="W400" s="267"/>
      <c r="X400" s="267"/>
      <c r="Y400" s="267"/>
      <c r="Z400" s="267"/>
      <c r="AA400" s="267"/>
      <c r="AB400" s="260"/>
      <c r="AC400" s="354"/>
      <c r="AD400" s="354"/>
      <c r="AE400" s="354"/>
      <c r="AF400" s="279">
        <f t="shared" si="97"/>
        <v>0</v>
      </c>
    </row>
    <row r="401" spans="2:33" s="264" customFormat="1">
      <c r="B401" s="333" t="s">
        <v>199</v>
      </c>
      <c r="E401" s="280"/>
      <c r="F401" s="265"/>
      <c r="G401" s="280"/>
      <c r="H401" s="265"/>
      <c r="I401" s="276"/>
      <c r="J401" s="276"/>
      <c r="K401" s="301"/>
      <c r="L401" s="265"/>
      <c r="M401" s="301"/>
      <c r="N401" s="265"/>
      <c r="O401" s="276"/>
      <c r="P401" s="276"/>
      <c r="Q401" s="301"/>
      <c r="R401" s="301"/>
      <c r="S401" s="301"/>
      <c r="T401" s="301"/>
      <c r="U401" s="301"/>
      <c r="V401" s="301"/>
      <c r="W401" s="301"/>
      <c r="X401" s="301"/>
      <c r="Y401" s="301"/>
      <c r="Z401" s="301"/>
      <c r="AA401" s="301"/>
      <c r="AC401" s="354"/>
      <c r="AD401" s="354"/>
      <c r="AE401" s="354"/>
      <c r="AF401" s="260"/>
      <c r="AG401" s="260"/>
    </row>
    <row r="402" spans="2:33">
      <c r="B402" s="275" t="s">
        <v>200</v>
      </c>
      <c r="E402" s="102">
        <v>9641.2777777777792</v>
      </c>
      <c r="G402" s="102">
        <f>ROUND(E402*$G$419/$E$419,0)</f>
        <v>8417</v>
      </c>
      <c r="I402" s="99">
        <v>11.09</v>
      </c>
      <c r="J402" s="276"/>
      <c r="K402" s="267">
        <f>ROUND(E402*$I402,0)</f>
        <v>106922</v>
      </c>
      <c r="M402" s="267">
        <f>ROUND(G402*$I402,0)</f>
        <v>93345</v>
      </c>
      <c r="O402" s="99">
        <f>ROUND(I402*(1+$AD$377),2)</f>
        <v>11.09</v>
      </c>
      <c r="P402" s="276"/>
      <c r="Q402" s="267">
        <f>ROUND(G402*O402,0)</f>
        <v>93345</v>
      </c>
      <c r="R402" s="267"/>
      <c r="S402" s="267"/>
      <c r="T402" s="267"/>
      <c r="U402" s="267"/>
      <c r="V402" s="267"/>
      <c r="W402" s="267"/>
      <c r="X402" s="267"/>
      <c r="Y402" s="267"/>
      <c r="Z402" s="267"/>
      <c r="AA402" s="267"/>
      <c r="AB402" s="260"/>
      <c r="AC402" s="354"/>
      <c r="AD402" s="354"/>
      <c r="AE402" s="354"/>
      <c r="AF402" s="279">
        <f t="shared" ref="AF402:AF406" si="104">O402/I402-1</f>
        <v>0</v>
      </c>
    </row>
    <row r="403" spans="2:33">
      <c r="B403" s="275" t="s">
        <v>237</v>
      </c>
      <c r="E403" s="102">
        <v>12074.047445255501</v>
      </c>
      <c r="G403" s="102">
        <f>ROUND(E403*$G$419/$E$419,0)</f>
        <v>10540</v>
      </c>
      <c r="I403" s="99">
        <v>13.83</v>
      </c>
      <c r="J403" s="276"/>
      <c r="K403" s="267">
        <f>ROUND(E403*$I403,0)</f>
        <v>166984</v>
      </c>
      <c r="M403" s="267">
        <f>ROUND(G403*$I403,0)</f>
        <v>145768</v>
      </c>
      <c r="O403" s="99">
        <f>ROUND(I403*(1+$AD$377),2)</f>
        <v>13.83</v>
      </c>
      <c r="P403" s="276"/>
      <c r="Q403" s="267">
        <f>ROUND(G403*O403,0)</f>
        <v>145768</v>
      </c>
      <c r="R403" s="267"/>
      <c r="S403" s="267"/>
      <c r="T403" s="267"/>
      <c r="U403" s="267"/>
      <c r="V403" s="267"/>
      <c r="W403" s="267"/>
      <c r="X403" s="267"/>
      <c r="Y403" s="267"/>
      <c r="Z403" s="267"/>
      <c r="AA403" s="267"/>
      <c r="AB403" s="260"/>
      <c r="AC403" s="354"/>
      <c r="AD403" s="354"/>
      <c r="AE403" s="354"/>
      <c r="AF403" s="279">
        <f t="shared" si="104"/>
        <v>0</v>
      </c>
    </row>
    <row r="404" spans="2:33">
      <c r="B404" s="275" t="s">
        <v>201</v>
      </c>
      <c r="E404" s="102">
        <v>321.483081728267</v>
      </c>
      <c r="G404" s="102">
        <f>ROUND(E404*$G$419/$E$419,0)</f>
        <v>281</v>
      </c>
      <c r="I404" s="99">
        <v>19.399999999999999</v>
      </c>
      <c r="J404" s="276"/>
      <c r="K404" s="267">
        <f>ROUND(E404*$I404,0)</f>
        <v>6237</v>
      </c>
      <c r="M404" s="267">
        <f>ROUND(G404*$I404,0)</f>
        <v>5451</v>
      </c>
      <c r="O404" s="99">
        <f>ROUND(I404*(1+$AD$377),2)</f>
        <v>19.399999999999999</v>
      </c>
      <c r="P404" s="276"/>
      <c r="Q404" s="267">
        <f>ROUND(G404*O404,0)</f>
        <v>5451</v>
      </c>
      <c r="R404" s="267"/>
      <c r="S404" s="267"/>
      <c r="T404" s="267"/>
      <c r="U404" s="267"/>
      <c r="V404" s="267"/>
      <c r="W404" s="267"/>
      <c r="X404" s="267"/>
      <c r="Y404" s="267"/>
      <c r="Z404" s="267"/>
      <c r="AA404" s="267"/>
      <c r="AB404" s="260"/>
      <c r="AC404" s="354"/>
      <c r="AD404" s="354"/>
      <c r="AE404" s="354"/>
      <c r="AF404" s="279">
        <f t="shared" si="104"/>
        <v>0</v>
      </c>
    </row>
    <row r="405" spans="2:33">
      <c r="B405" s="275" t="s">
        <v>202</v>
      </c>
      <c r="E405" s="102">
        <v>0</v>
      </c>
      <c r="G405" s="102">
        <f>ROUND(E405*$G$419/$E$419,0)</f>
        <v>0</v>
      </c>
      <c r="I405" s="99">
        <v>17.46</v>
      </c>
      <c r="J405" s="276"/>
      <c r="K405" s="267">
        <f>ROUND(E405*$I405,0)</f>
        <v>0</v>
      </c>
      <c r="M405" s="267">
        <f>ROUND(G405*$I405,0)</f>
        <v>0</v>
      </c>
      <c r="O405" s="99">
        <f>ROUND(I405*(1+$AD$377),2)</f>
        <v>17.46</v>
      </c>
      <c r="P405" s="276"/>
      <c r="Q405" s="267">
        <f>ROUND(G405*O405,0)</f>
        <v>0</v>
      </c>
      <c r="R405" s="267"/>
      <c r="S405" s="267"/>
      <c r="T405" s="267"/>
      <c r="U405" s="267"/>
      <c r="V405" s="267"/>
      <c r="W405" s="267"/>
      <c r="X405" s="267"/>
      <c r="Y405" s="267"/>
      <c r="Z405" s="267"/>
      <c r="AA405" s="267"/>
      <c r="AB405" s="260"/>
      <c r="AC405" s="354"/>
      <c r="AD405" s="354"/>
      <c r="AE405" s="354"/>
      <c r="AF405" s="279">
        <f t="shared" si="104"/>
        <v>0</v>
      </c>
    </row>
    <row r="406" spans="2:33">
      <c r="B406" s="275" t="s">
        <v>239</v>
      </c>
      <c r="E406" s="102">
        <v>1929.8347107438001</v>
      </c>
      <c r="G406" s="102">
        <f>ROUND(E406*$G$419/$E$419,0)</f>
        <v>1685</v>
      </c>
      <c r="I406" s="99">
        <v>24.43</v>
      </c>
      <c r="J406" s="276"/>
      <c r="K406" s="267">
        <f>ROUND(E406*$I406,0)</f>
        <v>47146</v>
      </c>
      <c r="M406" s="267">
        <f>ROUND(G406*$I406,0)</f>
        <v>41165</v>
      </c>
      <c r="O406" s="99">
        <f>ROUND(I406*(1+$AD$377),2)</f>
        <v>24.43</v>
      </c>
      <c r="P406" s="276"/>
      <c r="Q406" s="267">
        <f>ROUND(G406*O406,0)</f>
        <v>41165</v>
      </c>
      <c r="R406" s="267"/>
      <c r="S406" s="267"/>
      <c r="T406" s="267"/>
      <c r="U406" s="267"/>
      <c r="V406" s="267"/>
      <c r="W406" s="267"/>
      <c r="X406" s="267"/>
      <c r="Y406" s="267"/>
      <c r="Z406" s="267"/>
      <c r="AA406" s="267"/>
      <c r="AB406" s="260"/>
      <c r="AC406" s="354"/>
      <c r="AD406" s="354"/>
      <c r="AE406" s="354"/>
      <c r="AF406" s="279">
        <f t="shared" si="104"/>
        <v>0</v>
      </c>
    </row>
    <row r="407" spans="2:33">
      <c r="B407" s="333" t="s">
        <v>203</v>
      </c>
      <c r="E407" s="102"/>
      <c r="G407" s="102"/>
      <c r="K407" s="267"/>
      <c r="M407" s="267"/>
      <c r="Q407" s="267"/>
      <c r="R407" s="267"/>
      <c r="S407" s="267"/>
      <c r="T407" s="267"/>
      <c r="U407" s="267"/>
      <c r="V407" s="267"/>
      <c r="W407" s="267"/>
      <c r="X407" s="267"/>
      <c r="Y407" s="267"/>
      <c r="Z407" s="267"/>
      <c r="AA407" s="267"/>
      <c r="AB407" s="260"/>
      <c r="AC407" s="354"/>
      <c r="AD407" s="354"/>
      <c r="AE407" s="354"/>
    </row>
    <row r="408" spans="2:33">
      <c r="B408" s="275" t="s">
        <v>204</v>
      </c>
      <c r="E408" s="102">
        <v>0</v>
      </c>
      <c r="G408" s="102">
        <f t="shared" ref="G408:G413" si="105">ROUND(E408*$G$419/$E$419,0)</f>
        <v>0</v>
      </c>
      <c r="I408" s="99">
        <v>11.99</v>
      </c>
      <c r="J408" s="276"/>
      <c r="K408" s="267">
        <f t="shared" ref="K408:K413" si="106">ROUND(E408*$I408,0)</f>
        <v>0</v>
      </c>
      <c r="M408" s="267">
        <f t="shared" ref="M408:M413" si="107">ROUND(G408*$I408,0)</f>
        <v>0</v>
      </c>
      <c r="O408" s="99">
        <f t="shared" ref="O408:O413" si="108">ROUND(I408*(1+$AD$377),2)</f>
        <v>11.99</v>
      </c>
      <c r="P408" s="276"/>
      <c r="Q408" s="267">
        <f t="shared" ref="Q408:Q413" si="109">ROUND(G408*O408,0)</f>
        <v>0</v>
      </c>
      <c r="R408" s="267"/>
      <c r="S408" s="267"/>
      <c r="T408" s="267"/>
      <c r="U408" s="267"/>
      <c r="V408" s="267"/>
      <c r="W408" s="267"/>
      <c r="X408" s="267"/>
      <c r="Y408" s="267"/>
      <c r="Z408" s="267"/>
      <c r="AA408" s="267"/>
      <c r="AB408" s="260"/>
      <c r="AC408" s="354"/>
      <c r="AD408" s="354"/>
      <c r="AE408" s="354"/>
      <c r="AF408" s="279">
        <f t="shared" ref="AF408:AF413" si="110">O408/I408-1</f>
        <v>0</v>
      </c>
    </row>
    <row r="409" spans="2:33">
      <c r="B409" s="275" t="s">
        <v>205</v>
      </c>
      <c r="E409" s="102">
        <v>144.5</v>
      </c>
      <c r="G409" s="102">
        <f t="shared" si="105"/>
        <v>126</v>
      </c>
      <c r="I409" s="99">
        <v>4.24</v>
      </c>
      <c r="J409" s="276"/>
      <c r="K409" s="267">
        <f t="shared" si="106"/>
        <v>613</v>
      </c>
      <c r="M409" s="267">
        <f t="shared" si="107"/>
        <v>534</v>
      </c>
      <c r="O409" s="99">
        <f t="shared" si="108"/>
        <v>4.24</v>
      </c>
      <c r="P409" s="276"/>
      <c r="Q409" s="267">
        <f t="shared" si="109"/>
        <v>534</v>
      </c>
      <c r="R409" s="267"/>
      <c r="S409" s="267"/>
      <c r="T409" s="267"/>
      <c r="U409" s="267"/>
      <c r="V409" s="267"/>
      <c r="W409" s="267"/>
      <c r="X409" s="267"/>
      <c r="Y409" s="267"/>
      <c r="Z409" s="267"/>
      <c r="AA409" s="267"/>
      <c r="AB409" s="260"/>
      <c r="AC409" s="354"/>
      <c r="AD409" s="354"/>
      <c r="AE409" s="354"/>
      <c r="AF409" s="279">
        <f t="shared" si="110"/>
        <v>0</v>
      </c>
    </row>
    <row r="410" spans="2:33">
      <c r="B410" s="275" t="s">
        <v>206</v>
      </c>
      <c r="E410" s="102">
        <v>23.500294985250701</v>
      </c>
      <c r="G410" s="102">
        <f t="shared" si="105"/>
        <v>21</v>
      </c>
      <c r="I410" s="99">
        <v>17.11</v>
      </c>
      <c r="J410" s="276"/>
      <c r="K410" s="267">
        <f t="shared" si="106"/>
        <v>402</v>
      </c>
      <c r="M410" s="267">
        <f t="shared" si="107"/>
        <v>359</v>
      </c>
      <c r="O410" s="99">
        <f t="shared" si="108"/>
        <v>17.11</v>
      </c>
      <c r="P410" s="276"/>
      <c r="Q410" s="267">
        <f t="shared" si="109"/>
        <v>359</v>
      </c>
      <c r="R410" s="267"/>
      <c r="S410" s="267"/>
      <c r="T410" s="267"/>
      <c r="U410" s="267"/>
      <c r="V410" s="267"/>
      <c r="W410" s="267"/>
      <c r="X410" s="267"/>
      <c r="Y410" s="267"/>
      <c r="Z410" s="267"/>
      <c r="AA410" s="267"/>
      <c r="AB410" s="260"/>
      <c r="AC410" s="354"/>
      <c r="AD410" s="354"/>
      <c r="AE410" s="354"/>
      <c r="AF410" s="279">
        <f t="shared" si="110"/>
        <v>0</v>
      </c>
    </row>
    <row r="411" spans="2:33">
      <c r="B411" s="275" t="s">
        <v>200</v>
      </c>
      <c r="E411" s="102">
        <v>380.13346515076603</v>
      </c>
      <c r="G411" s="102">
        <f t="shared" si="105"/>
        <v>332</v>
      </c>
      <c r="I411" s="99">
        <v>20.43</v>
      </c>
      <c r="J411" s="276"/>
      <c r="K411" s="267">
        <f t="shared" si="106"/>
        <v>7766</v>
      </c>
      <c r="M411" s="267">
        <f t="shared" si="107"/>
        <v>6783</v>
      </c>
      <c r="O411" s="99">
        <f t="shared" si="108"/>
        <v>20.43</v>
      </c>
      <c r="P411" s="276"/>
      <c r="Q411" s="267">
        <f t="shared" si="109"/>
        <v>6783</v>
      </c>
      <c r="R411" s="267"/>
      <c r="S411" s="267"/>
      <c r="T411" s="267"/>
      <c r="U411" s="267"/>
      <c r="V411" s="267"/>
      <c r="W411" s="267"/>
      <c r="X411" s="267"/>
      <c r="Y411" s="267"/>
      <c r="Z411" s="267"/>
      <c r="AA411" s="267"/>
      <c r="AB411" s="260"/>
      <c r="AC411" s="354"/>
      <c r="AD411" s="354"/>
      <c r="AE411" s="354"/>
      <c r="AF411" s="279">
        <f t="shared" si="110"/>
        <v>0</v>
      </c>
    </row>
    <row r="412" spans="2:33">
      <c r="B412" s="275" t="s">
        <v>207</v>
      </c>
      <c r="E412" s="102">
        <v>629.948707079271</v>
      </c>
      <c r="G412" s="102">
        <f t="shared" si="105"/>
        <v>550</v>
      </c>
      <c r="I412" s="99">
        <v>23.82</v>
      </c>
      <c r="J412" s="276"/>
      <c r="K412" s="267">
        <f t="shared" si="106"/>
        <v>15005</v>
      </c>
      <c r="M412" s="267">
        <f t="shared" si="107"/>
        <v>13101</v>
      </c>
      <c r="O412" s="99">
        <f t="shared" si="108"/>
        <v>23.82</v>
      </c>
      <c r="P412" s="276"/>
      <c r="Q412" s="267">
        <f t="shared" si="109"/>
        <v>13101</v>
      </c>
      <c r="R412" s="267"/>
      <c r="S412" s="267"/>
      <c r="T412" s="267"/>
      <c r="U412" s="267"/>
      <c r="V412" s="267"/>
      <c r="W412" s="267"/>
      <c r="X412" s="267"/>
      <c r="Y412" s="267"/>
      <c r="Z412" s="267"/>
      <c r="AA412" s="267"/>
      <c r="AB412" s="260"/>
      <c r="AC412" s="354"/>
      <c r="AD412" s="354"/>
      <c r="AE412" s="354"/>
      <c r="AF412" s="279">
        <f t="shared" si="110"/>
        <v>0</v>
      </c>
    </row>
    <row r="413" spans="2:33">
      <c r="B413" s="275" t="s">
        <v>201</v>
      </c>
      <c r="E413" s="102">
        <v>24</v>
      </c>
      <c r="G413" s="102">
        <f t="shared" si="105"/>
        <v>21</v>
      </c>
      <c r="I413" s="99">
        <v>31.47</v>
      </c>
      <c r="J413" s="276"/>
      <c r="K413" s="267">
        <f t="shared" si="106"/>
        <v>755</v>
      </c>
      <c r="M413" s="267">
        <f t="shared" si="107"/>
        <v>661</v>
      </c>
      <c r="O413" s="99">
        <f t="shared" si="108"/>
        <v>31.47</v>
      </c>
      <c r="P413" s="276"/>
      <c r="Q413" s="267">
        <f t="shared" si="109"/>
        <v>661</v>
      </c>
      <c r="R413" s="267"/>
      <c r="S413" s="267"/>
      <c r="T413" s="267"/>
      <c r="U413" s="267"/>
      <c r="V413" s="267"/>
      <c r="W413" s="267"/>
      <c r="X413" s="267"/>
      <c r="Y413" s="267"/>
      <c r="Z413" s="267"/>
      <c r="AA413" s="267"/>
      <c r="AB413" s="260"/>
      <c r="AC413" s="354"/>
      <c r="AD413" s="354"/>
      <c r="AE413" s="354"/>
      <c r="AF413" s="279">
        <f t="shared" si="110"/>
        <v>0</v>
      </c>
    </row>
    <row r="414" spans="2:33">
      <c r="B414" s="333" t="s">
        <v>208</v>
      </c>
      <c r="E414" s="280"/>
      <c r="G414" s="280"/>
      <c r="I414" s="276"/>
      <c r="J414" s="276"/>
      <c r="K414" s="301"/>
      <c r="M414" s="301"/>
      <c r="O414" s="276"/>
      <c r="P414" s="276"/>
      <c r="Q414" s="301"/>
      <c r="R414" s="301"/>
      <c r="S414" s="301"/>
      <c r="T414" s="301"/>
      <c r="U414" s="301"/>
      <c r="V414" s="301"/>
      <c r="W414" s="301"/>
      <c r="X414" s="301"/>
      <c r="Y414" s="301"/>
      <c r="Z414" s="301"/>
      <c r="AA414" s="301"/>
      <c r="AB414" s="260"/>
      <c r="AC414" s="354"/>
      <c r="AD414" s="354"/>
      <c r="AE414" s="354"/>
    </row>
    <row r="415" spans="2:33">
      <c r="B415" s="275" t="s">
        <v>209</v>
      </c>
      <c r="E415" s="102">
        <v>12</v>
      </c>
      <c r="G415" s="102">
        <f>ROUND(E415*$G$419/$E$419,0)</f>
        <v>10</v>
      </c>
      <c r="I415" s="99">
        <v>27.85</v>
      </c>
      <c r="J415" s="276"/>
      <c r="K415" s="267">
        <f>ROUND(E415*$I415,0)</f>
        <v>334</v>
      </c>
      <c r="M415" s="267">
        <f>ROUND(G415*$I415,0)</f>
        <v>279</v>
      </c>
      <c r="O415" s="99">
        <f>ROUND(I415*(1+$AD$377),2)</f>
        <v>27.85</v>
      </c>
      <c r="P415" s="276"/>
      <c r="Q415" s="267">
        <f>ROUND(G415*O415,0)</f>
        <v>279</v>
      </c>
      <c r="R415" s="267"/>
      <c r="S415" s="267"/>
      <c r="T415" s="267"/>
      <c r="U415" s="267"/>
      <c r="V415" s="267"/>
      <c r="W415" s="267"/>
      <c r="X415" s="267"/>
      <c r="Y415" s="267"/>
      <c r="Z415" s="267"/>
      <c r="AA415" s="267"/>
      <c r="AB415" s="260"/>
      <c r="AC415" s="354"/>
      <c r="AD415" s="354"/>
      <c r="AE415" s="354"/>
      <c r="AF415" s="279">
        <f t="shared" ref="AF415" si="111">O415/I415-1</f>
        <v>0</v>
      </c>
    </row>
    <row r="416" spans="2:33">
      <c r="B416" s="333" t="s">
        <v>210</v>
      </c>
      <c r="E416" s="102"/>
      <c r="G416" s="102"/>
      <c r="I416" s="99"/>
      <c r="J416" s="276"/>
      <c r="K416" s="267"/>
      <c r="M416" s="267"/>
      <c r="O416" s="99"/>
      <c r="P416" s="276"/>
      <c r="Q416" s="267"/>
      <c r="R416" s="267"/>
      <c r="S416" s="267"/>
      <c r="T416" s="267"/>
      <c r="U416" s="267"/>
      <c r="V416" s="267"/>
      <c r="W416" s="267"/>
      <c r="X416" s="267"/>
      <c r="Y416" s="267"/>
      <c r="Z416" s="267"/>
      <c r="AA416" s="267"/>
      <c r="AB416" s="260"/>
      <c r="AC416" s="354"/>
      <c r="AD416" s="354"/>
      <c r="AE416" s="354"/>
    </row>
    <row r="417" spans="2:32">
      <c r="B417" s="275" t="s">
        <v>211</v>
      </c>
      <c r="E417" s="102">
        <v>48</v>
      </c>
      <c r="G417" s="102">
        <f>ROUND(E417*$G$419/$E$419,0)</f>
        <v>42</v>
      </c>
      <c r="I417" s="99">
        <v>39.04</v>
      </c>
      <c r="J417" s="276"/>
      <c r="K417" s="267">
        <f>ROUND(E417*$I417,0)</f>
        <v>1874</v>
      </c>
      <c r="M417" s="267">
        <f>ROUND(G417*$I417,0)</f>
        <v>1640</v>
      </c>
      <c r="O417" s="99">
        <f>ROUND(I417*(1+$AD$377),2)</f>
        <v>39.04</v>
      </c>
      <c r="P417" s="276"/>
      <c r="Q417" s="267">
        <f>ROUND(G417*O417,0)</f>
        <v>1640</v>
      </c>
      <c r="R417" s="267"/>
      <c r="S417" s="267"/>
      <c r="T417" s="267"/>
      <c r="U417" s="267"/>
      <c r="V417" s="267"/>
      <c r="W417" s="267"/>
      <c r="X417" s="267"/>
      <c r="Y417" s="267"/>
      <c r="Z417" s="267"/>
      <c r="AA417" s="267"/>
      <c r="AB417" s="260"/>
      <c r="AC417" s="354"/>
      <c r="AD417" s="354"/>
      <c r="AE417" s="354"/>
      <c r="AF417" s="279">
        <f t="shared" ref="AF417" si="112">O417/I417-1</f>
        <v>0</v>
      </c>
    </row>
    <row r="418" spans="2:32">
      <c r="B418" s="275" t="s">
        <v>212</v>
      </c>
      <c r="E418" s="103">
        <f>SUM(E374:E417)</f>
        <v>397933.89803916984</v>
      </c>
      <c r="G418" s="103">
        <f>SUM(G374:G417)</f>
        <v>347387</v>
      </c>
      <c r="I418" s="352"/>
      <c r="K418" s="308">
        <f>SUM(K374:K417)</f>
        <v>5829761</v>
      </c>
      <c r="M418" s="308">
        <f>SUM(M374:M417)</f>
        <v>5089243</v>
      </c>
      <c r="O418" s="352"/>
      <c r="Q418" s="308">
        <f>SUM(Q374:Q417)</f>
        <v>5089243</v>
      </c>
      <c r="R418" s="301"/>
      <c r="S418" s="301"/>
      <c r="T418" s="301"/>
      <c r="U418" s="301"/>
      <c r="V418" s="301"/>
      <c r="W418" s="301"/>
      <c r="X418" s="301"/>
      <c r="Y418" s="301"/>
      <c r="Z418" s="301"/>
      <c r="AA418" s="301"/>
      <c r="AB418" s="260"/>
      <c r="AC418" s="354"/>
      <c r="AD418" s="354"/>
      <c r="AE418" s="354"/>
    </row>
    <row r="419" spans="2:32" ht="16.5" thickBot="1">
      <c r="B419" s="275" t="s">
        <v>263</v>
      </c>
      <c r="E419" s="356">
        <v>19562562.607310005</v>
      </c>
      <c r="G419" s="356">
        <v>17077687</v>
      </c>
      <c r="I419" s="318"/>
      <c r="K419" s="318"/>
      <c r="M419" s="318"/>
      <c r="O419" s="318"/>
      <c r="Q419" s="318"/>
      <c r="R419" s="265"/>
      <c r="S419" s="265"/>
      <c r="T419" s="265"/>
      <c r="U419" s="265"/>
      <c r="V419" s="265"/>
      <c r="W419" s="265"/>
      <c r="X419" s="265"/>
      <c r="Y419" s="265"/>
      <c r="Z419" s="265"/>
      <c r="AA419" s="265"/>
      <c r="AB419" s="260"/>
      <c r="AC419" s="354"/>
      <c r="AD419" s="354"/>
      <c r="AE419" s="354"/>
    </row>
    <row r="420" spans="2:32" ht="16.5" thickTop="1">
      <c r="B420" s="275" t="s">
        <v>380</v>
      </c>
      <c r="E420" s="270">
        <v>952.66666666666697</v>
      </c>
      <c r="G420" s="270">
        <v>834.33333333333337</v>
      </c>
      <c r="AB420" s="309"/>
      <c r="AC420" s="354"/>
      <c r="AD420" s="354"/>
      <c r="AE420" s="354"/>
    </row>
    <row r="421" spans="2:32">
      <c r="B421" s="275" t="s">
        <v>264</v>
      </c>
      <c r="E421" s="357">
        <v>329284</v>
      </c>
      <c r="G421" s="357">
        <v>0</v>
      </c>
      <c r="I421" s="352"/>
      <c r="K421" s="308">
        <v>83289</v>
      </c>
      <c r="M421" s="308">
        <v>0</v>
      </c>
      <c r="O421" s="352"/>
      <c r="Q421" s="308">
        <v>0</v>
      </c>
      <c r="R421" s="301"/>
      <c r="S421" s="301"/>
      <c r="T421" s="301"/>
      <c r="U421" s="301"/>
      <c r="V421" s="301"/>
      <c r="W421" s="301"/>
      <c r="X421" s="301"/>
      <c r="Y421" s="301"/>
      <c r="Z421" s="301"/>
      <c r="AA421" s="301"/>
      <c r="AB421" s="260"/>
      <c r="AC421" s="354"/>
      <c r="AD421" s="354"/>
      <c r="AE421" s="354"/>
    </row>
    <row r="422" spans="2:32" ht="16.5" thickBot="1">
      <c r="B422" s="275" t="s">
        <v>213</v>
      </c>
      <c r="E422" s="356">
        <f>E421+E419</f>
        <v>19891846.607310005</v>
      </c>
      <c r="G422" s="356">
        <f>G421+G419</f>
        <v>17077687</v>
      </c>
      <c r="I422" s="358"/>
      <c r="J422" s="359"/>
      <c r="K422" s="358">
        <f>K421+K418</f>
        <v>5913050</v>
      </c>
      <c r="M422" s="358">
        <f>M421+M418</f>
        <v>5089243</v>
      </c>
      <c r="O422" s="358"/>
      <c r="P422" s="359"/>
      <c r="Q422" s="358">
        <f>Q421+Q418</f>
        <v>5089243</v>
      </c>
      <c r="R422" s="359"/>
      <c r="S422" s="359"/>
      <c r="T422" s="359"/>
      <c r="U422" s="359"/>
      <c r="V422" s="359"/>
      <c r="W422" s="359"/>
      <c r="X422" s="359"/>
      <c r="Y422" s="359"/>
      <c r="Z422" s="359"/>
      <c r="AA422" s="359"/>
      <c r="AB422" s="260"/>
      <c r="AC422" s="315">
        <f>Q422/M422-1</f>
        <v>0</v>
      </c>
      <c r="AD422" s="354"/>
      <c r="AE422" s="354"/>
    </row>
    <row r="423" spans="2:32" ht="16.5" thickTop="1">
      <c r="E423" s="102"/>
      <c r="G423" s="102"/>
      <c r="AB423" s="260"/>
      <c r="AC423" s="354"/>
      <c r="AD423" s="354"/>
      <c r="AE423" s="354"/>
    </row>
    <row r="424" spans="2:32">
      <c r="B424" s="272" t="s">
        <v>214</v>
      </c>
      <c r="E424" s="102"/>
      <c r="G424" s="102"/>
      <c r="AB424" s="260"/>
      <c r="AC424" s="354"/>
      <c r="AD424" s="354"/>
      <c r="AE424" s="354"/>
    </row>
    <row r="425" spans="2:32">
      <c r="B425" s="360" t="s">
        <v>215</v>
      </c>
      <c r="E425" s="102"/>
      <c r="G425" s="102"/>
      <c r="K425" s="267"/>
      <c r="M425" s="267"/>
      <c r="Q425" s="267"/>
      <c r="R425" s="267"/>
      <c r="S425" s="267"/>
      <c r="T425" s="267"/>
      <c r="U425" s="267"/>
      <c r="V425" s="267"/>
      <c r="W425" s="267"/>
      <c r="X425" s="267"/>
      <c r="Y425" s="267"/>
      <c r="Z425" s="267"/>
      <c r="AA425" s="267"/>
      <c r="AB425" s="260"/>
      <c r="AC425" s="260"/>
      <c r="AE425" s="354"/>
    </row>
    <row r="426" spans="2:32">
      <c r="B426" s="333" t="s">
        <v>216</v>
      </c>
      <c r="E426" s="102"/>
      <c r="G426" s="102"/>
      <c r="K426" s="267"/>
      <c r="M426" s="267"/>
      <c r="Q426" s="267"/>
      <c r="R426" s="267"/>
      <c r="S426" s="267"/>
      <c r="T426" s="267"/>
      <c r="U426" s="267"/>
      <c r="V426" s="267"/>
      <c r="W426" s="267"/>
      <c r="X426" s="267"/>
      <c r="Y426" s="267"/>
      <c r="Z426" s="267"/>
      <c r="AA426" s="267"/>
      <c r="AB426" s="260"/>
      <c r="AC426" s="260"/>
      <c r="AE426" s="354"/>
    </row>
    <row r="427" spans="2:32">
      <c r="B427" s="275" t="s">
        <v>217</v>
      </c>
      <c r="E427" s="102">
        <v>109322.486187845</v>
      </c>
      <c r="G427" s="102">
        <f>ROUND(E427*$G$438/$E$438,0)</f>
        <v>112356</v>
      </c>
      <c r="I427" s="99">
        <v>1.83</v>
      </c>
      <c r="J427" s="276"/>
      <c r="K427" s="267">
        <f>ROUND(E427*$I427,0)</f>
        <v>200060</v>
      </c>
      <c r="L427" s="267"/>
      <c r="M427" s="267">
        <f>ROUND(G427*$I427,0)</f>
        <v>205611</v>
      </c>
      <c r="O427" s="99">
        <f>ROUND(I427*(1+$AD$431),2)</f>
        <v>1.83</v>
      </c>
      <c r="P427" s="276"/>
      <c r="Q427" s="267">
        <f>ROUND(G427*O427,0)</f>
        <v>205611</v>
      </c>
      <c r="R427" s="267"/>
      <c r="S427" s="267"/>
      <c r="T427" s="267"/>
      <c r="U427" s="267"/>
      <c r="V427" s="267"/>
      <c r="W427" s="267"/>
      <c r="X427" s="267"/>
      <c r="Y427" s="267"/>
      <c r="Z427" s="267"/>
      <c r="AA427" s="267"/>
      <c r="AB427" s="260"/>
      <c r="AC427" s="277" t="s">
        <v>308</v>
      </c>
      <c r="AD427" s="278">
        <f>Q516</f>
        <v>4058813</v>
      </c>
      <c r="AE427" s="354"/>
      <c r="AF427" s="279">
        <f t="shared" ref="AF427:AF431" si="113">O427/I427-1</f>
        <v>0</v>
      </c>
    </row>
    <row r="428" spans="2:32">
      <c r="B428" s="275" t="s">
        <v>218</v>
      </c>
      <c r="E428" s="102">
        <v>138151.987854251</v>
      </c>
      <c r="G428" s="102">
        <f>ROUND(E428*$G$438/$E$438,0)</f>
        <v>141986</v>
      </c>
      <c r="I428" s="99">
        <v>2.5</v>
      </c>
      <c r="J428" s="276"/>
      <c r="K428" s="267">
        <f>ROUND(E428*$I428,0)</f>
        <v>345380</v>
      </c>
      <c r="L428" s="267"/>
      <c r="M428" s="267">
        <f>ROUND(G428*$I428,0)</f>
        <v>354965</v>
      </c>
      <c r="O428" s="99">
        <f>ROUND(I428*(1+$AD$431),2)</f>
        <v>2.5</v>
      </c>
      <c r="P428" s="276"/>
      <c r="Q428" s="267">
        <f>ROUND(G428*O428,0)</f>
        <v>354965</v>
      </c>
      <c r="R428" s="267"/>
      <c r="S428" s="267"/>
      <c r="T428" s="267"/>
      <c r="U428" s="267"/>
      <c r="V428" s="267"/>
      <c r="W428" s="267"/>
      <c r="X428" s="267"/>
      <c r="Y428" s="267"/>
      <c r="Z428" s="267"/>
      <c r="AA428" s="267"/>
      <c r="AB428" s="260"/>
      <c r="AC428" s="281" t="s">
        <v>310</v>
      </c>
      <c r="AD428" s="282">
        <f>RateSpread!M43*1000</f>
        <v>4058813</v>
      </c>
      <c r="AE428" s="354"/>
      <c r="AF428" s="279">
        <f t="shared" si="113"/>
        <v>0</v>
      </c>
    </row>
    <row r="429" spans="2:32">
      <c r="B429" s="275" t="s">
        <v>219</v>
      </c>
      <c r="E429" s="102">
        <v>123320.04972375699</v>
      </c>
      <c r="G429" s="102">
        <f>ROUND(E429*$G$438/$E$438,0)</f>
        <v>126742</v>
      </c>
      <c r="I429" s="99">
        <v>3.66</v>
      </c>
      <c r="J429" s="276"/>
      <c r="K429" s="267">
        <f>ROUND(E429*$I429,0)</f>
        <v>451351</v>
      </c>
      <c r="L429" s="267"/>
      <c r="M429" s="267">
        <f>ROUND(G429*$I429,0)</f>
        <v>463876</v>
      </c>
      <c r="O429" s="99">
        <f>ROUND(I429*(1+$AD$431),2)</f>
        <v>3.66</v>
      </c>
      <c r="P429" s="276"/>
      <c r="Q429" s="267">
        <f>ROUND(G429*O429,0)</f>
        <v>463876</v>
      </c>
      <c r="R429" s="267"/>
      <c r="S429" s="267"/>
      <c r="T429" s="267"/>
      <c r="U429" s="267"/>
      <c r="V429" s="267"/>
      <c r="W429" s="267"/>
      <c r="X429" s="267"/>
      <c r="Y429" s="267"/>
      <c r="Z429" s="267"/>
      <c r="AA429" s="267"/>
      <c r="AB429" s="260"/>
      <c r="AC429" s="283" t="s">
        <v>312</v>
      </c>
      <c r="AD429" s="284">
        <f>AD428-AD427</f>
        <v>0</v>
      </c>
      <c r="AE429" s="354"/>
      <c r="AF429" s="279">
        <f t="shared" si="113"/>
        <v>0</v>
      </c>
    </row>
    <row r="430" spans="2:32">
      <c r="B430" s="275" t="s">
        <v>220</v>
      </c>
      <c r="E430" s="102">
        <v>52775.381395348799</v>
      </c>
      <c r="G430" s="102">
        <f>ROUND(E430*$G$438/$E$438,0)</f>
        <v>54240</v>
      </c>
      <c r="I430" s="99">
        <v>6.52</v>
      </c>
      <c r="J430" s="276"/>
      <c r="K430" s="267">
        <f>ROUND(E430*$I430,0)</f>
        <v>344095</v>
      </c>
      <c r="L430" s="267"/>
      <c r="M430" s="267">
        <f>ROUND(G430*$I430,0)</f>
        <v>353645</v>
      </c>
      <c r="O430" s="99">
        <f>ROUND(I430*(1+$AD$431),2)</f>
        <v>6.52</v>
      </c>
      <c r="P430" s="276"/>
      <c r="Q430" s="267">
        <f>ROUND(G430*O430,0)</f>
        <v>353645</v>
      </c>
      <c r="R430" s="267"/>
      <c r="S430" s="267"/>
      <c r="T430" s="267"/>
      <c r="U430" s="267"/>
      <c r="V430" s="267"/>
      <c r="W430" s="267"/>
      <c r="X430" s="267"/>
      <c r="Y430" s="267"/>
      <c r="Z430" s="267"/>
      <c r="AA430" s="267"/>
      <c r="AB430" s="260"/>
      <c r="AC430" s="287" t="s">
        <v>315</v>
      </c>
      <c r="AD430" s="323">
        <f>AD427/M516-1</f>
        <v>0</v>
      </c>
      <c r="AE430" s="354"/>
      <c r="AF430" s="279">
        <f t="shared" si="113"/>
        <v>0</v>
      </c>
    </row>
    <row r="431" spans="2:32">
      <c r="B431" s="275" t="s">
        <v>221</v>
      </c>
      <c r="E431" s="102">
        <v>72382.296370967699</v>
      </c>
      <c r="G431" s="102">
        <f>ROUND(E431*$G$438/$E$438,0)</f>
        <v>74391</v>
      </c>
      <c r="I431" s="99">
        <v>10.02</v>
      </c>
      <c r="J431" s="276"/>
      <c r="K431" s="267">
        <f>ROUND(E431*$I431,0)</f>
        <v>725271</v>
      </c>
      <c r="L431" s="267"/>
      <c r="M431" s="267">
        <f>ROUND(G431*$I431,0)</f>
        <v>745398</v>
      </c>
      <c r="O431" s="99">
        <f>ROUND(I431*(1+$AD$431),2)</f>
        <v>10.02</v>
      </c>
      <c r="P431" s="276"/>
      <c r="Q431" s="267">
        <f>ROUND(G431*O431,0)</f>
        <v>745398</v>
      </c>
      <c r="R431" s="267"/>
      <c r="S431" s="267"/>
      <c r="T431" s="267"/>
      <c r="U431" s="267"/>
      <c r="V431" s="267"/>
      <c r="W431" s="267"/>
      <c r="X431" s="267"/>
      <c r="Y431" s="267"/>
      <c r="Z431" s="267"/>
      <c r="AA431" s="267"/>
      <c r="AB431" s="260"/>
      <c r="AC431" s="305" t="s">
        <v>317</v>
      </c>
      <c r="AD431" s="326">
        <f>AD428/M516-1</f>
        <v>0</v>
      </c>
      <c r="AE431" s="354"/>
      <c r="AF431" s="279">
        <f t="shared" si="113"/>
        <v>0</v>
      </c>
    </row>
    <row r="432" spans="2:32">
      <c r="B432" s="333" t="s">
        <v>222</v>
      </c>
      <c r="E432" s="102"/>
      <c r="G432" s="102"/>
      <c r="I432" s="300"/>
      <c r="J432" s="299"/>
      <c r="K432" s="267"/>
      <c r="M432" s="267"/>
      <c r="O432" s="300"/>
      <c r="P432" s="299"/>
      <c r="Q432" s="267"/>
      <c r="R432" s="267"/>
      <c r="S432" s="267"/>
      <c r="T432" s="267"/>
      <c r="U432" s="267"/>
      <c r="V432" s="267"/>
      <c r="W432" s="267"/>
      <c r="X432" s="267"/>
      <c r="Y432" s="267"/>
      <c r="Z432" s="267"/>
      <c r="AA432" s="267"/>
      <c r="AB432" s="260"/>
      <c r="AC432" s="273" t="s">
        <v>336</v>
      </c>
      <c r="AD432" s="361">
        <f>(Q516)/(M516)-1</f>
        <v>0</v>
      </c>
      <c r="AE432" s="354"/>
    </row>
    <row r="433" spans="2:32">
      <c r="B433" s="275" t="s">
        <v>223</v>
      </c>
      <c r="E433" s="102">
        <v>6310.9722222222199</v>
      </c>
      <c r="G433" s="102">
        <f>ROUND(E433*$G$438/$E$438,0)</f>
        <v>6486</v>
      </c>
      <c r="I433" s="99">
        <v>2.5499999999999998</v>
      </c>
      <c r="J433" s="276"/>
      <c r="K433" s="267">
        <f>ROUND(E433*$I433,0)</f>
        <v>16093</v>
      </c>
      <c r="L433" s="267"/>
      <c r="M433" s="267">
        <f>ROUND(G433*$I433,0)</f>
        <v>16539</v>
      </c>
      <c r="O433" s="99">
        <f>ROUND(I433*(1+$AD$431),2)</f>
        <v>2.5499999999999998</v>
      </c>
      <c r="P433" s="276"/>
      <c r="Q433" s="267">
        <f>ROUND(G433*O433,0)</f>
        <v>16539</v>
      </c>
      <c r="R433" s="267"/>
      <c r="S433" s="267"/>
      <c r="T433" s="267"/>
      <c r="U433" s="267"/>
      <c r="V433" s="267"/>
      <c r="W433" s="267"/>
      <c r="X433" s="267"/>
      <c r="Y433" s="267"/>
      <c r="Z433" s="267"/>
      <c r="AA433" s="267"/>
      <c r="AB433" s="260"/>
      <c r="AC433" s="354"/>
      <c r="AD433" s="354"/>
      <c r="AE433" s="354"/>
      <c r="AF433" s="279">
        <f t="shared" ref="AF433:AF437" si="114">O433/I433-1</f>
        <v>0</v>
      </c>
    </row>
    <row r="434" spans="2:32">
      <c r="B434" s="275" t="s">
        <v>224</v>
      </c>
      <c r="E434" s="102">
        <v>17582.718820861701</v>
      </c>
      <c r="G434" s="102">
        <f>ROUND(E434*$G$438/$E$438,0)</f>
        <v>18071</v>
      </c>
      <c r="I434" s="99">
        <v>4.46</v>
      </c>
      <c r="J434" s="276"/>
      <c r="K434" s="267">
        <f>ROUND(E434*$I434,0)</f>
        <v>78419</v>
      </c>
      <c r="L434" s="267"/>
      <c r="M434" s="267">
        <f>ROUND(G434*$I434,0)</f>
        <v>80597</v>
      </c>
      <c r="O434" s="99">
        <f>ROUND(I434*(1+$AD$431),2)</f>
        <v>4.46</v>
      </c>
      <c r="P434" s="276"/>
      <c r="Q434" s="267">
        <f>ROUND(G434*O434,0)</f>
        <v>80597</v>
      </c>
      <c r="R434" s="267"/>
      <c r="S434" s="267"/>
      <c r="T434" s="267"/>
      <c r="U434" s="267"/>
      <c r="V434" s="267"/>
      <c r="W434" s="267"/>
      <c r="X434" s="267"/>
      <c r="Y434" s="267"/>
      <c r="Z434" s="267"/>
      <c r="AA434" s="267"/>
      <c r="AB434" s="260"/>
      <c r="AC434" s="354"/>
      <c r="AD434" s="354"/>
      <c r="AE434" s="354"/>
      <c r="AF434" s="279">
        <f t="shared" si="114"/>
        <v>0</v>
      </c>
    </row>
    <row r="435" spans="2:32">
      <c r="B435" s="275" t="s">
        <v>225</v>
      </c>
      <c r="E435" s="102">
        <v>28592.381342062199</v>
      </c>
      <c r="G435" s="102">
        <f>ROUND(E435*$G$438/$E$438,0)</f>
        <v>29386</v>
      </c>
      <c r="I435" s="99">
        <v>6.17</v>
      </c>
      <c r="J435" s="276"/>
      <c r="K435" s="267">
        <f>ROUND(E435*$I435,0)</f>
        <v>176415</v>
      </c>
      <c r="L435" s="267"/>
      <c r="M435" s="267">
        <f>ROUND(G435*$I435,0)</f>
        <v>181312</v>
      </c>
      <c r="O435" s="99">
        <f>ROUND(I435*(1+$AD$431),2)</f>
        <v>6.17</v>
      </c>
      <c r="P435" s="276"/>
      <c r="Q435" s="267">
        <f>ROUND(G435*O435,0)</f>
        <v>181312</v>
      </c>
      <c r="R435" s="267"/>
      <c r="S435" s="267"/>
      <c r="T435" s="267"/>
      <c r="U435" s="267"/>
      <c r="V435" s="267"/>
      <c r="W435" s="267"/>
      <c r="X435" s="267"/>
      <c r="Y435" s="267"/>
      <c r="Z435" s="267"/>
      <c r="AA435" s="267"/>
      <c r="AB435" s="260"/>
      <c r="AC435" s="354"/>
      <c r="AD435" s="354"/>
      <c r="AE435" s="354"/>
      <c r="AF435" s="279">
        <f t="shared" si="114"/>
        <v>0</v>
      </c>
    </row>
    <row r="436" spans="2:32">
      <c r="B436" s="275" t="s">
        <v>226</v>
      </c>
      <c r="E436" s="102">
        <v>27991.885211995901</v>
      </c>
      <c r="G436" s="102">
        <f>ROUND(E436*$G$438/$E$438,0)</f>
        <v>28769</v>
      </c>
      <c r="I436" s="276">
        <v>9.77</v>
      </c>
      <c r="J436" s="276"/>
      <c r="K436" s="267">
        <f>ROUND(E436*$I436,0)</f>
        <v>273481</v>
      </c>
      <c r="L436" s="267"/>
      <c r="M436" s="267">
        <f>ROUND(G436*$I436,0)</f>
        <v>281073</v>
      </c>
      <c r="O436" s="276">
        <f>ROUND(I436*(1+$AD$431),2)</f>
        <v>9.77</v>
      </c>
      <c r="P436" s="276"/>
      <c r="Q436" s="267">
        <f>ROUND(G436*O436,0)</f>
        <v>281073</v>
      </c>
      <c r="R436" s="267"/>
      <c r="S436" s="267"/>
      <c r="T436" s="267"/>
      <c r="U436" s="267"/>
      <c r="V436" s="267"/>
      <c r="W436" s="267"/>
      <c r="X436" s="267"/>
      <c r="Y436" s="267"/>
      <c r="Z436" s="267"/>
      <c r="AA436" s="267"/>
      <c r="AB436" s="260"/>
      <c r="AC436" s="354"/>
      <c r="AD436" s="354"/>
      <c r="AE436" s="354"/>
      <c r="AF436" s="279">
        <f t="shared" si="114"/>
        <v>0</v>
      </c>
    </row>
    <row r="437" spans="2:32">
      <c r="B437" s="333" t="s">
        <v>227</v>
      </c>
      <c r="E437" s="102">
        <v>7816106.6217774907</v>
      </c>
      <c r="G437" s="102">
        <f>ROUND(E437*$G$438/$E$438,0)</f>
        <v>8033000</v>
      </c>
      <c r="I437" s="362">
        <v>6.5278999999999998</v>
      </c>
      <c r="J437" s="286" t="s">
        <v>314</v>
      </c>
      <c r="K437" s="267">
        <f>ROUND(E437*$I437/100,0)</f>
        <v>510228</v>
      </c>
      <c r="L437" s="267"/>
      <c r="M437" s="267">
        <f>ROUND(G437*$I437/100,0)</f>
        <v>524386</v>
      </c>
      <c r="O437" s="362">
        <f>ROUND(I437*(1+$AD$431),4)</f>
        <v>6.5278999999999998</v>
      </c>
      <c r="P437" s="286" t="s">
        <v>314</v>
      </c>
      <c r="Q437" s="267">
        <f>ROUND(G437*O437/100,0)</f>
        <v>524386</v>
      </c>
      <c r="R437" s="267"/>
      <c r="S437" s="267"/>
      <c r="T437" s="267"/>
      <c r="U437" s="267"/>
      <c r="V437" s="267"/>
      <c r="W437" s="267"/>
      <c r="X437" s="267"/>
      <c r="Y437" s="267"/>
      <c r="Z437" s="267"/>
      <c r="AA437" s="267"/>
      <c r="AB437" s="260"/>
      <c r="AC437" s="354"/>
      <c r="AD437" s="354"/>
      <c r="AE437" s="354"/>
      <c r="AF437" s="279">
        <f t="shared" si="114"/>
        <v>0</v>
      </c>
    </row>
    <row r="438" spans="2:32">
      <c r="B438" s="333" t="s">
        <v>228</v>
      </c>
      <c r="E438" s="280">
        <v>47497213.507768616</v>
      </c>
      <c r="G438" s="280">
        <f>G440</f>
        <v>48815242</v>
      </c>
      <c r="I438" s="362"/>
      <c r="J438" s="286"/>
      <c r="K438" s="301">
        <f>SUM(K427:K437)</f>
        <v>3120793</v>
      </c>
      <c r="M438" s="301">
        <f>SUM(M427:M437)</f>
        <v>3207402</v>
      </c>
      <c r="O438" s="362"/>
      <c r="P438" s="276"/>
      <c r="Q438" s="301">
        <f>SUM(Q427:Q437)</f>
        <v>3207402</v>
      </c>
      <c r="R438" s="301"/>
      <c r="S438" s="301"/>
      <c r="T438" s="301"/>
      <c r="U438" s="301"/>
      <c r="V438" s="301"/>
      <c r="W438" s="301"/>
      <c r="X438" s="301"/>
      <c r="Y438" s="301"/>
      <c r="Z438" s="301"/>
      <c r="AA438" s="301"/>
      <c r="AB438" s="260"/>
      <c r="AC438" s="354"/>
      <c r="AD438" s="354"/>
      <c r="AE438" s="354"/>
    </row>
    <row r="439" spans="2:32">
      <c r="B439" s="333" t="s">
        <v>264</v>
      </c>
      <c r="E439" s="280">
        <v>795333</v>
      </c>
      <c r="G439" s="280"/>
      <c r="I439" s="362"/>
      <c r="J439" s="286"/>
      <c r="K439" s="301">
        <v>44594</v>
      </c>
      <c r="M439" s="301"/>
      <c r="O439" s="362"/>
      <c r="P439" s="276"/>
      <c r="Q439" s="301"/>
      <c r="R439" s="301"/>
      <c r="S439" s="301"/>
      <c r="T439" s="301"/>
      <c r="U439" s="301"/>
      <c r="V439" s="301"/>
      <c r="W439" s="301"/>
      <c r="X439" s="301"/>
      <c r="Y439" s="301"/>
      <c r="Z439" s="301"/>
      <c r="AA439" s="301"/>
      <c r="AB439" s="260"/>
      <c r="AC439" s="354"/>
      <c r="AD439" s="354"/>
      <c r="AE439" s="354"/>
    </row>
    <row r="440" spans="2:32">
      <c r="B440" s="333" t="s">
        <v>213</v>
      </c>
      <c r="E440" s="280">
        <f>SUM(E438:E439)</f>
        <v>48292546.507768616</v>
      </c>
      <c r="G440" s="280">
        <v>48815242</v>
      </c>
      <c r="I440" s="362"/>
      <c r="J440" s="286"/>
      <c r="K440" s="301">
        <f>SUM(K438:K439)</f>
        <v>3165387</v>
      </c>
      <c r="M440" s="301">
        <f>SUM(M438:M439)</f>
        <v>3207402</v>
      </c>
      <c r="O440" s="362"/>
      <c r="P440" s="276"/>
      <c r="Q440" s="301">
        <f>SUM(Q438:Q439)</f>
        <v>3207402</v>
      </c>
      <c r="R440" s="301"/>
      <c r="S440" s="301"/>
      <c r="T440" s="301"/>
      <c r="U440" s="301"/>
      <c r="V440" s="301"/>
      <c r="W440" s="301"/>
      <c r="X440" s="301"/>
      <c r="Y440" s="301"/>
      <c r="Z440" s="301"/>
      <c r="AA440" s="301"/>
      <c r="AB440" s="260"/>
      <c r="AC440" s="354"/>
      <c r="AD440" s="354"/>
      <c r="AE440" s="354"/>
    </row>
    <row r="441" spans="2:32">
      <c r="B441" s="333" t="s">
        <v>229</v>
      </c>
      <c r="E441" s="280">
        <v>440.83333333333297</v>
      </c>
      <c r="G441" s="280">
        <v>444.75</v>
      </c>
      <c r="I441" s="362"/>
      <c r="J441" s="286"/>
      <c r="K441" s="301"/>
      <c r="M441" s="301"/>
      <c r="O441" s="362"/>
      <c r="P441" s="276"/>
      <c r="Q441" s="301"/>
      <c r="R441" s="301"/>
      <c r="S441" s="301"/>
      <c r="T441" s="301"/>
      <c r="U441" s="301"/>
      <c r="V441" s="301"/>
      <c r="W441" s="301"/>
      <c r="X441" s="301"/>
      <c r="Y441" s="301"/>
      <c r="Z441" s="301"/>
      <c r="AA441" s="301"/>
      <c r="AB441" s="260"/>
      <c r="AC441" s="354"/>
      <c r="AD441" s="354"/>
      <c r="AE441" s="354"/>
    </row>
    <row r="442" spans="2:32">
      <c r="B442" s="363" t="s">
        <v>230</v>
      </c>
      <c r="E442" s="102"/>
      <c r="G442" s="102"/>
      <c r="AB442" s="260"/>
      <c r="AC442" s="354"/>
      <c r="AD442" s="354"/>
      <c r="AE442" s="354"/>
    </row>
    <row r="443" spans="2:32">
      <c r="B443" s="333" t="s">
        <v>231</v>
      </c>
      <c r="E443" s="102"/>
      <c r="G443" s="102"/>
      <c r="K443" s="267"/>
      <c r="M443" s="267"/>
      <c r="Q443" s="267"/>
      <c r="R443" s="267"/>
      <c r="S443" s="267"/>
      <c r="T443" s="267"/>
      <c r="U443" s="267"/>
      <c r="V443" s="267"/>
      <c r="W443" s="267"/>
      <c r="X443" s="267"/>
      <c r="Y443" s="267"/>
      <c r="Z443" s="267"/>
      <c r="AA443" s="267"/>
      <c r="AB443" s="260"/>
      <c r="AC443" s="354"/>
      <c r="AD443" s="354"/>
      <c r="AE443" s="354"/>
    </row>
    <row r="444" spans="2:32">
      <c r="B444" s="275" t="s">
        <v>104</v>
      </c>
      <c r="E444" s="102">
        <v>96</v>
      </c>
      <c r="G444" s="102">
        <f>ROUND(E444*$G$481/$E$481,0)</f>
        <v>78</v>
      </c>
      <c r="I444" s="99">
        <v>8.9600000000000009</v>
      </c>
      <c r="J444" s="276"/>
      <c r="K444" s="267">
        <f>ROUND(E444*$I444,0)</f>
        <v>860</v>
      </c>
      <c r="M444" s="267">
        <f>ROUND(G444*$I444,0)</f>
        <v>699</v>
      </c>
      <c r="O444" s="99">
        <f>ROUND(I444*(1+$AD$431),2)</f>
        <v>8.9600000000000009</v>
      </c>
      <c r="P444" s="276"/>
      <c r="Q444" s="267">
        <f>ROUND(G444*O444,0)</f>
        <v>699</v>
      </c>
      <c r="R444" s="267"/>
      <c r="S444" s="267"/>
      <c r="T444" s="267"/>
      <c r="U444" s="267"/>
      <c r="V444" s="267"/>
      <c r="W444" s="267"/>
      <c r="X444" s="267"/>
      <c r="Y444" s="267"/>
      <c r="Z444" s="267"/>
      <c r="AA444" s="267"/>
      <c r="AB444" s="260"/>
      <c r="AC444" s="354"/>
      <c r="AD444" s="354"/>
      <c r="AE444" s="354"/>
      <c r="AF444" s="279">
        <f t="shared" ref="AF444:AF446" si="115">O444/I444-1</f>
        <v>0</v>
      </c>
    </row>
    <row r="445" spans="2:32">
      <c r="B445" s="275" t="s">
        <v>105</v>
      </c>
      <c r="E445" s="102">
        <v>0</v>
      </c>
      <c r="G445" s="102">
        <f>ROUND(E445*$G$481/$E$481,0)</f>
        <v>0</v>
      </c>
      <c r="I445" s="99">
        <v>7.62</v>
      </c>
      <c r="J445" s="276"/>
      <c r="K445" s="267">
        <f>ROUND(E445*$I445,0)</f>
        <v>0</v>
      </c>
      <c r="M445" s="267">
        <f>ROUND(G445*$I445,0)</f>
        <v>0</v>
      </c>
      <c r="O445" s="99">
        <f>ROUND(I445*(1+$AD$431),2)</f>
        <v>7.62</v>
      </c>
      <c r="P445" s="276"/>
      <c r="Q445" s="267">
        <f>ROUND(G445*O445,0)</f>
        <v>0</v>
      </c>
      <c r="R445" s="267"/>
      <c r="S445" s="267"/>
      <c r="T445" s="267"/>
      <c r="U445" s="267"/>
      <c r="V445" s="267"/>
      <c r="W445" s="267"/>
      <c r="X445" s="267"/>
      <c r="Y445" s="267"/>
      <c r="Z445" s="267"/>
      <c r="AA445" s="267"/>
      <c r="AB445" s="260"/>
      <c r="AC445" s="354"/>
      <c r="AD445" s="354"/>
      <c r="AE445" s="354"/>
      <c r="AF445" s="279">
        <f t="shared" si="115"/>
        <v>0</v>
      </c>
    </row>
    <row r="446" spans="2:32">
      <c r="B446" s="275" t="s">
        <v>200</v>
      </c>
      <c r="E446" s="102">
        <v>43.5</v>
      </c>
      <c r="G446" s="102">
        <f>ROUND(E446*$G$481/$E$481,0)</f>
        <v>35</v>
      </c>
      <c r="I446" s="99">
        <v>12.19</v>
      </c>
      <c r="J446" s="276"/>
      <c r="K446" s="267">
        <f>ROUND(E446*$I446,0)</f>
        <v>530</v>
      </c>
      <c r="M446" s="267">
        <f>ROUND(G446*$I446,0)</f>
        <v>427</v>
      </c>
      <c r="O446" s="99">
        <f>ROUND(I446*(1+$AD$431),2)</f>
        <v>12.19</v>
      </c>
      <c r="P446" s="276"/>
      <c r="Q446" s="267">
        <f>ROUND(G446*O446,0)</f>
        <v>427</v>
      </c>
      <c r="R446" s="267"/>
      <c r="S446" s="267"/>
      <c r="T446" s="267"/>
      <c r="U446" s="267"/>
      <c r="V446" s="267"/>
      <c r="W446" s="267"/>
      <c r="X446" s="267"/>
      <c r="Y446" s="267"/>
      <c r="Z446" s="267"/>
      <c r="AA446" s="267"/>
      <c r="AB446" s="260"/>
      <c r="AC446" s="354"/>
      <c r="AD446" s="354"/>
      <c r="AE446" s="354"/>
      <c r="AF446" s="279">
        <f t="shared" si="115"/>
        <v>0</v>
      </c>
    </row>
    <row r="447" spans="2:32">
      <c r="B447" s="333" t="s">
        <v>106</v>
      </c>
      <c r="E447" s="102"/>
      <c r="G447" s="102"/>
      <c r="I447" s="99"/>
      <c r="J447" s="276"/>
      <c r="O447" s="99"/>
      <c r="P447" s="276"/>
      <c r="AB447" s="260"/>
      <c r="AC447" s="354"/>
      <c r="AD447" s="354"/>
      <c r="AE447" s="354"/>
    </row>
    <row r="448" spans="2:32">
      <c r="B448" s="275" t="s">
        <v>200</v>
      </c>
      <c r="E448" s="102">
        <v>59.435729847494599</v>
      </c>
      <c r="G448" s="102">
        <f>ROUND(E448*$G$481/$E$481,0)</f>
        <v>48</v>
      </c>
      <c r="I448" s="99">
        <v>4.6399999999999997</v>
      </c>
      <c r="J448" s="276"/>
      <c r="K448" s="267">
        <f>ROUND(E448*$I448,0)</f>
        <v>276</v>
      </c>
      <c r="M448" s="267">
        <f>ROUND(G448*$I448,0)</f>
        <v>223</v>
      </c>
      <c r="O448" s="99">
        <f>ROUND(I448*(1+$AD$431),2)</f>
        <v>4.6399999999999997</v>
      </c>
      <c r="P448" s="276"/>
      <c r="Q448" s="267">
        <f>ROUND(G448*O448,0)</f>
        <v>223</v>
      </c>
      <c r="R448" s="267"/>
      <c r="S448" s="267"/>
      <c r="T448" s="267"/>
      <c r="U448" s="267"/>
      <c r="V448" s="267"/>
      <c r="W448" s="267"/>
      <c r="X448" s="267"/>
      <c r="Y448" s="267"/>
      <c r="Z448" s="267"/>
      <c r="AA448" s="267"/>
      <c r="AB448" s="260"/>
      <c r="AC448" s="354"/>
      <c r="AD448" s="354"/>
      <c r="AE448" s="354"/>
      <c r="AF448" s="279">
        <f t="shared" ref="AF448:AF452" si="116">O448/I448-1</f>
        <v>0</v>
      </c>
    </row>
    <row r="449" spans="2:32">
      <c r="B449" s="275" t="s">
        <v>237</v>
      </c>
      <c r="E449" s="102">
        <v>691.25252525252495</v>
      </c>
      <c r="G449" s="280">
        <f>ROUND(E449*$G$481/$E$481,0)</f>
        <v>563</v>
      </c>
      <c r="I449" s="99">
        <v>7</v>
      </c>
      <c r="K449" s="267">
        <f>ROUND(E449*$I449,0)</f>
        <v>4839</v>
      </c>
      <c r="L449" s="286"/>
      <c r="M449" s="267">
        <f>ROUND(G449*$I449,0)</f>
        <v>3941</v>
      </c>
      <c r="O449" s="299">
        <f>ROUND(I449*(1+$AD$431),2)</f>
        <v>7</v>
      </c>
      <c r="Q449" s="267">
        <f>ROUND(G449*O449,0)</f>
        <v>3941</v>
      </c>
      <c r="R449" s="267"/>
      <c r="S449" s="267"/>
      <c r="T449" s="267"/>
      <c r="U449" s="267"/>
      <c r="V449" s="267"/>
      <c r="W449" s="267"/>
      <c r="X449" s="267"/>
      <c r="Y449" s="267"/>
      <c r="Z449" s="267"/>
      <c r="AA449" s="267"/>
      <c r="AB449" s="276"/>
      <c r="AC449" s="301"/>
      <c r="AD449" s="354"/>
      <c r="AE449" s="354"/>
      <c r="AF449" s="279">
        <f t="shared" si="116"/>
        <v>0</v>
      </c>
    </row>
    <row r="450" spans="2:32">
      <c r="B450" s="275" t="s">
        <v>201</v>
      </c>
      <c r="E450" s="102">
        <v>0</v>
      </c>
      <c r="G450" s="102">
        <f>ROUND(E450*$G$481/$E$481,0)</f>
        <v>0</v>
      </c>
      <c r="I450" s="99">
        <v>9.08</v>
      </c>
      <c r="J450" s="276"/>
      <c r="K450" s="267">
        <f>ROUND(E450*$I450,0)</f>
        <v>0</v>
      </c>
      <c r="M450" s="267">
        <f>ROUND(G450*$I450,0)</f>
        <v>0</v>
      </c>
      <c r="O450" s="99">
        <f>ROUND(I450*(1+$AD$431),2)</f>
        <v>9.08</v>
      </c>
      <c r="P450" s="276"/>
      <c r="Q450" s="267">
        <f>ROUND(G450*O450,0)</f>
        <v>0</v>
      </c>
      <c r="R450" s="267"/>
      <c r="S450" s="267"/>
      <c r="T450" s="267"/>
      <c r="U450" s="267"/>
      <c r="V450" s="267"/>
      <c r="W450" s="267"/>
      <c r="X450" s="267"/>
      <c r="Y450" s="267"/>
      <c r="Z450" s="267"/>
      <c r="AA450" s="267"/>
      <c r="AB450" s="260"/>
      <c r="AC450" s="354"/>
      <c r="AD450" s="354"/>
      <c r="AE450" s="354"/>
      <c r="AF450" s="279">
        <f t="shared" si="116"/>
        <v>0</v>
      </c>
    </row>
    <row r="451" spans="2:32">
      <c r="B451" s="275" t="s">
        <v>239</v>
      </c>
      <c r="E451" s="102">
        <v>101.120545868082</v>
      </c>
      <c r="G451" s="102">
        <f>ROUND(E451*$G$481/$E$481,0)</f>
        <v>82</v>
      </c>
      <c r="I451" s="99">
        <v>13.33</v>
      </c>
      <c r="J451" s="276"/>
      <c r="K451" s="267">
        <f>ROUND(E451*$I451,0)</f>
        <v>1348</v>
      </c>
      <c r="M451" s="267">
        <f>ROUND(G451*$I451,0)</f>
        <v>1093</v>
      </c>
      <c r="O451" s="99">
        <f>ROUND(I451*(1+$AD$431),2)</f>
        <v>13.33</v>
      </c>
      <c r="P451" s="276"/>
      <c r="Q451" s="267">
        <f>ROUND(G451*O451,0)</f>
        <v>1093</v>
      </c>
      <c r="R451" s="267"/>
      <c r="S451" s="267"/>
      <c r="T451" s="267"/>
      <c r="U451" s="267"/>
      <c r="V451" s="267"/>
      <c r="W451" s="267"/>
      <c r="X451" s="267"/>
      <c r="Y451" s="267"/>
      <c r="Z451" s="267"/>
      <c r="AA451" s="267"/>
      <c r="AB451" s="260"/>
      <c r="AC451" s="354"/>
      <c r="AD451" s="354"/>
      <c r="AE451" s="354"/>
      <c r="AF451" s="279">
        <f t="shared" si="116"/>
        <v>0</v>
      </c>
    </row>
    <row r="452" spans="2:32">
      <c r="B452" s="275" t="s">
        <v>107</v>
      </c>
      <c r="E452" s="102">
        <v>0</v>
      </c>
      <c r="G452" s="102">
        <f>ROUND(E452*$G$481/$E$481,0)</f>
        <v>0</v>
      </c>
      <c r="I452" s="99">
        <v>28.38</v>
      </c>
      <c r="J452" s="276"/>
      <c r="K452" s="267">
        <f>ROUND(E452*$I452,0)</f>
        <v>0</v>
      </c>
      <c r="M452" s="267">
        <f>ROUND(G452*$I452,0)</f>
        <v>0</v>
      </c>
      <c r="O452" s="99">
        <f>ROUND(I452*(1+$AD$431),2)</f>
        <v>28.38</v>
      </c>
      <c r="P452" s="276"/>
      <c r="Q452" s="267">
        <f>ROUND(G452*O452,0)</f>
        <v>0</v>
      </c>
      <c r="R452" s="267"/>
      <c r="S452" s="267"/>
      <c r="T452" s="267"/>
      <c r="U452" s="267"/>
      <c r="V452" s="267"/>
      <c r="W452" s="267"/>
      <c r="X452" s="267"/>
      <c r="Y452" s="267"/>
      <c r="Z452" s="267"/>
      <c r="AA452" s="267"/>
      <c r="AB452" s="260"/>
      <c r="AC452" s="354"/>
      <c r="AD452" s="354"/>
      <c r="AE452" s="354"/>
      <c r="AF452" s="279">
        <f t="shared" si="116"/>
        <v>0</v>
      </c>
    </row>
    <row r="453" spans="2:32">
      <c r="B453" s="333" t="s">
        <v>108</v>
      </c>
      <c r="E453" s="102"/>
      <c r="G453" s="102"/>
      <c r="I453" s="99"/>
      <c r="J453" s="276"/>
      <c r="K453" s="267"/>
      <c r="M453" s="267"/>
      <c r="O453" s="99"/>
      <c r="P453" s="276"/>
      <c r="Q453" s="267"/>
      <c r="R453" s="267"/>
      <c r="S453" s="267"/>
      <c r="T453" s="267"/>
      <c r="U453" s="267"/>
      <c r="V453" s="267"/>
      <c r="W453" s="267"/>
      <c r="X453" s="267"/>
      <c r="Y453" s="267"/>
      <c r="Z453" s="267"/>
      <c r="AA453" s="267"/>
      <c r="AB453" s="260"/>
      <c r="AC453" s="354"/>
      <c r="AD453" s="354"/>
      <c r="AE453" s="354"/>
    </row>
    <row r="454" spans="2:32">
      <c r="B454" s="275" t="s">
        <v>217</v>
      </c>
      <c r="E454" s="102">
        <v>36339.259900990102</v>
      </c>
      <c r="G454" s="102">
        <f t="shared" ref="G454:G468" si="117">ROUND(E454*$G$481/$E$481,0)</f>
        <v>29589</v>
      </c>
      <c r="I454" s="99">
        <v>4.08</v>
      </c>
      <c r="J454" s="276"/>
      <c r="K454" s="267">
        <f t="shared" ref="K454:K468" si="118">ROUND(E454*$I454,0)</f>
        <v>148264</v>
      </c>
      <c r="M454" s="267">
        <f t="shared" ref="M454:M468" si="119">ROUND(G454*$I454,0)</f>
        <v>120723</v>
      </c>
      <c r="O454" s="99">
        <f t="shared" ref="O454:O468" si="120">ROUND(I454*(1+$AD$431),2)</f>
        <v>4.08</v>
      </c>
      <c r="P454" s="276"/>
      <c r="Q454" s="267">
        <f t="shared" ref="Q454:Q468" si="121">ROUND(G454*O454,0)</f>
        <v>120723</v>
      </c>
      <c r="R454" s="267"/>
      <c r="S454" s="267"/>
      <c r="T454" s="267"/>
      <c r="U454" s="267"/>
      <c r="V454" s="267"/>
      <c r="W454" s="267"/>
      <c r="X454" s="267"/>
      <c r="Y454" s="267"/>
      <c r="Z454" s="267"/>
      <c r="AA454" s="267"/>
      <c r="AB454" s="260"/>
      <c r="AC454" s="354"/>
      <c r="AD454" s="354"/>
      <c r="AE454" s="354"/>
      <c r="AF454" s="279">
        <f t="shared" ref="AF454:AF468" si="122">O454/I454-1</f>
        <v>0</v>
      </c>
    </row>
    <row r="455" spans="2:32">
      <c r="B455" s="275" t="s">
        <v>218</v>
      </c>
      <c r="E455" s="102">
        <v>15143.6930320151</v>
      </c>
      <c r="G455" s="102">
        <f t="shared" si="117"/>
        <v>12331</v>
      </c>
      <c r="I455" s="99">
        <v>5.37</v>
      </c>
      <c r="J455" s="276"/>
      <c r="K455" s="267">
        <f t="shared" si="118"/>
        <v>81322</v>
      </c>
      <c r="M455" s="267">
        <f t="shared" si="119"/>
        <v>66217</v>
      </c>
      <c r="O455" s="99">
        <f t="shared" si="120"/>
        <v>5.37</v>
      </c>
      <c r="P455" s="276"/>
      <c r="Q455" s="267">
        <f t="shared" si="121"/>
        <v>66217</v>
      </c>
      <c r="R455" s="267"/>
      <c r="S455" s="267"/>
      <c r="T455" s="267"/>
      <c r="U455" s="267"/>
      <c r="V455" s="267"/>
      <c r="W455" s="267"/>
      <c r="X455" s="267"/>
      <c r="Y455" s="267"/>
      <c r="Z455" s="267"/>
      <c r="AA455" s="267"/>
      <c r="AB455" s="260"/>
      <c r="AC455" s="354"/>
      <c r="AD455" s="354"/>
      <c r="AE455" s="354"/>
      <c r="AF455" s="279">
        <f t="shared" si="122"/>
        <v>0</v>
      </c>
    </row>
    <row r="456" spans="2:32">
      <c r="B456" s="275" t="s">
        <v>109</v>
      </c>
      <c r="E456" s="102">
        <v>12</v>
      </c>
      <c r="G456" s="102">
        <f t="shared" si="117"/>
        <v>10</v>
      </c>
      <c r="I456" s="99">
        <v>4.5599999999999996</v>
      </c>
      <c r="J456" s="276"/>
      <c r="K456" s="267">
        <f t="shared" si="118"/>
        <v>55</v>
      </c>
      <c r="M456" s="267">
        <f t="shared" si="119"/>
        <v>46</v>
      </c>
      <c r="O456" s="99">
        <f t="shared" si="120"/>
        <v>4.5599999999999996</v>
      </c>
      <c r="P456" s="276"/>
      <c r="Q456" s="267">
        <f t="shared" si="121"/>
        <v>46</v>
      </c>
      <c r="R456" s="267"/>
      <c r="S456" s="267"/>
      <c r="T456" s="267"/>
      <c r="U456" s="267"/>
      <c r="V456" s="267"/>
      <c r="W456" s="267"/>
      <c r="X456" s="267"/>
      <c r="Y456" s="267"/>
      <c r="Z456" s="267"/>
      <c r="AA456" s="267"/>
      <c r="AB456" s="260"/>
      <c r="AC456" s="354"/>
      <c r="AD456" s="354"/>
      <c r="AE456" s="354"/>
      <c r="AF456" s="279">
        <f t="shared" si="122"/>
        <v>0</v>
      </c>
    </row>
    <row r="457" spans="2:32">
      <c r="B457" s="275" t="s">
        <v>110</v>
      </c>
      <c r="E457" s="102">
        <v>8911.4862119013105</v>
      </c>
      <c r="G457" s="102">
        <f t="shared" si="117"/>
        <v>7256</v>
      </c>
      <c r="I457" s="99">
        <v>6.96</v>
      </c>
      <c r="J457" s="276"/>
      <c r="K457" s="267">
        <f t="shared" si="118"/>
        <v>62024</v>
      </c>
      <c r="M457" s="267">
        <f t="shared" si="119"/>
        <v>50502</v>
      </c>
      <c r="O457" s="99">
        <f t="shared" si="120"/>
        <v>6.96</v>
      </c>
      <c r="P457" s="276"/>
      <c r="Q457" s="267">
        <f t="shared" si="121"/>
        <v>50502</v>
      </c>
      <c r="R457" s="267"/>
      <c r="S457" s="267"/>
      <c r="T457" s="267"/>
      <c r="U457" s="267"/>
      <c r="V457" s="267"/>
      <c r="W457" s="267"/>
      <c r="X457" s="267"/>
      <c r="Y457" s="267"/>
      <c r="Z457" s="267"/>
      <c r="AA457" s="267"/>
      <c r="AB457" s="260"/>
      <c r="AC457" s="354"/>
      <c r="AD457" s="354"/>
      <c r="AE457" s="354"/>
      <c r="AF457" s="279">
        <f t="shared" si="122"/>
        <v>0</v>
      </c>
    </row>
    <row r="458" spans="2:32">
      <c r="B458" s="275" t="s">
        <v>219</v>
      </c>
      <c r="E458" s="102">
        <v>3936.2325581395398</v>
      </c>
      <c r="G458" s="102">
        <f t="shared" si="117"/>
        <v>3205</v>
      </c>
      <c r="I458" s="99">
        <v>6.52</v>
      </c>
      <c r="J458" s="276"/>
      <c r="K458" s="267">
        <f t="shared" si="118"/>
        <v>25664</v>
      </c>
      <c r="M458" s="267">
        <f t="shared" si="119"/>
        <v>20897</v>
      </c>
      <c r="O458" s="99">
        <f t="shared" si="120"/>
        <v>6.52</v>
      </c>
      <c r="P458" s="276"/>
      <c r="Q458" s="267">
        <f t="shared" si="121"/>
        <v>20897</v>
      </c>
      <c r="R458" s="267"/>
      <c r="S458" s="267"/>
      <c r="T458" s="267"/>
      <c r="U458" s="267"/>
      <c r="V458" s="267"/>
      <c r="W458" s="267"/>
      <c r="X458" s="267"/>
      <c r="Y458" s="267"/>
      <c r="Z458" s="267"/>
      <c r="AA458" s="267"/>
      <c r="AB458" s="260"/>
      <c r="AC458" s="354"/>
      <c r="AD458" s="354"/>
      <c r="AE458" s="354"/>
      <c r="AF458" s="279">
        <f t="shared" si="122"/>
        <v>0</v>
      </c>
    </row>
    <row r="459" spans="2:32">
      <c r="B459" s="275" t="s">
        <v>111</v>
      </c>
      <c r="E459" s="102">
        <v>0</v>
      </c>
      <c r="G459" s="102">
        <f t="shared" si="117"/>
        <v>0</v>
      </c>
      <c r="I459" s="99">
        <v>5.54</v>
      </c>
      <c r="J459" s="276"/>
      <c r="K459" s="267">
        <f t="shared" si="118"/>
        <v>0</v>
      </c>
      <c r="M459" s="267">
        <f t="shared" si="119"/>
        <v>0</v>
      </c>
      <c r="O459" s="99">
        <f t="shared" si="120"/>
        <v>5.54</v>
      </c>
      <c r="P459" s="276"/>
      <c r="Q459" s="267">
        <f t="shared" si="121"/>
        <v>0</v>
      </c>
      <c r="R459" s="267"/>
      <c r="S459" s="267"/>
      <c r="T459" s="267"/>
      <c r="U459" s="267"/>
      <c r="V459" s="267"/>
      <c r="W459" s="267"/>
      <c r="X459" s="267"/>
      <c r="Y459" s="267"/>
      <c r="Z459" s="267"/>
      <c r="AA459" s="267"/>
      <c r="AB459" s="260"/>
      <c r="AC459" s="354"/>
      <c r="AD459" s="354"/>
      <c r="AE459" s="354"/>
      <c r="AF459" s="279">
        <f t="shared" si="122"/>
        <v>0</v>
      </c>
    </row>
    <row r="460" spans="2:32">
      <c r="B460" s="275" t="s">
        <v>112</v>
      </c>
      <c r="E460" s="102">
        <v>1172.03545232274</v>
      </c>
      <c r="G460" s="102">
        <f t="shared" si="117"/>
        <v>954</v>
      </c>
      <c r="I460" s="99">
        <v>8.27</v>
      </c>
      <c r="J460" s="276"/>
      <c r="K460" s="267">
        <f t="shared" si="118"/>
        <v>9693</v>
      </c>
      <c r="M460" s="267">
        <f t="shared" si="119"/>
        <v>7890</v>
      </c>
      <c r="O460" s="99">
        <f t="shared" si="120"/>
        <v>8.27</v>
      </c>
      <c r="P460" s="276"/>
      <c r="Q460" s="267">
        <f t="shared" si="121"/>
        <v>7890</v>
      </c>
      <c r="R460" s="267"/>
      <c r="S460" s="267"/>
      <c r="T460" s="267"/>
      <c r="U460" s="267"/>
      <c r="V460" s="267"/>
      <c r="W460" s="267"/>
      <c r="X460" s="267"/>
      <c r="Y460" s="267"/>
      <c r="Z460" s="267"/>
      <c r="AA460" s="267"/>
      <c r="AB460" s="260"/>
      <c r="AC460" s="354"/>
      <c r="AD460" s="354"/>
      <c r="AE460" s="354"/>
      <c r="AF460" s="279">
        <f t="shared" si="122"/>
        <v>0</v>
      </c>
    </row>
    <row r="461" spans="2:32">
      <c r="B461" s="275" t="s">
        <v>113</v>
      </c>
      <c r="E461" s="102">
        <v>0</v>
      </c>
      <c r="G461" s="102">
        <f t="shared" si="117"/>
        <v>0</v>
      </c>
      <c r="I461" s="99">
        <v>8.26</v>
      </c>
      <c r="J461" s="276"/>
      <c r="K461" s="267">
        <f t="shared" si="118"/>
        <v>0</v>
      </c>
      <c r="M461" s="267">
        <f t="shared" si="119"/>
        <v>0</v>
      </c>
      <c r="O461" s="99">
        <f t="shared" si="120"/>
        <v>8.26</v>
      </c>
      <c r="P461" s="276"/>
      <c r="Q461" s="267">
        <f t="shared" si="121"/>
        <v>0</v>
      </c>
      <c r="R461" s="267"/>
      <c r="S461" s="267"/>
      <c r="T461" s="267"/>
      <c r="U461" s="267"/>
      <c r="V461" s="267"/>
      <c r="W461" s="267"/>
      <c r="X461" s="267"/>
      <c r="Y461" s="267"/>
      <c r="Z461" s="267"/>
      <c r="AA461" s="267"/>
      <c r="AB461" s="260"/>
      <c r="AC461" s="354"/>
      <c r="AD461" s="354"/>
      <c r="AE461" s="354"/>
      <c r="AF461" s="279">
        <f t="shared" si="122"/>
        <v>0</v>
      </c>
    </row>
    <row r="462" spans="2:32">
      <c r="B462" s="275" t="s">
        <v>220</v>
      </c>
      <c r="E462" s="102">
        <v>6489.0389884088499</v>
      </c>
      <c r="G462" s="102">
        <f t="shared" si="117"/>
        <v>5284</v>
      </c>
      <c r="I462" s="99">
        <v>9.59</v>
      </c>
      <c r="J462" s="276"/>
      <c r="K462" s="267">
        <f t="shared" si="118"/>
        <v>62230</v>
      </c>
      <c r="M462" s="267">
        <f t="shared" si="119"/>
        <v>50674</v>
      </c>
      <c r="O462" s="99">
        <f t="shared" si="120"/>
        <v>9.59</v>
      </c>
      <c r="P462" s="276"/>
      <c r="Q462" s="267">
        <f t="shared" si="121"/>
        <v>50674</v>
      </c>
      <c r="R462" s="267"/>
      <c r="S462" s="267"/>
      <c r="T462" s="267"/>
      <c r="U462" s="267"/>
      <c r="V462" s="267"/>
      <c r="W462" s="267"/>
      <c r="X462" s="267"/>
      <c r="Y462" s="267"/>
      <c r="Z462" s="267"/>
      <c r="AA462" s="267"/>
      <c r="AB462" s="260"/>
      <c r="AC462" s="354"/>
      <c r="AD462" s="354"/>
      <c r="AE462" s="354"/>
      <c r="AF462" s="279">
        <f t="shared" si="122"/>
        <v>0</v>
      </c>
    </row>
    <row r="463" spans="2:32">
      <c r="B463" s="275" t="s">
        <v>114</v>
      </c>
      <c r="E463" s="102">
        <v>0</v>
      </c>
      <c r="G463" s="102">
        <f t="shared" si="117"/>
        <v>0</v>
      </c>
      <c r="I463" s="99">
        <v>8.16</v>
      </c>
      <c r="J463" s="276"/>
      <c r="K463" s="267">
        <f t="shared" si="118"/>
        <v>0</v>
      </c>
      <c r="M463" s="267">
        <f t="shared" si="119"/>
        <v>0</v>
      </c>
      <c r="O463" s="99">
        <f t="shared" si="120"/>
        <v>8.16</v>
      </c>
      <c r="P463" s="276"/>
      <c r="Q463" s="267">
        <f t="shared" si="121"/>
        <v>0</v>
      </c>
      <c r="R463" s="267"/>
      <c r="S463" s="267"/>
      <c r="T463" s="267"/>
      <c r="U463" s="267"/>
      <c r="V463" s="267"/>
      <c r="W463" s="267"/>
      <c r="X463" s="267"/>
      <c r="Y463" s="267"/>
      <c r="Z463" s="267"/>
      <c r="AA463" s="267"/>
      <c r="AB463" s="260"/>
      <c r="AC463" s="354"/>
      <c r="AD463" s="354"/>
      <c r="AE463" s="354"/>
      <c r="AF463" s="279">
        <f t="shared" si="122"/>
        <v>0</v>
      </c>
    </row>
    <row r="464" spans="2:32">
      <c r="B464" s="275" t="s">
        <v>115</v>
      </c>
      <c r="E464" s="102">
        <v>132</v>
      </c>
      <c r="G464" s="102">
        <f t="shared" si="117"/>
        <v>107</v>
      </c>
      <c r="I464" s="99">
        <v>11.93</v>
      </c>
      <c r="J464" s="276"/>
      <c r="K464" s="267">
        <f t="shared" si="118"/>
        <v>1575</v>
      </c>
      <c r="M464" s="267">
        <f t="shared" si="119"/>
        <v>1277</v>
      </c>
      <c r="O464" s="99">
        <f t="shared" si="120"/>
        <v>11.93</v>
      </c>
      <c r="P464" s="276"/>
      <c r="Q464" s="267">
        <f t="shared" si="121"/>
        <v>1277</v>
      </c>
      <c r="R464" s="267"/>
      <c r="S464" s="267"/>
      <c r="T464" s="267"/>
      <c r="U464" s="267"/>
      <c r="V464" s="267"/>
      <c r="W464" s="267"/>
      <c r="X464" s="267"/>
      <c r="Y464" s="267"/>
      <c r="Z464" s="267"/>
      <c r="AA464" s="267"/>
      <c r="AB464" s="260"/>
      <c r="AC464" s="354"/>
      <c r="AD464" s="354"/>
      <c r="AE464" s="354"/>
      <c r="AF464" s="279">
        <f t="shared" si="122"/>
        <v>0</v>
      </c>
    </row>
    <row r="465" spans="2:32">
      <c r="B465" s="275" t="s">
        <v>221</v>
      </c>
      <c r="E465" s="102">
        <v>11059.7819494585</v>
      </c>
      <c r="G465" s="102">
        <f t="shared" si="117"/>
        <v>9005</v>
      </c>
      <c r="I465" s="99">
        <v>14</v>
      </c>
      <c r="J465" s="276"/>
      <c r="K465" s="267">
        <f t="shared" si="118"/>
        <v>154837</v>
      </c>
      <c r="M465" s="267">
        <f t="shared" si="119"/>
        <v>126070</v>
      </c>
      <c r="O465" s="99">
        <f t="shared" si="120"/>
        <v>14</v>
      </c>
      <c r="P465" s="276"/>
      <c r="Q465" s="267">
        <f t="shared" si="121"/>
        <v>126070</v>
      </c>
      <c r="R465" s="267"/>
      <c r="S465" s="267"/>
      <c r="T465" s="267"/>
      <c r="U465" s="267"/>
      <c r="V465" s="267"/>
      <c r="W465" s="267"/>
      <c r="X465" s="267"/>
      <c r="Y465" s="267"/>
      <c r="Z465" s="267"/>
      <c r="AA465" s="267"/>
      <c r="AB465" s="260"/>
      <c r="AC465" s="354"/>
      <c r="AD465" s="354"/>
      <c r="AE465" s="354"/>
      <c r="AF465" s="279">
        <f t="shared" si="122"/>
        <v>0</v>
      </c>
    </row>
    <row r="466" spans="2:32">
      <c r="B466" s="303" t="s">
        <v>116</v>
      </c>
      <c r="C466" s="265"/>
      <c r="D466" s="265"/>
      <c r="E466" s="102">
        <v>0</v>
      </c>
      <c r="G466" s="102">
        <f t="shared" si="117"/>
        <v>0</v>
      </c>
      <c r="I466" s="276">
        <v>11.89</v>
      </c>
      <c r="J466" s="276"/>
      <c r="K466" s="267">
        <f t="shared" si="118"/>
        <v>0</v>
      </c>
      <c r="M466" s="267">
        <f t="shared" si="119"/>
        <v>0</v>
      </c>
      <c r="O466" s="276">
        <f t="shared" si="120"/>
        <v>11.89</v>
      </c>
      <c r="P466" s="276"/>
      <c r="Q466" s="301">
        <f t="shared" si="121"/>
        <v>0</v>
      </c>
      <c r="R466" s="301"/>
      <c r="S466" s="301"/>
      <c r="T466" s="301"/>
      <c r="U466" s="301"/>
      <c r="V466" s="301"/>
      <c r="W466" s="301"/>
      <c r="X466" s="301"/>
      <c r="Y466" s="301"/>
      <c r="Z466" s="301"/>
      <c r="AA466" s="301"/>
      <c r="AB466" s="260"/>
      <c r="AC466" s="354"/>
      <c r="AD466" s="354"/>
      <c r="AE466" s="354"/>
      <c r="AF466" s="279">
        <f t="shared" si="122"/>
        <v>0</v>
      </c>
    </row>
    <row r="467" spans="2:32">
      <c r="B467" s="275" t="s">
        <v>117</v>
      </c>
      <c r="E467" s="102">
        <v>192</v>
      </c>
      <c r="G467" s="102">
        <f t="shared" si="117"/>
        <v>156</v>
      </c>
      <c r="I467" s="99">
        <v>15.56</v>
      </c>
      <c r="J467" s="276"/>
      <c r="K467" s="267">
        <f t="shared" si="118"/>
        <v>2988</v>
      </c>
      <c r="M467" s="267">
        <f t="shared" si="119"/>
        <v>2427</v>
      </c>
      <c r="O467" s="99">
        <f t="shared" si="120"/>
        <v>15.56</v>
      </c>
      <c r="P467" s="276"/>
      <c r="Q467" s="267">
        <f t="shared" si="121"/>
        <v>2427</v>
      </c>
      <c r="R467" s="267"/>
      <c r="S467" s="267"/>
      <c r="T467" s="267"/>
      <c r="U467" s="267"/>
      <c r="V467" s="267"/>
      <c r="W467" s="267"/>
      <c r="X467" s="267"/>
      <c r="Y467" s="267"/>
      <c r="Z467" s="267"/>
      <c r="AA467" s="267"/>
      <c r="AB467" s="260"/>
      <c r="AC467" s="354"/>
      <c r="AD467" s="354"/>
      <c r="AE467" s="354"/>
      <c r="AF467" s="279">
        <f t="shared" si="122"/>
        <v>0</v>
      </c>
    </row>
    <row r="468" spans="2:32">
      <c r="B468" s="275" t="s">
        <v>186</v>
      </c>
      <c r="E468" s="102">
        <v>0</v>
      </c>
      <c r="G468" s="280">
        <f t="shared" si="117"/>
        <v>0</v>
      </c>
      <c r="I468" s="276">
        <v>26.38</v>
      </c>
      <c r="J468" s="276"/>
      <c r="K468" s="267">
        <f t="shared" si="118"/>
        <v>0</v>
      </c>
      <c r="M468" s="267">
        <f t="shared" si="119"/>
        <v>0</v>
      </c>
      <c r="O468" s="276">
        <f t="shared" si="120"/>
        <v>26.38</v>
      </c>
      <c r="P468" s="276"/>
      <c r="Q468" s="301">
        <f t="shared" si="121"/>
        <v>0</v>
      </c>
      <c r="R468" s="301"/>
      <c r="S468" s="301"/>
      <c r="T468" s="301"/>
      <c r="U468" s="301"/>
      <c r="V468" s="301"/>
      <c r="W468" s="301"/>
      <c r="X468" s="301"/>
      <c r="Y468" s="301"/>
      <c r="Z468" s="301"/>
      <c r="AA468" s="301"/>
      <c r="AB468" s="260"/>
      <c r="AC468" s="354"/>
      <c r="AD468" s="354"/>
      <c r="AE468" s="354"/>
      <c r="AF468" s="279">
        <f t="shared" si="122"/>
        <v>0</v>
      </c>
    </row>
    <row r="469" spans="2:32">
      <c r="B469" s="333" t="s">
        <v>222</v>
      </c>
      <c r="E469" s="102"/>
      <c r="G469" s="102"/>
      <c r="I469" s="99"/>
      <c r="J469" s="276"/>
      <c r="O469" s="99"/>
      <c r="P469" s="276"/>
      <c r="AB469" s="260"/>
      <c r="AC469" s="354"/>
      <c r="AD469" s="354"/>
      <c r="AE469" s="354"/>
    </row>
    <row r="470" spans="2:32">
      <c r="B470" s="275" t="s">
        <v>118</v>
      </c>
      <c r="E470" s="102">
        <v>562.93179317931799</v>
      </c>
      <c r="G470" s="102">
        <f t="shared" ref="G470:G477" si="123">ROUND(E470*$G$481/$E$481,0)</f>
        <v>458</v>
      </c>
      <c r="I470" s="99">
        <v>9.19</v>
      </c>
      <c r="J470" s="276"/>
      <c r="K470" s="267">
        <f t="shared" ref="K470:K477" si="124">ROUND(E470*$I470,0)</f>
        <v>5173</v>
      </c>
      <c r="M470" s="267">
        <f t="shared" ref="M470:M477" si="125">ROUND(G470*$I470,0)</f>
        <v>4209</v>
      </c>
      <c r="O470" s="99">
        <f t="shared" ref="O470:O477" si="126">ROUND(I470*(1+$AD$431),2)</f>
        <v>9.19</v>
      </c>
      <c r="P470" s="276"/>
      <c r="Q470" s="267">
        <f t="shared" ref="Q470:Q477" si="127">ROUND(G470*O470,0)</f>
        <v>4209</v>
      </c>
      <c r="R470" s="267"/>
      <c r="S470" s="267"/>
      <c r="T470" s="267"/>
      <c r="U470" s="267"/>
      <c r="V470" s="267"/>
      <c r="W470" s="267"/>
      <c r="X470" s="267"/>
      <c r="Y470" s="267"/>
      <c r="Z470" s="267"/>
      <c r="AA470" s="267"/>
      <c r="AB470" s="260"/>
      <c r="AC470" s="354"/>
      <c r="AD470" s="354"/>
      <c r="AE470" s="354"/>
      <c r="AF470" s="279">
        <f t="shared" ref="AF470:AF477" si="128">O470/I470-1</f>
        <v>0</v>
      </c>
    </row>
    <row r="471" spans="2:32">
      <c r="B471" s="275" t="s">
        <v>224</v>
      </c>
      <c r="E471" s="102">
        <v>1157.5443037974701</v>
      </c>
      <c r="G471" s="102">
        <f t="shared" si="123"/>
        <v>943</v>
      </c>
      <c r="I471" s="99">
        <v>13.57</v>
      </c>
      <c r="J471" s="276"/>
      <c r="K471" s="267">
        <f t="shared" si="124"/>
        <v>15708</v>
      </c>
      <c r="M471" s="267">
        <f t="shared" si="125"/>
        <v>12797</v>
      </c>
      <c r="O471" s="99">
        <f t="shared" si="126"/>
        <v>13.57</v>
      </c>
      <c r="P471" s="276"/>
      <c r="Q471" s="267">
        <f t="shared" si="127"/>
        <v>12797</v>
      </c>
      <c r="R471" s="267"/>
      <c r="S471" s="267"/>
      <c r="T471" s="267"/>
      <c r="U471" s="267"/>
      <c r="V471" s="267"/>
      <c r="W471" s="267"/>
      <c r="X471" s="267"/>
      <c r="Y471" s="267"/>
      <c r="Z471" s="267"/>
      <c r="AA471" s="267"/>
      <c r="AB471" s="260"/>
      <c r="AC471" s="354"/>
      <c r="AD471" s="354"/>
      <c r="AE471" s="354"/>
      <c r="AF471" s="279">
        <f t="shared" si="128"/>
        <v>0</v>
      </c>
    </row>
    <row r="472" spans="2:32">
      <c r="B472" s="275" t="s">
        <v>119</v>
      </c>
      <c r="E472" s="102">
        <v>0</v>
      </c>
      <c r="G472" s="102">
        <f t="shared" si="123"/>
        <v>0</v>
      </c>
      <c r="I472" s="99">
        <v>11.54</v>
      </c>
      <c r="J472" s="276"/>
      <c r="K472" s="267">
        <f t="shared" si="124"/>
        <v>0</v>
      </c>
      <c r="M472" s="267">
        <f t="shared" si="125"/>
        <v>0</v>
      </c>
      <c r="O472" s="99">
        <f t="shared" si="126"/>
        <v>11.54</v>
      </c>
      <c r="P472" s="276"/>
      <c r="Q472" s="267">
        <f t="shared" si="127"/>
        <v>0</v>
      </c>
      <c r="R472" s="267"/>
      <c r="S472" s="267"/>
      <c r="T472" s="267"/>
      <c r="U472" s="267"/>
      <c r="V472" s="267"/>
      <c r="W472" s="267"/>
      <c r="X472" s="267"/>
      <c r="Y472" s="267"/>
      <c r="Z472" s="267"/>
      <c r="AA472" s="267"/>
      <c r="AB472" s="260"/>
      <c r="AC472" s="354"/>
      <c r="AD472" s="354"/>
      <c r="AE472" s="354"/>
      <c r="AF472" s="279">
        <f t="shared" si="128"/>
        <v>0</v>
      </c>
    </row>
    <row r="473" spans="2:32">
      <c r="B473" s="275" t="s">
        <v>120</v>
      </c>
      <c r="E473" s="102">
        <v>788.14402917046505</v>
      </c>
      <c r="G473" s="102">
        <f t="shared" si="123"/>
        <v>642</v>
      </c>
      <c r="I473" s="99">
        <v>11.09</v>
      </c>
      <c r="J473" s="276"/>
      <c r="K473" s="267">
        <f t="shared" si="124"/>
        <v>8741</v>
      </c>
      <c r="M473" s="267">
        <f t="shared" si="125"/>
        <v>7120</v>
      </c>
      <c r="O473" s="99">
        <f t="shared" si="126"/>
        <v>11.09</v>
      </c>
      <c r="P473" s="276"/>
      <c r="Q473" s="267">
        <f t="shared" si="127"/>
        <v>7120</v>
      </c>
      <c r="R473" s="267"/>
      <c r="S473" s="267"/>
      <c r="T473" s="267"/>
      <c r="U473" s="267"/>
      <c r="V473" s="267"/>
      <c r="W473" s="267"/>
      <c r="X473" s="267"/>
      <c r="Y473" s="267"/>
      <c r="Z473" s="267"/>
      <c r="AA473" s="267"/>
      <c r="AB473" s="260"/>
      <c r="AC473" s="354"/>
      <c r="AD473" s="354"/>
      <c r="AE473" s="354"/>
      <c r="AF473" s="279">
        <f t="shared" si="128"/>
        <v>0</v>
      </c>
    </row>
    <row r="474" spans="2:32">
      <c r="B474" s="275" t="s">
        <v>225</v>
      </c>
      <c r="E474" s="102">
        <v>705.60427413411901</v>
      </c>
      <c r="G474" s="102">
        <f t="shared" si="123"/>
        <v>575</v>
      </c>
      <c r="I474" s="99">
        <v>13.71</v>
      </c>
      <c r="J474" s="276"/>
      <c r="K474" s="267">
        <f t="shared" si="124"/>
        <v>9674</v>
      </c>
      <c r="M474" s="267">
        <f t="shared" si="125"/>
        <v>7883</v>
      </c>
      <c r="O474" s="99">
        <f t="shared" si="126"/>
        <v>13.71</v>
      </c>
      <c r="P474" s="276"/>
      <c r="Q474" s="267">
        <f t="shared" si="127"/>
        <v>7883</v>
      </c>
      <c r="R474" s="267"/>
      <c r="S474" s="267"/>
      <c r="T474" s="267"/>
      <c r="U474" s="267"/>
      <c r="V474" s="267"/>
      <c r="W474" s="267"/>
      <c r="X474" s="267"/>
      <c r="Y474" s="267"/>
      <c r="Z474" s="267"/>
      <c r="AA474" s="267"/>
      <c r="AB474" s="260"/>
      <c r="AC474" s="354"/>
      <c r="AD474" s="354"/>
      <c r="AE474" s="354"/>
      <c r="AF474" s="279">
        <f t="shared" si="128"/>
        <v>0</v>
      </c>
    </row>
    <row r="475" spans="2:32">
      <c r="B475" s="275" t="s">
        <v>121</v>
      </c>
      <c r="E475" s="102">
        <v>5430.1573676681001</v>
      </c>
      <c r="G475" s="102">
        <f t="shared" si="123"/>
        <v>4421</v>
      </c>
      <c r="I475" s="99">
        <v>14.13</v>
      </c>
      <c r="J475" s="276"/>
      <c r="K475" s="267">
        <f t="shared" si="124"/>
        <v>76728</v>
      </c>
      <c r="M475" s="267">
        <f t="shared" si="125"/>
        <v>62469</v>
      </c>
      <c r="O475" s="99">
        <f t="shared" si="126"/>
        <v>14.13</v>
      </c>
      <c r="P475" s="276"/>
      <c r="Q475" s="267">
        <f t="shared" si="127"/>
        <v>62469</v>
      </c>
      <c r="R475" s="267"/>
      <c r="S475" s="267"/>
      <c r="T475" s="267"/>
      <c r="U475" s="267"/>
      <c r="V475" s="267"/>
      <c r="W475" s="267"/>
      <c r="X475" s="267"/>
      <c r="Y475" s="267"/>
      <c r="Z475" s="267"/>
      <c r="AA475" s="267"/>
      <c r="AB475" s="260"/>
      <c r="AC475" s="354"/>
      <c r="AD475" s="354"/>
      <c r="AE475" s="354"/>
      <c r="AF475" s="279">
        <f t="shared" si="128"/>
        <v>0</v>
      </c>
    </row>
    <row r="476" spans="2:32">
      <c r="B476" s="275" t="s">
        <v>226</v>
      </c>
      <c r="E476" s="102">
        <v>487.63409563409601</v>
      </c>
      <c r="G476" s="102">
        <f t="shared" si="123"/>
        <v>397</v>
      </c>
      <c r="I476" s="99">
        <v>14.58</v>
      </c>
      <c r="J476" s="276"/>
      <c r="K476" s="267">
        <f t="shared" si="124"/>
        <v>7110</v>
      </c>
      <c r="M476" s="267">
        <f t="shared" si="125"/>
        <v>5788</v>
      </c>
      <c r="O476" s="99">
        <f t="shared" si="126"/>
        <v>14.58</v>
      </c>
      <c r="P476" s="276"/>
      <c r="Q476" s="267">
        <f t="shared" si="127"/>
        <v>5788</v>
      </c>
      <c r="R476" s="267"/>
      <c r="S476" s="267"/>
      <c r="T476" s="267"/>
      <c r="U476" s="267"/>
      <c r="V476" s="267"/>
      <c r="W476" s="267"/>
      <c r="X476" s="267"/>
      <c r="Y476" s="267"/>
      <c r="Z476" s="267"/>
      <c r="AA476" s="267"/>
      <c r="AB476" s="260"/>
      <c r="AC476" s="354"/>
      <c r="AD476" s="354"/>
      <c r="AE476" s="354"/>
      <c r="AF476" s="279">
        <f t="shared" si="128"/>
        <v>0</v>
      </c>
    </row>
    <row r="477" spans="2:32">
      <c r="B477" s="275" t="s">
        <v>122</v>
      </c>
      <c r="E477" s="102">
        <v>578.70934699103702</v>
      </c>
      <c r="G477" s="280">
        <f t="shared" si="123"/>
        <v>471</v>
      </c>
      <c r="I477" s="276">
        <v>15.79</v>
      </c>
      <c r="J477" s="276"/>
      <c r="K477" s="267">
        <f t="shared" si="124"/>
        <v>9138</v>
      </c>
      <c r="M477" s="267">
        <f t="shared" si="125"/>
        <v>7437</v>
      </c>
      <c r="O477" s="276">
        <f t="shared" si="126"/>
        <v>15.79</v>
      </c>
      <c r="P477" s="276"/>
      <c r="Q477" s="301">
        <f t="shared" si="127"/>
        <v>7437</v>
      </c>
      <c r="R477" s="301"/>
      <c r="S477" s="301"/>
      <c r="T477" s="301"/>
      <c r="U477" s="301"/>
      <c r="V477" s="301"/>
      <c r="W477" s="301"/>
      <c r="X477" s="301"/>
      <c r="Y477" s="301"/>
      <c r="Z477" s="301"/>
      <c r="AA477" s="301"/>
      <c r="AB477" s="260"/>
      <c r="AC477" s="354"/>
      <c r="AD477" s="354"/>
      <c r="AE477" s="354"/>
      <c r="AF477" s="279">
        <f t="shared" si="128"/>
        <v>0</v>
      </c>
    </row>
    <row r="478" spans="2:32">
      <c r="B478" s="333" t="s">
        <v>123</v>
      </c>
      <c r="E478" s="102"/>
      <c r="G478" s="102"/>
      <c r="I478" s="99"/>
      <c r="J478" s="276"/>
      <c r="K478" s="267"/>
      <c r="M478" s="267"/>
      <c r="O478" s="99"/>
      <c r="P478" s="276"/>
      <c r="Q478" s="267"/>
      <c r="R478" s="267"/>
      <c r="S478" s="267"/>
      <c r="T478" s="267"/>
      <c r="U478" s="267"/>
      <c r="V478" s="267"/>
      <c r="W478" s="267"/>
      <c r="X478" s="267"/>
      <c r="Y478" s="267"/>
      <c r="Z478" s="267"/>
      <c r="AA478" s="267"/>
      <c r="AB478" s="260"/>
      <c r="AC478" s="354"/>
      <c r="AD478" s="354"/>
      <c r="AE478" s="354"/>
    </row>
    <row r="479" spans="2:32">
      <c r="B479" s="275" t="s">
        <v>124</v>
      </c>
      <c r="E479" s="102">
        <v>3.4663072776280299</v>
      </c>
      <c r="G479" s="102">
        <f>ROUND(E479*$G$481/$E$481,0)</f>
        <v>3</v>
      </c>
      <c r="I479" s="99">
        <v>3.75</v>
      </c>
      <c r="J479" s="276"/>
      <c r="K479" s="267">
        <f>ROUND(E479*$I479,0)</f>
        <v>13</v>
      </c>
      <c r="M479" s="267">
        <f>ROUND(G479*$I479,0)</f>
        <v>11</v>
      </c>
      <c r="O479" s="99">
        <f>ROUND(I479*(1+$AD$431),2)</f>
        <v>3.75</v>
      </c>
      <c r="P479" s="276"/>
      <c r="Q479" s="267">
        <f>ROUND(G479*O479,0)</f>
        <v>11</v>
      </c>
      <c r="R479" s="267"/>
      <c r="S479" s="267"/>
      <c r="T479" s="267"/>
      <c r="U479" s="267"/>
      <c r="V479" s="267"/>
      <c r="W479" s="267"/>
      <c r="X479" s="267"/>
      <c r="Y479" s="267"/>
      <c r="Z479" s="267"/>
      <c r="AA479" s="267"/>
      <c r="AB479" s="260"/>
      <c r="AC479" s="354"/>
      <c r="AD479" s="354"/>
      <c r="AE479" s="354"/>
      <c r="AF479" s="279">
        <f t="shared" ref="AF479:AF480" si="129">O479/I479-1</f>
        <v>0</v>
      </c>
    </row>
    <row r="480" spans="2:32">
      <c r="B480" s="275" t="s">
        <v>125</v>
      </c>
      <c r="E480" s="102">
        <v>84.066811909949195</v>
      </c>
      <c r="G480" s="102">
        <f>ROUND(E480*$G$481/$E$481,0)</f>
        <v>68</v>
      </c>
      <c r="I480" s="99">
        <v>13.92</v>
      </c>
      <c r="J480" s="276"/>
      <c r="K480" s="267">
        <f>ROUND(E480*$I480,0)</f>
        <v>1170</v>
      </c>
      <c r="M480" s="267">
        <f>ROUND(G480*$I480,0)</f>
        <v>947</v>
      </c>
      <c r="O480" s="99">
        <f>ROUND(I480*(1+$AD$431),2)</f>
        <v>13.92</v>
      </c>
      <c r="P480" s="276"/>
      <c r="Q480" s="267">
        <f>ROUND(G480*O480,0)</f>
        <v>947</v>
      </c>
      <c r="R480" s="267"/>
      <c r="S480" s="267"/>
      <c r="T480" s="267"/>
      <c r="U480" s="267"/>
      <c r="V480" s="267"/>
      <c r="W480" s="267"/>
      <c r="X480" s="267"/>
      <c r="Y480" s="267"/>
      <c r="Z480" s="267"/>
      <c r="AA480" s="267"/>
      <c r="AB480" s="260"/>
      <c r="AC480" s="354"/>
      <c r="AD480" s="354"/>
      <c r="AE480" s="354"/>
      <c r="AF480" s="279">
        <f t="shared" si="129"/>
        <v>0</v>
      </c>
    </row>
    <row r="481" spans="2:32">
      <c r="B481" s="333" t="s">
        <v>228</v>
      </c>
      <c r="E481" s="280">
        <v>5526433.823147228</v>
      </c>
      <c r="G481" s="280">
        <f>G483</f>
        <v>4499863</v>
      </c>
      <c r="I481" s="99"/>
      <c r="J481" s="286"/>
      <c r="K481" s="301">
        <f>SUM(K444:K480)</f>
        <v>689960</v>
      </c>
      <c r="M481" s="301">
        <f>SUM(M444:M480)</f>
        <v>561767</v>
      </c>
      <c r="O481" s="362"/>
      <c r="P481" s="276"/>
      <c r="Q481" s="301">
        <f>SUM(Q444:Q480)</f>
        <v>561767</v>
      </c>
      <c r="R481" s="301"/>
      <c r="S481" s="301"/>
      <c r="T481" s="301"/>
      <c r="U481" s="301"/>
      <c r="V481" s="301"/>
      <c r="W481" s="301"/>
      <c r="X481" s="301"/>
      <c r="Y481" s="301"/>
      <c r="Z481" s="301"/>
      <c r="AA481" s="301"/>
      <c r="AB481" s="260"/>
      <c r="AC481" s="354"/>
      <c r="AD481" s="354"/>
      <c r="AE481" s="354"/>
    </row>
    <row r="482" spans="2:32">
      <c r="B482" s="333" t="s">
        <v>264</v>
      </c>
      <c r="E482" s="280">
        <v>93354</v>
      </c>
      <c r="G482" s="280"/>
      <c r="I482" s="99"/>
      <c r="J482" s="286"/>
      <c r="K482" s="301">
        <v>9872</v>
      </c>
      <c r="M482" s="301"/>
      <c r="O482" s="362"/>
      <c r="P482" s="276"/>
      <c r="Q482" s="301"/>
      <c r="R482" s="301"/>
      <c r="S482" s="301"/>
      <c r="T482" s="301"/>
      <c r="U482" s="301"/>
      <c r="V482" s="301"/>
      <c r="W482" s="301"/>
      <c r="X482" s="301"/>
      <c r="Y482" s="301"/>
      <c r="Z482" s="301"/>
      <c r="AA482" s="301"/>
      <c r="AB482" s="260"/>
      <c r="AC482" s="354"/>
      <c r="AD482" s="354"/>
      <c r="AE482" s="354"/>
    </row>
    <row r="483" spans="2:32">
      <c r="B483" s="333" t="s">
        <v>213</v>
      </c>
      <c r="E483" s="280">
        <f>SUM(E481:E482)</f>
        <v>5619787.823147228</v>
      </c>
      <c r="G483" s="280">
        <v>4499863</v>
      </c>
      <c r="I483" s="99"/>
      <c r="J483" s="286"/>
      <c r="K483" s="301">
        <f>SUM(K481:K482)</f>
        <v>699832</v>
      </c>
      <c r="M483" s="301">
        <f>SUM(M481:M482)</f>
        <v>561767</v>
      </c>
      <c r="O483" s="362"/>
      <c r="P483" s="276"/>
      <c r="Q483" s="301">
        <f>SUM(Q481:Q482)</f>
        <v>561767</v>
      </c>
      <c r="R483" s="301"/>
      <c r="S483" s="301"/>
      <c r="T483" s="301"/>
      <c r="U483" s="301"/>
      <c r="V483" s="301"/>
      <c r="W483" s="301"/>
      <c r="X483" s="301"/>
      <c r="Y483" s="301"/>
      <c r="Z483" s="301"/>
      <c r="AA483" s="301"/>
      <c r="AB483" s="260"/>
      <c r="AC483" s="354"/>
      <c r="AD483" s="354"/>
      <c r="AE483" s="354"/>
    </row>
    <row r="484" spans="2:32">
      <c r="B484" s="333" t="s">
        <v>229</v>
      </c>
      <c r="E484" s="280">
        <v>236.333333333333</v>
      </c>
      <c r="G484" s="280">
        <v>234.58333333333334</v>
      </c>
      <c r="I484" s="362"/>
      <c r="J484" s="286"/>
      <c r="K484" s="301"/>
      <c r="M484" s="301"/>
      <c r="O484" s="362"/>
      <c r="P484" s="276"/>
      <c r="Q484" s="301"/>
      <c r="R484" s="301"/>
      <c r="S484" s="301"/>
      <c r="T484" s="301"/>
      <c r="U484" s="301"/>
      <c r="V484" s="301"/>
      <c r="W484" s="301"/>
      <c r="X484" s="301"/>
      <c r="Y484" s="301"/>
      <c r="Z484" s="301"/>
      <c r="AA484" s="301"/>
      <c r="AB484" s="260"/>
      <c r="AC484" s="354"/>
      <c r="AD484" s="354"/>
      <c r="AE484" s="354"/>
    </row>
    <row r="485" spans="2:32">
      <c r="B485" s="363" t="s">
        <v>126</v>
      </c>
      <c r="E485" s="102"/>
      <c r="G485" s="102"/>
      <c r="I485" s="99"/>
      <c r="J485" s="276"/>
      <c r="O485" s="99"/>
      <c r="P485" s="276"/>
      <c r="AB485" s="260"/>
      <c r="AC485" s="354"/>
      <c r="AD485" s="354"/>
      <c r="AE485" s="354"/>
    </row>
    <row r="486" spans="2:32">
      <c r="B486" s="333" t="s">
        <v>231</v>
      </c>
      <c r="E486" s="102"/>
      <c r="G486" s="102"/>
      <c r="I486" s="99"/>
      <c r="J486" s="276"/>
      <c r="K486" s="267"/>
      <c r="M486" s="267"/>
      <c r="O486" s="99"/>
      <c r="P486" s="276"/>
      <c r="Q486" s="267"/>
      <c r="R486" s="267"/>
      <c r="S486" s="267"/>
      <c r="T486" s="267"/>
      <c r="U486" s="267"/>
      <c r="V486" s="267"/>
      <c r="W486" s="267"/>
      <c r="X486" s="267"/>
      <c r="Y486" s="267"/>
      <c r="Z486" s="267"/>
      <c r="AA486" s="267"/>
      <c r="AB486" s="260"/>
      <c r="AC486" s="354"/>
      <c r="AD486" s="354"/>
      <c r="AE486" s="354"/>
    </row>
    <row r="487" spans="2:32">
      <c r="B487" s="275" t="s">
        <v>207</v>
      </c>
      <c r="E487" s="102">
        <v>36</v>
      </c>
      <c r="G487" s="102">
        <f>ROUND(E487*$G$508/$E$508,0)</f>
        <v>32</v>
      </c>
      <c r="I487" s="99">
        <v>17.73</v>
      </c>
      <c r="J487" s="276"/>
      <c r="K487" s="267">
        <f>ROUND(E487*$I487,0)</f>
        <v>638</v>
      </c>
      <c r="M487" s="267">
        <f>ROUND(G487*$I487,0)</f>
        <v>567</v>
      </c>
      <c r="O487" s="99">
        <f>ROUND(I487*(1+$AD$431),2)</f>
        <v>17.73</v>
      </c>
      <c r="P487" s="276"/>
      <c r="Q487" s="267">
        <f>ROUND(G487*O487,0)</f>
        <v>567</v>
      </c>
      <c r="R487" s="267"/>
      <c r="S487" s="267"/>
      <c r="T487" s="267"/>
      <c r="U487" s="267"/>
      <c r="V487" s="267"/>
      <c r="W487" s="267"/>
      <c r="X487" s="267"/>
      <c r="Y487" s="267"/>
      <c r="Z487" s="267"/>
      <c r="AA487" s="267"/>
      <c r="AB487" s="260"/>
      <c r="AC487" s="354"/>
      <c r="AD487" s="354"/>
      <c r="AE487" s="354"/>
      <c r="AF487" s="279">
        <f t="shared" ref="AF487:AF488" si="130">O487/I487-1</f>
        <v>0</v>
      </c>
    </row>
    <row r="488" spans="2:32">
      <c r="B488" s="275" t="s">
        <v>201</v>
      </c>
      <c r="E488" s="102">
        <v>12</v>
      </c>
      <c r="G488" s="102">
        <f>ROUND(E488*$G$508/$E$508,0)</f>
        <v>11</v>
      </c>
      <c r="I488" s="99">
        <v>23.4</v>
      </c>
      <c r="J488" s="276"/>
      <c r="K488" s="267">
        <f>ROUND(E488*$I488,0)</f>
        <v>281</v>
      </c>
      <c r="M488" s="267">
        <f>ROUND(G488*$I488,0)</f>
        <v>257</v>
      </c>
      <c r="O488" s="99">
        <f>ROUND(I488*(1+$AD$431),2)</f>
        <v>23.4</v>
      </c>
      <c r="P488" s="276"/>
      <c r="Q488" s="267">
        <f>ROUND(G488*O488,0)</f>
        <v>257</v>
      </c>
      <c r="R488" s="267"/>
      <c r="S488" s="267"/>
      <c r="T488" s="267"/>
      <c r="U488" s="267"/>
      <c r="V488" s="267"/>
      <c r="W488" s="267"/>
      <c r="X488" s="267"/>
      <c r="Y488" s="267"/>
      <c r="Z488" s="267"/>
      <c r="AA488" s="267"/>
      <c r="AB488" s="260"/>
      <c r="AC488" s="354"/>
      <c r="AD488" s="354"/>
      <c r="AE488" s="354"/>
      <c r="AF488" s="279">
        <f t="shared" si="130"/>
        <v>0</v>
      </c>
    </row>
    <row r="489" spans="2:32">
      <c r="B489" s="333" t="s">
        <v>106</v>
      </c>
      <c r="E489" s="102"/>
      <c r="G489" s="102"/>
      <c r="AB489" s="260"/>
      <c r="AC489" s="354"/>
      <c r="AD489" s="354"/>
      <c r="AE489" s="354"/>
    </row>
    <row r="490" spans="2:32">
      <c r="B490" s="275" t="s">
        <v>237</v>
      </c>
      <c r="E490" s="102">
        <v>48</v>
      </c>
      <c r="G490" s="102">
        <f>ROUND(E490*$G$508/$E$508,0)</f>
        <v>42</v>
      </c>
      <c r="I490" s="99">
        <v>8.0299999999999994</v>
      </c>
      <c r="J490" s="276"/>
      <c r="K490" s="267">
        <f>ROUND(E490*$I490,0)</f>
        <v>385</v>
      </c>
      <c r="M490" s="267">
        <f>ROUND(G490*$I490,0)</f>
        <v>337</v>
      </c>
      <c r="O490" s="99">
        <f>ROUND(I490*(1+$AD$431),2)</f>
        <v>8.0299999999999994</v>
      </c>
      <c r="P490" s="276"/>
      <c r="Q490" s="267">
        <f>ROUND(G490*O490,0)</f>
        <v>337</v>
      </c>
      <c r="R490" s="267"/>
      <c r="S490" s="267"/>
      <c r="T490" s="267"/>
      <c r="U490" s="267"/>
      <c r="V490" s="267"/>
      <c r="W490" s="267"/>
      <c r="X490" s="267"/>
      <c r="Y490" s="267"/>
      <c r="Z490" s="267"/>
      <c r="AA490" s="267"/>
      <c r="AB490" s="260"/>
      <c r="AC490" s="354"/>
      <c r="AD490" s="354"/>
      <c r="AE490" s="354"/>
      <c r="AF490" s="279">
        <f t="shared" ref="AF490:AF492" si="131">O490/I490-1</f>
        <v>0</v>
      </c>
    </row>
    <row r="491" spans="2:32">
      <c r="B491" s="275" t="s">
        <v>239</v>
      </c>
      <c r="E491" s="102">
        <v>0</v>
      </c>
      <c r="G491" s="102">
        <f>ROUND(E491*$G$508/$E$508,0)</f>
        <v>0</v>
      </c>
      <c r="I491" s="99">
        <v>15.3</v>
      </c>
      <c r="J491" s="276"/>
      <c r="K491" s="267">
        <f>ROUND(E491*$I491,0)</f>
        <v>0</v>
      </c>
      <c r="M491" s="267">
        <f>ROUND(G491*$I491,0)</f>
        <v>0</v>
      </c>
      <c r="O491" s="99">
        <f>ROUND(I491*(1+$AD$431),2)</f>
        <v>15.3</v>
      </c>
      <c r="P491" s="276"/>
      <c r="Q491" s="267">
        <f>ROUND(G491*O491,0)</f>
        <v>0</v>
      </c>
      <c r="R491" s="267"/>
      <c r="S491" s="267"/>
      <c r="T491" s="267"/>
      <c r="U491" s="267"/>
      <c r="V491" s="267"/>
      <c r="W491" s="267"/>
      <c r="X491" s="267"/>
      <c r="Y491" s="267"/>
      <c r="Z491" s="267"/>
      <c r="AA491" s="267"/>
      <c r="AB491" s="260"/>
      <c r="AC491" s="354"/>
      <c r="AD491" s="354"/>
      <c r="AE491" s="354"/>
      <c r="AF491" s="279">
        <f t="shared" si="131"/>
        <v>0</v>
      </c>
    </row>
    <row r="492" spans="2:32">
      <c r="B492" s="275" t="s">
        <v>107</v>
      </c>
      <c r="E492" s="280">
        <v>96</v>
      </c>
      <c r="G492" s="102">
        <f>ROUND(E492*$G$508/$E$508,0)</f>
        <v>85</v>
      </c>
      <c r="I492" s="276">
        <v>32.479999999999997</v>
      </c>
      <c r="J492" s="276"/>
      <c r="K492" s="267">
        <f>ROUND(E492*$I492,0)</f>
        <v>3118</v>
      </c>
      <c r="M492" s="267">
        <f>ROUND(G492*$I492,0)</f>
        <v>2761</v>
      </c>
      <c r="O492" s="276">
        <f>ROUND(I492*(1+$AD$431),2)</f>
        <v>32.479999999999997</v>
      </c>
      <c r="P492" s="276"/>
      <c r="Q492" s="301">
        <f>ROUND(G492*O492,0)</f>
        <v>2761</v>
      </c>
      <c r="R492" s="301"/>
      <c r="S492" s="301"/>
      <c r="T492" s="301"/>
      <c r="U492" s="301"/>
      <c r="V492" s="301"/>
      <c r="W492" s="301"/>
      <c r="X492" s="301"/>
      <c r="Y492" s="301"/>
      <c r="Z492" s="301"/>
      <c r="AA492" s="301"/>
      <c r="AB492" s="260"/>
      <c r="AC492" s="354"/>
      <c r="AD492" s="354"/>
      <c r="AE492" s="354"/>
      <c r="AF492" s="279">
        <f t="shared" si="131"/>
        <v>0</v>
      </c>
    </row>
    <row r="493" spans="2:32" ht="14.25" customHeight="1">
      <c r="B493" s="333" t="s">
        <v>127</v>
      </c>
      <c r="E493" s="102"/>
      <c r="G493" s="102"/>
      <c r="I493" s="300"/>
      <c r="J493" s="299"/>
      <c r="K493" s="267"/>
      <c r="M493" s="267"/>
      <c r="O493" s="300"/>
      <c r="P493" s="299"/>
      <c r="Q493" s="267"/>
      <c r="R493" s="267"/>
      <c r="S493" s="267"/>
      <c r="T493" s="267"/>
      <c r="U493" s="267"/>
      <c r="V493" s="267"/>
      <c r="W493" s="267"/>
      <c r="X493" s="267"/>
      <c r="Y493" s="267"/>
      <c r="Z493" s="267"/>
      <c r="AA493" s="267"/>
      <c r="AB493" s="260"/>
      <c r="AC493" s="354"/>
      <c r="AD493" s="354"/>
      <c r="AE493" s="354"/>
    </row>
    <row r="494" spans="2:32">
      <c r="B494" s="275" t="s">
        <v>217</v>
      </c>
      <c r="E494" s="102">
        <v>5953.0302375809997</v>
      </c>
      <c r="G494" s="102">
        <f t="shared" ref="G494:G502" si="132">ROUND(E494*$G$508/$E$508,0)</f>
        <v>5268</v>
      </c>
      <c r="I494" s="99">
        <v>4.68</v>
      </c>
      <c r="J494" s="276"/>
      <c r="K494" s="267">
        <f t="shared" ref="K494:K502" si="133">ROUND(E494*$I494,0)</f>
        <v>27860</v>
      </c>
      <c r="M494" s="267">
        <f t="shared" ref="M494:M502" si="134">ROUND(G494*$I494,0)</f>
        <v>24654</v>
      </c>
      <c r="O494" s="99">
        <f t="shared" ref="O494:O502" si="135">ROUND(I494*(1+$AD$431),2)</f>
        <v>4.68</v>
      </c>
      <c r="P494" s="276"/>
      <c r="Q494" s="267">
        <f t="shared" ref="Q494:Q502" si="136">ROUND(G494*O494,0)</f>
        <v>24654</v>
      </c>
      <c r="R494" s="267"/>
      <c r="S494" s="267"/>
      <c r="T494" s="267"/>
      <c r="U494" s="267"/>
      <c r="V494" s="267"/>
      <c r="W494" s="267"/>
      <c r="X494" s="267"/>
      <c r="Y494" s="267"/>
      <c r="Z494" s="267"/>
      <c r="AA494" s="267"/>
      <c r="AB494" s="260"/>
      <c r="AC494" s="354"/>
      <c r="AD494" s="354"/>
      <c r="AE494" s="354"/>
      <c r="AF494" s="279">
        <f t="shared" ref="AF494:AF502" si="137">O494/I494-1</f>
        <v>0</v>
      </c>
    </row>
    <row r="495" spans="2:32">
      <c r="B495" s="275" t="s">
        <v>218</v>
      </c>
      <c r="E495" s="102">
        <v>18614.265573770499</v>
      </c>
      <c r="G495" s="102">
        <f t="shared" si="132"/>
        <v>16472</v>
      </c>
      <c r="I495" s="99">
        <v>6.16</v>
      </c>
      <c r="J495" s="276"/>
      <c r="K495" s="267">
        <f t="shared" si="133"/>
        <v>114664</v>
      </c>
      <c r="M495" s="267">
        <f t="shared" si="134"/>
        <v>101468</v>
      </c>
      <c r="O495" s="99">
        <f t="shared" si="135"/>
        <v>6.16</v>
      </c>
      <c r="P495" s="276"/>
      <c r="Q495" s="267">
        <f t="shared" si="136"/>
        <v>101468</v>
      </c>
      <c r="R495" s="267"/>
      <c r="S495" s="267"/>
      <c r="T495" s="267"/>
      <c r="U495" s="267"/>
      <c r="V495" s="267"/>
      <c r="W495" s="267"/>
      <c r="X495" s="267"/>
      <c r="Y495" s="267"/>
      <c r="Z495" s="267"/>
      <c r="AA495" s="267"/>
      <c r="AB495" s="260"/>
      <c r="AC495" s="354"/>
      <c r="AD495" s="354"/>
      <c r="AE495" s="354"/>
      <c r="AF495" s="279">
        <f t="shared" si="137"/>
        <v>0</v>
      </c>
    </row>
    <row r="496" spans="2:32">
      <c r="B496" s="275" t="s">
        <v>128</v>
      </c>
      <c r="E496" s="102">
        <v>0</v>
      </c>
      <c r="G496" s="102">
        <f t="shared" si="132"/>
        <v>0</v>
      </c>
      <c r="I496" s="99">
        <v>5.55</v>
      </c>
      <c r="J496" s="276"/>
      <c r="K496" s="267">
        <f t="shared" si="133"/>
        <v>0</v>
      </c>
      <c r="M496" s="267">
        <f t="shared" si="134"/>
        <v>0</v>
      </c>
      <c r="O496" s="99">
        <f t="shared" si="135"/>
        <v>5.55</v>
      </c>
      <c r="P496" s="276"/>
      <c r="Q496" s="267">
        <f t="shared" si="136"/>
        <v>0</v>
      </c>
      <c r="R496" s="267"/>
      <c r="S496" s="267"/>
      <c r="T496" s="267"/>
      <c r="U496" s="267"/>
      <c r="V496" s="267"/>
      <c r="W496" s="267"/>
      <c r="X496" s="267"/>
      <c r="Y496" s="267"/>
      <c r="Z496" s="267"/>
      <c r="AA496" s="267"/>
      <c r="AB496" s="260"/>
      <c r="AC496" s="354"/>
      <c r="AD496" s="354"/>
      <c r="AE496" s="354"/>
      <c r="AF496" s="279">
        <f t="shared" si="137"/>
        <v>0</v>
      </c>
    </row>
    <row r="497" spans="2:32">
      <c r="B497" s="275" t="s">
        <v>219</v>
      </c>
      <c r="E497" s="102">
        <v>6088.2043301759104</v>
      </c>
      <c r="G497" s="102">
        <f t="shared" si="132"/>
        <v>5387</v>
      </c>
      <c r="I497" s="99">
        <v>7.47</v>
      </c>
      <c r="J497" s="276"/>
      <c r="K497" s="267">
        <f t="shared" si="133"/>
        <v>45479</v>
      </c>
      <c r="M497" s="267">
        <f t="shared" si="134"/>
        <v>40241</v>
      </c>
      <c r="O497" s="99">
        <f t="shared" si="135"/>
        <v>7.47</v>
      </c>
      <c r="P497" s="276"/>
      <c r="Q497" s="267">
        <f t="shared" si="136"/>
        <v>40241</v>
      </c>
      <c r="R497" s="267"/>
      <c r="S497" s="267"/>
      <c r="T497" s="267"/>
      <c r="U497" s="267"/>
      <c r="V497" s="267"/>
      <c r="W497" s="267"/>
      <c r="X497" s="267"/>
      <c r="Y497" s="267"/>
      <c r="Z497" s="267"/>
      <c r="AA497" s="267"/>
      <c r="AB497" s="260"/>
      <c r="AC497" s="354"/>
      <c r="AD497" s="354"/>
      <c r="AE497" s="354"/>
      <c r="AF497" s="279">
        <f t="shared" si="137"/>
        <v>0</v>
      </c>
    </row>
    <row r="498" spans="2:32">
      <c r="B498" s="275" t="s">
        <v>129</v>
      </c>
      <c r="E498" s="102">
        <v>0</v>
      </c>
      <c r="G498" s="102">
        <f t="shared" si="132"/>
        <v>0</v>
      </c>
      <c r="I498" s="99">
        <v>6.72</v>
      </c>
      <c r="J498" s="276"/>
      <c r="K498" s="267">
        <f t="shared" si="133"/>
        <v>0</v>
      </c>
      <c r="M498" s="267">
        <f t="shared" si="134"/>
        <v>0</v>
      </c>
      <c r="O498" s="99">
        <f t="shared" si="135"/>
        <v>6.72</v>
      </c>
      <c r="P498" s="276"/>
      <c r="Q498" s="267">
        <f t="shared" si="136"/>
        <v>0</v>
      </c>
      <c r="R498" s="267"/>
      <c r="S498" s="267"/>
      <c r="T498" s="267"/>
      <c r="U498" s="267"/>
      <c r="V498" s="267"/>
      <c r="W498" s="267"/>
      <c r="X498" s="267"/>
      <c r="Y498" s="267"/>
      <c r="Z498" s="267"/>
      <c r="AA498" s="267"/>
      <c r="AB498" s="260"/>
      <c r="AC498" s="354"/>
      <c r="AD498" s="354"/>
      <c r="AE498" s="354"/>
      <c r="AF498" s="279">
        <f t="shared" si="137"/>
        <v>0</v>
      </c>
    </row>
    <row r="499" spans="2:32">
      <c r="B499" s="275" t="s">
        <v>247</v>
      </c>
      <c r="E499" s="102">
        <v>0</v>
      </c>
      <c r="G499" s="102">
        <f t="shared" si="132"/>
        <v>0</v>
      </c>
      <c r="I499" s="99">
        <v>9.44</v>
      </c>
      <c r="J499" s="276"/>
      <c r="K499" s="267">
        <f t="shared" si="133"/>
        <v>0</v>
      </c>
      <c r="M499" s="267">
        <f t="shared" si="134"/>
        <v>0</v>
      </c>
      <c r="O499" s="99">
        <f t="shared" si="135"/>
        <v>9.44</v>
      </c>
      <c r="P499" s="276"/>
      <c r="Q499" s="267">
        <f t="shared" si="136"/>
        <v>0</v>
      </c>
      <c r="R499" s="267"/>
      <c r="S499" s="267"/>
      <c r="T499" s="267"/>
      <c r="U499" s="267"/>
      <c r="V499" s="267"/>
      <c r="W499" s="267"/>
      <c r="X499" s="267"/>
      <c r="Y499" s="267"/>
      <c r="Z499" s="267"/>
      <c r="AA499" s="267"/>
      <c r="AB499" s="260"/>
      <c r="AC499" s="354"/>
      <c r="AD499" s="354"/>
      <c r="AE499" s="354"/>
      <c r="AF499" s="279">
        <f t="shared" si="137"/>
        <v>0</v>
      </c>
    </row>
    <row r="500" spans="2:32">
      <c r="B500" s="275" t="s">
        <v>220</v>
      </c>
      <c r="E500" s="102">
        <v>3852.5073529411802</v>
      </c>
      <c r="G500" s="102">
        <f>ROUND(E500*$G$508/$E$508,0)</f>
        <v>3409</v>
      </c>
      <c r="I500" s="99">
        <v>10.99</v>
      </c>
      <c r="J500" s="276"/>
      <c r="K500" s="267">
        <f t="shared" si="133"/>
        <v>42339</v>
      </c>
      <c r="M500" s="267">
        <f t="shared" si="134"/>
        <v>37465</v>
      </c>
      <c r="O500" s="99">
        <f t="shared" si="135"/>
        <v>10.99</v>
      </c>
      <c r="P500" s="276"/>
      <c r="Q500" s="267">
        <f t="shared" si="136"/>
        <v>37465</v>
      </c>
      <c r="R500" s="267"/>
      <c r="S500" s="267"/>
      <c r="T500" s="267"/>
      <c r="U500" s="267"/>
      <c r="V500" s="267"/>
      <c r="W500" s="267"/>
      <c r="X500" s="267"/>
      <c r="Y500" s="267"/>
      <c r="Z500" s="267"/>
      <c r="AA500" s="267"/>
      <c r="AB500" s="260"/>
      <c r="AC500" s="354"/>
      <c r="AD500" s="354"/>
      <c r="AE500" s="354"/>
      <c r="AF500" s="279">
        <f t="shared" si="137"/>
        <v>0</v>
      </c>
    </row>
    <row r="501" spans="2:32">
      <c r="B501" s="275" t="s">
        <v>221</v>
      </c>
      <c r="E501" s="102">
        <v>2706.9287066246102</v>
      </c>
      <c r="G501" s="102">
        <f t="shared" si="132"/>
        <v>2395</v>
      </c>
      <c r="I501" s="99">
        <v>16.02</v>
      </c>
      <c r="J501" s="276"/>
      <c r="K501" s="267">
        <f t="shared" si="133"/>
        <v>43365</v>
      </c>
      <c r="M501" s="267">
        <f t="shared" si="134"/>
        <v>38368</v>
      </c>
      <c r="O501" s="99">
        <f t="shared" si="135"/>
        <v>16.02</v>
      </c>
      <c r="P501" s="276"/>
      <c r="Q501" s="267">
        <f t="shared" si="136"/>
        <v>38368</v>
      </c>
      <c r="R501" s="267"/>
      <c r="S501" s="267"/>
      <c r="T501" s="267"/>
      <c r="U501" s="267"/>
      <c r="V501" s="267"/>
      <c r="W501" s="267"/>
      <c r="X501" s="267"/>
      <c r="Y501" s="267"/>
      <c r="Z501" s="267"/>
      <c r="AA501" s="267"/>
      <c r="AB501" s="260"/>
      <c r="AC501" s="354"/>
      <c r="AD501" s="354"/>
      <c r="AE501" s="354"/>
      <c r="AF501" s="279">
        <f t="shared" si="137"/>
        <v>0</v>
      </c>
    </row>
    <row r="502" spans="2:32">
      <c r="B502" s="275" t="s">
        <v>130</v>
      </c>
      <c r="E502" s="102">
        <v>0</v>
      </c>
      <c r="G502" s="102">
        <f t="shared" si="132"/>
        <v>0</v>
      </c>
      <c r="I502" s="276">
        <v>14.42</v>
      </c>
      <c r="J502" s="299"/>
      <c r="K502" s="267">
        <f t="shared" si="133"/>
        <v>0</v>
      </c>
      <c r="M502" s="267">
        <f t="shared" si="134"/>
        <v>0</v>
      </c>
      <c r="O502" s="276">
        <f t="shared" si="135"/>
        <v>14.42</v>
      </c>
      <c r="P502" s="299"/>
      <c r="Q502" s="301">
        <f t="shared" si="136"/>
        <v>0</v>
      </c>
      <c r="R502" s="301"/>
      <c r="S502" s="301"/>
      <c r="T502" s="301"/>
      <c r="U502" s="301"/>
      <c r="V502" s="301"/>
      <c r="W502" s="301"/>
      <c r="X502" s="301"/>
      <c r="Y502" s="301"/>
      <c r="Z502" s="301"/>
      <c r="AA502" s="301"/>
      <c r="AB502" s="260"/>
      <c r="AC502" s="354"/>
      <c r="AD502" s="354"/>
      <c r="AE502" s="354"/>
      <c r="AF502" s="279">
        <f t="shared" si="137"/>
        <v>0</v>
      </c>
    </row>
    <row r="503" spans="2:32">
      <c r="B503" s="333" t="s">
        <v>222</v>
      </c>
      <c r="E503" s="102"/>
      <c r="G503" s="102"/>
      <c r="AB503" s="260"/>
      <c r="AC503" s="354"/>
      <c r="AD503" s="354"/>
      <c r="AE503" s="354"/>
    </row>
    <row r="504" spans="2:32">
      <c r="B504" s="275" t="s">
        <v>224</v>
      </c>
      <c r="E504" s="102">
        <v>1202.8664072632901</v>
      </c>
      <c r="G504" s="102">
        <f>ROUND(E504*$G$508/$E$508,0)</f>
        <v>1064</v>
      </c>
      <c r="I504" s="99">
        <v>15.58</v>
      </c>
      <c r="J504" s="276"/>
      <c r="K504" s="267">
        <f>ROUND(E504*$I504,0)</f>
        <v>18741</v>
      </c>
      <c r="M504" s="267">
        <f>ROUND(G504*$I504,0)</f>
        <v>16577</v>
      </c>
      <c r="O504" s="99">
        <f>ROUND(I504*(1+$AD$431),2)</f>
        <v>15.58</v>
      </c>
      <c r="P504" s="276"/>
      <c r="Q504" s="267">
        <f>ROUND(G504*O504,0)</f>
        <v>16577</v>
      </c>
      <c r="R504" s="267"/>
      <c r="S504" s="267"/>
      <c r="T504" s="267"/>
      <c r="U504" s="267"/>
      <c r="V504" s="267"/>
      <c r="W504" s="267"/>
      <c r="X504" s="267"/>
      <c r="Y504" s="267"/>
      <c r="Z504" s="267"/>
      <c r="AA504" s="267"/>
      <c r="AB504" s="260"/>
      <c r="AC504" s="354"/>
      <c r="AD504" s="354"/>
      <c r="AE504" s="354"/>
      <c r="AF504" s="279">
        <f t="shared" ref="AF504:AF507" si="138">O504/I504-1</f>
        <v>0</v>
      </c>
    </row>
    <row r="505" spans="2:32">
      <c r="B505" s="275" t="s">
        <v>225</v>
      </c>
      <c r="E505" s="102">
        <v>709.59987154784801</v>
      </c>
      <c r="G505" s="102">
        <f>ROUND(E505*$G$508/$E$508,0)</f>
        <v>628</v>
      </c>
      <c r="I505" s="99">
        <v>15.73</v>
      </c>
      <c r="J505" s="276"/>
      <c r="K505" s="267">
        <f>ROUND(E505*$I505,0)</f>
        <v>11162</v>
      </c>
      <c r="M505" s="267">
        <f>ROUND(G505*$I505,0)</f>
        <v>9878</v>
      </c>
      <c r="O505" s="99">
        <f>ROUND(I505*(1+$AD$431),2)</f>
        <v>15.73</v>
      </c>
      <c r="P505" s="276"/>
      <c r="Q505" s="267">
        <f>ROUND(G505*O505,0)</f>
        <v>9878</v>
      </c>
      <c r="R505" s="267"/>
      <c r="S505" s="267"/>
      <c r="T505" s="267"/>
      <c r="U505" s="267"/>
      <c r="V505" s="267"/>
      <c r="W505" s="267"/>
      <c r="X505" s="267"/>
      <c r="Y505" s="267"/>
      <c r="Z505" s="267"/>
      <c r="AA505" s="267"/>
      <c r="AB505" s="260"/>
      <c r="AC505" s="354"/>
      <c r="AD505" s="354"/>
      <c r="AE505" s="354"/>
      <c r="AF505" s="279">
        <f t="shared" si="138"/>
        <v>0</v>
      </c>
    </row>
    <row r="506" spans="2:32">
      <c r="B506" s="275" t="s">
        <v>226</v>
      </c>
      <c r="E506" s="102">
        <v>963.81993957703901</v>
      </c>
      <c r="G506" s="102">
        <f>ROUND(E506*$G$508/$E$508,0)</f>
        <v>853</v>
      </c>
      <c r="I506" s="99">
        <v>16.72</v>
      </c>
      <c r="J506" s="276"/>
      <c r="K506" s="267">
        <f>ROUND(E506*$I506,0)</f>
        <v>16115</v>
      </c>
      <c r="M506" s="267">
        <f>ROUND(G506*$I506,0)</f>
        <v>14262</v>
      </c>
      <c r="O506" s="99">
        <f>ROUND(I506*(1+$AD$431),2)</f>
        <v>16.72</v>
      </c>
      <c r="P506" s="276"/>
      <c r="Q506" s="267">
        <f>ROUND(G506*O506,0)</f>
        <v>14262</v>
      </c>
      <c r="R506" s="267"/>
      <c r="S506" s="267"/>
      <c r="T506" s="267"/>
      <c r="U506" s="267"/>
      <c r="V506" s="267"/>
      <c r="W506" s="267"/>
      <c r="X506" s="267"/>
      <c r="Y506" s="267"/>
      <c r="Z506" s="267"/>
      <c r="AA506" s="267"/>
      <c r="AB506" s="260"/>
      <c r="AC506" s="354"/>
      <c r="AD506" s="354"/>
      <c r="AE506" s="354"/>
      <c r="AF506" s="279">
        <f t="shared" si="138"/>
        <v>0</v>
      </c>
    </row>
    <row r="507" spans="2:32">
      <c r="B507" s="275" t="s">
        <v>131</v>
      </c>
      <c r="E507" s="103">
        <v>96</v>
      </c>
      <c r="G507" s="102">
        <f>ROUND(E507*$G$508/$E$508,0)</f>
        <v>85</v>
      </c>
      <c r="I507" s="364">
        <v>33.049999999999997</v>
      </c>
      <c r="J507" s="276"/>
      <c r="K507" s="339">
        <f>ROUND(E507*$I507,0)</f>
        <v>3173</v>
      </c>
      <c r="M507" s="339">
        <f>ROUND(G507*$I507,0)</f>
        <v>2809</v>
      </c>
      <c r="O507" s="364">
        <f>ROUND(I507*(1+$AD$431),2)</f>
        <v>33.049999999999997</v>
      </c>
      <c r="P507" s="276"/>
      <c r="Q507" s="308">
        <f>ROUND(G507*O507,0)</f>
        <v>2809</v>
      </c>
      <c r="R507" s="301"/>
      <c r="S507" s="301"/>
      <c r="T507" s="301"/>
      <c r="U507" s="301"/>
      <c r="V507" s="301"/>
      <c r="W507" s="301"/>
      <c r="X507" s="301"/>
      <c r="Y507" s="301"/>
      <c r="Z507" s="301"/>
      <c r="AA507" s="301"/>
      <c r="AB507" s="260"/>
      <c r="AC507" s="354"/>
      <c r="AD507" s="354"/>
      <c r="AE507" s="354"/>
      <c r="AF507" s="279">
        <f t="shared" si="138"/>
        <v>0</v>
      </c>
    </row>
    <row r="508" spans="2:32">
      <c r="B508" s="333" t="s">
        <v>228</v>
      </c>
      <c r="E508" s="280">
        <v>2389355.8753662789</v>
      </c>
      <c r="G508" s="280">
        <f>G510</f>
        <v>2114324</v>
      </c>
      <c r="I508" s="276"/>
      <c r="J508" s="286"/>
      <c r="K508" s="301">
        <f>SUM(K487:K507)</f>
        <v>327320</v>
      </c>
      <c r="M508" s="301">
        <f>SUM(M487:M507)</f>
        <v>289644</v>
      </c>
      <c r="O508" s="362"/>
      <c r="P508" s="276"/>
      <c r="Q508" s="301">
        <f>SUM(Q487:Q507)</f>
        <v>289644</v>
      </c>
      <c r="R508" s="301"/>
      <c r="S508" s="301"/>
      <c r="T508" s="301"/>
      <c r="U508" s="301"/>
      <c r="V508" s="301"/>
      <c r="W508" s="301"/>
      <c r="X508" s="301"/>
      <c r="Y508" s="301"/>
      <c r="Z508" s="301"/>
      <c r="AA508" s="301"/>
      <c r="AB508" s="260"/>
      <c r="AC508" s="354"/>
      <c r="AD508" s="354"/>
      <c r="AE508" s="354"/>
    </row>
    <row r="509" spans="2:32">
      <c r="B509" s="333" t="s">
        <v>264</v>
      </c>
      <c r="E509" s="280">
        <v>40470</v>
      </c>
      <c r="G509" s="280"/>
      <c r="I509" s="276"/>
      <c r="J509" s="286"/>
      <c r="K509" s="301">
        <v>4712</v>
      </c>
      <c r="M509" s="301"/>
      <c r="O509" s="362"/>
      <c r="P509" s="276"/>
      <c r="Q509" s="301"/>
      <c r="R509" s="301"/>
      <c r="S509" s="301"/>
      <c r="T509" s="301"/>
      <c r="U509" s="301"/>
      <c r="V509" s="301"/>
      <c r="W509" s="301"/>
      <c r="X509" s="301"/>
      <c r="Y509" s="301"/>
      <c r="Z509" s="301"/>
      <c r="AA509" s="301"/>
      <c r="AB509" s="260"/>
      <c r="AC509" s="354"/>
      <c r="AD509" s="354"/>
      <c r="AE509" s="354"/>
    </row>
    <row r="510" spans="2:32">
      <c r="B510" s="333" t="s">
        <v>213</v>
      </c>
      <c r="E510" s="280">
        <f>SUM(E508:E509)</f>
        <v>2429825.8753662789</v>
      </c>
      <c r="G510" s="280">
        <v>2114324</v>
      </c>
      <c r="I510" s="276"/>
      <c r="J510" s="286"/>
      <c r="K510" s="301">
        <f>SUM(K508:K509)</f>
        <v>332032</v>
      </c>
      <c r="M510" s="301">
        <f>SUM(M508:M509)</f>
        <v>289644</v>
      </c>
      <c r="O510" s="362"/>
      <c r="P510" s="276"/>
      <c r="Q510" s="301">
        <f>SUM(Q508:Q509)</f>
        <v>289644</v>
      </c>
      <c r="R510" s="301"/>
      <c r="S510" s="301"/>
      <c r="T510" s="301"/>
      <c r="U510" s="301"/>
      <c r="V510" s="301"/>
      <c r="W510" s="301"/>
      <c r="X510" s="301"/>
      <c r="Y510" s="301"/>
      <c r="Z510" s="301"/>
      <c r="AA510" s="301"/>
      <c r="AB510" s="260"/>
      <c r="AC510" s="354"/>
      <c r="AD510" s="354"/>
      <c r="AE510" s="354"/>
    </row>
    <row r="511" spans="2:32">
      <c r="B511" s="333" t="s">
        <v>229</v>
      </c>
      <c r="E511" s="280">
        <v>115.25</v>
      </c>
      <c r="G511" s="280">
        <v>102.33333333333333</v>
      </c>
      <c r="I511" s="362"/>
      <c r="J511" s="286"/>
      <c r="K511" s="301"/>
      <c r="M511" s="301"/>
      <c r="O511" s="362"/>
      <c r="P511" s="276"/>
      <c r="Q511" s="301"/>
      <c r="R511" s="301"/>
      <c r="S511" s="301"/>
      <c r="T511" s="301"/>
      <c r="U511" s="301"/>
      <c r="V511" s="301"/>
      <c r="W511" s="301"/>
      <c r="X511" s="301"/>
      <c r="Y511" s="301"/>
      <c r="Z511" s="301"/>
      <c r="AA511" s="301"/>
      <c r="AB511" s="260"/>
      <c r="AC511" s="354"/>
      <c r="AD511" s="354"/>
      <c r="AE511" s="354"/>
    </row>
    <row r="512" spans="2:32">
      <c r="B512" s="275"/>
      <c r="E512" s="103"/>
      <c r="G512" s="103"/>
      <c r="I512" s="276"/>
      <c r="J512" s="276"/>
      <c r="K512" s="301"/>
      <c r="M512" s="301"/>
      <c r="O512" s="276"/>
      <c r="P512" s="276"/>
      <c r="Q512" s="308"/>
      <c r="R512" s="301"/>
      <c r="S512" s="301"/>
      <c r="T512" s="301"/>
      <c r="U512" s="301"/>
      <c r="V512" s="301"/>
      <c r="W512" s="301"/>
      <c r="X512" s="301"/>
      <c r="Y512" s="301"/>
      <c r="Z512" s="301"/>
      <c r="AA512" s="301"/>
      <c r="AB512" s="260"/>
      <c r="AC512" s="354"/>
      <c r="AD512" s="354"/>
      <c r="AE512" s="354"/>
    </row>
    <row r="513" spans="2:32">
      <c r="B513" s="275" t="s">
        <v>132</v>
      </c>
      <c r="E513" s="357">
        <f>E438+E481+E508</f>
        <v>55413003.206282124</v>
      </c>
      <c r="G513" s="357">
        <f>G516</f>
        <v>55429429</v>
      </c>
      <c r="I513" s="352"/>
      <c r="K513" s="308">
        <f>K438+K481+K508</f>
        <v>4138073</v>
      </c>
      <c r="M513" s="308">
        <f>M438+M481+M508</f>
        <v>4058813</v>
      </c>
      <c r="O513" s="352"/>
      <c r="Q513" s="308">
        <f>Q438+Q481+Q508</f>
        <v>4058813</v>
      </c>
      <c r="R513" s="301"/>
      <c r="S513" s="301"/>
      <c r="T513" s="301"/>
      <c r="U513" s="301"/>
      <c r="V513" s="301"/>
      <c r="W513" s="301"/>
      <c r="X513" s="301"/>
      <c r="Y513" s="301"/>
      <c r="Z513" s="301"/>
      <c r="AA513" s="301"/>
      <c r="AB513" s="309"/>
      <c r="AC513" s="354"/>
      <c r="AD513" s="354"/>
      <c r="AE513" s="354"/>
    </row>
    <row r="514" spans="2:32">
      <c r="B514" s="275" t="s">
        <v>380</v>
      </c>
      <c r="E514" s="270">
        <f>E441+E484+E511</f>
        <v>792.41666666666595</v>
      </c>
      <c r="G514" s="270">
        <f>G441+G484+G511</f>
        <v>781.66666666666674</v>
      </c>
      <c r="AB514" s="309"/>
      <c r="AC514" s="354"/>
      <c r="AD514" s="354"/>
      <c r="AE514" s="354"/>
    </row>
    <row r="515" spans="2:32">
      <c r="B515" s="275" t="s">
        <v>264</v>
      </c>
      <c r="E515" s="357">
        <f>E439+E482+E509</f>
        <v>929157</v>
      </c>
      <c r="G515" s="357"/>
      <c r="I515" s="352"/>
      <c r="K515" s="308">
        <f>K439+K482+K509</f>
        <v>59178</v>
      </c>
      <c r="M515" s="308">
        <v>0</v>
      </c>
      <c r="O515" s="352"/>
      <c r="Q515" s="308">
        <v>0</v>
      </c>
      <c r="R515" s="301"/>
      <c r="S515" s="301"/>
      <c r="T515" s="301"/>
      <c r="U515" s="301"/>
      <c r="V515" s="301"/>
      <c r="W515" s="301"/>
      <c r="X515" s="301"/>
      <c r="Y515" s="301"/>
      <c r="Z515" s="301"/>
      <c r="AA515" s="301"/>
      <c r="AB515" s="260"/>
      <c r="AC515" s="354"/>
      <c r="AD515" s="354"/>
      <c r="AE515" s="354"/>
    </row>
    <row r="516" spans="2:32" ht="16.5" thickBot="1">
      <c r="B516" s="275" t="s">
        <v>213</v>
      </c>
      <c r="E516" s="356">
        <f>E515+E513</f>
        <v>56342160.206282124</v>
      </c>
      <c r="G516" s="356">
        <f>G440+G483+G510</f>
        <v>55429429</v>
      </c>
      <c r="I516" s="358"/>
      <c r="J516" s="359"/>
      <c r="K516" s="358">
        <f>K515+K513</f>
        <v>4197251</v>
      </c>
      <c r="M516" s="358">
        <f>M515+M513</f>
        <v>4058813</v>
      </c>
      <c r="O516" s="358"/>
      <c r="P516" s="359"/>
      <c r="Q516" s="358">
        <f>Q515+Q513</f>
        <v>4058813</v>
      </c>
      <c r="R516" s="359"/>
      <c r="S516" s="359"/>
      <c r="T516" s="359"/>
      <c r="U516" s="359"/>
      <c r="V516" s="359"/>
      <c r="W516" s="359"/>
      <c r="X516" s="359"/>
      <c r="Y516" s="359"/>
      <c r="Z516" s="359"/>
      <c r="AA516" s="359"/>
      <c r="AB516" s="260"/>
      <c r="AC516" s="315">
        <f>Q516/M516-1</f>
        <v>0</v>
      </c>
      <c r="AD516" s="354"/>
      <c r="AE516" s="354"/>
    </row>
    <row r="517" spans="2:32" ht="16.5" thickTop="1">
      <c r="B517" s="275"/>
      <c r="E517" s="365"/>
      <c r="G517" s="365"/>
      <c r="I517" s="265"/>
      <c r="K517" s="301"/>
      <c r="M517" s="301"/>
      <c r="O517" s="265"/>
      <c r="Q517" s="301"/>
      <c r="R517" s="301"/>
      <c r="S517" s="301"/>
      <c r="T517" s="301"/>
      <c r="U517" s="301"/>
      <c r="V517" s="301"/>
      <c r="W517" s="301"/>
      <c r="X517" s="301"/>
      <c r="Y517" s="301"/>
      <c r="Z517" s="301"/>
      <c r="AA517" s="301"/>
      <c r="AB517" s="260"/>
      <c r="AC517" s="354"/>
      <c r="AD517" s="354"/>
      <c r="AE517" s="354"/>
    </row>
    <row r="518" spans="2:32">
      <c r="B518" s="363" t="s">
        <v>133</v>
      </c>
      <c r="E518" s="102"/>
      <c r="G518" s="102"/>
      <c r="AB518" s="267"/>
      <c r="AC518" s="354"/>
      <c r="AD518" s="354"/>
      <c r="AE518" s="354"/>
    </row>
    <row r="519" spans="2:32">
      <c r="B519" s="275" t="s">
        <v>134</v>
      </c>
      <c r="E519" s="102">
        <v>20184.576162614601</v>
      </c>
      <c r="G519" s="102">
        <f>ROUND(E519*G523/E523,0)</f>
        <v>20558</v>
      </c>
      <c r="I519" s="99">
        <v>11</v>
      </c>
      <c r="J519" s="276"/>
      <c r="K519" s="267">
        <f>ROUND(E519*$I519,0)</f>
        <v>222030</v>
      </c>
      <c r="M519" s="267">
        <f>ROUND(G519*$I519,0)</f>
        <v>226138</v>
      </c>
      <c r="O519" s="99">
        <f>MROUND(I519*(1+$AD$523),0.5)</f>
        <v>11</v>
      </c>
      <c r="P519" s="276"/>
      <c r="Q519" s="267">
        <f>ROUND(G519*O519,0)</f>
        <v>226138</v>
      </c>
      <c r="R519" s="267"/>
      <c r="S519" s="267"/>
      <c r="T519" s="267"/>
      <c r="U519" s="267"/>
      <c r="V519" s="267"/>
      <c r="W519" s="267"/>
      <c r="X519" s="267"/>
      <c r="Y519" s="267"/>
      <c r="Z519" s="267"/>
      <c r="AA519" s="267"/>
      <c r="AB519" s="267"/>
      <c r="AC519" s="277" t="s">
        <v>308</v>
      </c>
      <c r="AD519" s="278">
        <f>Q525</f>
        <v>1144626</v>
      </c>
      <c r="AE519" s="354"/>
      <c r="AF519" s="279">
        <f t="shared" ref="AF519:AF523" si="139">O519/I519-1</f>
        <v>0</v>
      </c>
    </row>
    <row r="520" spans="2:32">
      <c r="B520" s="275" t="s">
        <v>135</v>
      </c>
      <c r="E520" s="102">
        <v>443.92577717459744</v>
      </c>
      <c r="G520" s="102">
        <f>ROUND(E520*G522/E522,0)</f>
        <v>531</v>
      </c>
      <c r="I520" s="99">
        <v>72.5</v>
      </c>
      <c r="J520" s="276"/>
      <c r="K520" s="267">
        <f>ROUND(E520*$I520,0)</f>
        <v>32185</v>
      </c>
      <c r="M520" s="267">
        <f>ROUND(G520*$I520,0)</f>
        <v>38498</v>
      </c>
      <c r="O520" s="99">
        <f>MROUND(I520*(1+$AD$523),0.5)</f>
        <v>72.5</v>
      </c>
      <c r="P520" s="276"/>
      <c r="Q520" s="267">
        <f>ROUND(G520*O520,0)</f>
        <v>38498</v>
      </c>
      <c r="R520" s="267"/>
      <c r="S520" s="267"/>
      <c r="T520" s="267"/>
      <c r="U520" s="267"/>
      <c r="V520" s="267"/>
      <c r="W520" s="267"/>
      <c r="X520" s="267"/>
      <c r="Y520" s="267"/>
      <c r="Z520" s="267"/>
      <c r="AA520" s="267"/>
      <c r="AB520" s="267"/>
      <c r="AC520" s="281" t="s">
        <v>310</v>
      </c>
      <c r="AD520" s="282">
        <f>(RateSpread!M44)*1000</f>
        <v>1144626</v>
      </c>
      <c r="AE520" s="354"/>
      <c r="AF520" s="279">
        <f t="shared" si="139"/>
        <v>0</v>
      </c>
    </row>
    <row r="521" spans="2:32">
      <c r="B521" s="275" t="s">
        <v>136</v>
      </c>
      <c r="E521" s="366">
        <v>0</v>
      </c>
      <c r="G521" s="102">
        <f>ROUND(E521*G522/E522,0)</f>
        <v>0</v>
      </c>
      <c r="I521" s="99">
        <v>127.5</v>
      </c>
      <c r="J521" s="276"/>
      <c r="K521" s="267">
        <f>ROUND(E521*$I521,0)</f>
        <v>0</v>
      </c>
      <c r="M521" s="267">
        <f>ROUND(G521*$I521,0)</f>
        <v>0</v>
      </c>
      <c r="O521" s="99">
        <f>O519*5+O520</f>
        <v>127.5</v>
      </c>
      <c r="P521" s="276"/>
      <c r="Q521" s="267">
        <f>ROUND(G521*O521,0)</f>
        <v>0</v>
      </c>
      <c r="R521" s="267"/>
      <c r="S521" s="267"/>
      <c r="T521" s="267"/>
      <c r="U521" s="267"/>
      <c r="V521" s="267"/>
      <c r="W521" s="267"/>
      <c r="X521" s="267"/>
      <c r="Y521" s="267"/>
      <c r="Z521" s="267"/>
      <c r="AA521" s="267"/>
      <c r="AB521" s="260"/>
      <c r="AC521" s="283" t="s">
        <v>312</v>
      </c>
      <c r="AD521" s="284">
        <f>AD520-AD519</f>
        <v>0</v>
      </c>
      <c r="AE521" s="354"/>
      <c r="AF521" s="279">
        <f t="shared" si="139"/>
        <v>0</v>
      </c>
    </row>
    <row r="522" spans="2:32">
      <c r="B522" s="275" t="s">
        <v>137</v>
      </c>
      <c r="E522" s="102">
        <v>5405.0130932896909</v>
      </c>
      <c r="G522" s="102">
        <v>6467</v>
      </c>
      <c r="I522" s="99">
        <v>6.2</v>
      </c>
      <c r="J522" s="276"/>
      <c r="K522" s="267">
        <f>ROUND(E522*$I522,0)</f>
        <v>33511</v>
      </c>
      <c r="M522" s="267">
        <f>ROUND(G522*$I522,0)</f>
        <v>40095</v>
      </c>
      <c r="O522" s="99">
        <f>MROUND(I522*(1+$AD$523),0.2)</f>
        <v>6.2</v>
      </c>
      <c r="P522" s="276"/>
      <c r="Q522" s="267">
        <f>ROUND(G522*O522,0)</f>
        <v>40095</v>
      </c>
      <c r="R522" s="267"/>
      <c r="S522" s="267"/>
      <c r="T522" s="267"/>
      <c r="U522" s="267"/>
      <c r="V522" s="267"/>
      <c r="W522" s="267"/>
      <c r="X522" s="267"/>
      <c r="Y522" s="267"/>
      <c r="Z522" s="267"/>
      <c r="AA522" s="267"/>
      <c r="AB522" s="260"/>
      <c r="AC522" s="287" t="s">
        <v>315</v>
      </c>
      <c r="AD522" s="323">
        <f>AD519/(M525)-1</f>
        <v>0</v>
      </c>
      <c r="AE522" s="354"/>
      <c r="AF522" s="279">
        <f t="shared" si="139"/>
        <v>0</v>
      </c>
    </row>
    <row r="523" spans="2:32">
      <c r="B523" s="275" t="s">
        <v>138</v>
      </c>
      <c r="E523" s="102">
        <v>15432320</v>
      </c>
      <c r="G523" s="102">
        <v>15717486</v>
      </c>
      <c r="I523" s="345">
        <v>5.3437000000000001</v>
      </c>
      <c r="J523" s="286" t="s">
        <v>314</v>
      </c>
      <c r="K523" s="267">
        <f>ROUND(E523*$I523/100,0)</f>
        <v>824657</v>
      </c>
      <c r="M523" s="267">
        <f>ROUND(G523*$I523/100,0)</f>
        <v>839895</v>
      </c>
      <c r="O523" s="341">
        <f>ROUND((AD520-SUM(Q519:Q522))/G523*100,4)</f>
        <v>5.3437000000000001</v>
      </c>
      <c r="P523" s="286" t="s">
        <v>314</v>
      </c>
      <c r="Q523" s="267">
        <f>ROUND(G523*O523/100,0)</f>
        <v>839895</v>
      </c>
      <c r="R523" s="267"/>
      <c r="S523" s="267"/>
      <c r="T523" s="267"/>
      <c r="U523" s="267"/>
      <c r="V523" s="267"/>
      <c r="W523" s="267"/>
      <c r="X523" s="267"/>
      <c r="Y523" s="267"/>
      <c r="Z523" s="267"/>
      <c r="AA523" s="267"/>
      <c r="AB523" s="260"/>
      <c r="AC523" s="305" t="s">
        <v>317</v>
      </c>
      <c r="AD523" s="326">
        <f>AD520/(M525)-1</f>
        <v>0</v>
      </c>
      <c r="AE523" s="354"/>
      <c r="AF523" s="279">
        <f t="shared" si="139"/>
        <v>0</v>
      </c>
    </row>
    <row r="524" spans="2:32">
      <c r="B524" s="275" t="s">
        <v>139</v>
      </c>
      <c r="E524" s="103">
        <v>16904</v>
      </c>
      <c r="G524" s="103">
        <v>0</v>
      </c>
      <c r="K524" s="308">
        <v>1156</v>
      </c>
      <c r="M524" s="308">
        <v>0</v>
      </c>
      <c r="Q524" s="308">
        <v>0</v>
      </c>
      <c r="R524" s="301"/>
      <c r="S524" s="301"/>
      <c r="T524" s="301"/>
      <c r="U524" s="301"/>
      <c r="V524" s="301"/>
      <c r="W524" s="301"/>
      <c r="X524" s="301"/>
      <c r="Y524" s="301"/>
      <c r="Z524" s="301"/>
      <c r="AA524" s="301"/>
      <c r="AB524" s="260"/>
      <c r="AC524" s="273" t="s">
        <v>336</v>
      </c>
      <c r="AD524" s="336">
        <f>(Q525)/(M525)-1</f>
        <v>0</v>
      </c>
      <c r="AE524" s="354"/>
    </row>
    <row r="525" spans="2:32" ht="16.5" thickBot="1">
      <c r="B525" s="264" t="s">
        <v>213</v>
      </c>
      <c r="E525" s="325">
        <f>E523+E524</f>
        <v>15449224</v>
      </c>
      <c r="G525" s="325">
        <f>G523+G524</f>
        <v>15717486</v>
      </c>
      <c r="I525" s="318"/>
      <c r="K525" s="319">
        <f>SUM(K519:K524)</f>
        <v>1113539</v>
      </c>
      <c r="M525" s="319">
        <f>SUM(M519:M524)</f>
        <v>1144626</v>
      </c>
      <c r="O525" s="318"/>
      <c r="Q525" s="319">
        <f>SUM(Q519:Q524)</f>
        <v>1144626</v>
      </c>
      <c r="R525" s="301"/>
      <c r="S525" s="301"/>
      <c r="T525" s="301"/>
      <c r="U525" s="301"/>
      <c r="V525" s="301"/>
      <c r="W525" s="301"/>
      <c r="X525" s="301"/>
      <c r="Y525" s="301"/>
      <c r="Z525" s="301"/>
      <c r="AA525" s="301"/>
      <c r="AB525" s="260"/>
      <c r="AC525" s="315"/>
      <c r="AD525" s="354"/>
      <c r="AE525" s="354"/>
    </row>
    <row r="526" spans="2:32" ht="16.5" thickTop="1">
      <c r="E526" s="102"/>
      <c r="G526" s="102"/>
      <c r="AB526" s="260"/>
      <c r="AC526" s="354"/>
      <c r="AD526" s="354"/>
      <c r="AE526" s="354"/>
    </row>
    <row r="527" spans="2:32">
      <c r="B527" s="363" t="s">
        <v>140</v>
      </c>
      <c r="E527" s="102"/>
      <c r="G527" s="102"/>
      <c r="I527" s="265"/>
      <c r="K527" s="301"/>
      <c r="M527" s="301"/>
      <c r="O527" s="265"/>
      <c r="Q527" s="301"/>
      <c r="R527" s="301"/>
      <c r="S527" s="301"/>
      <c r="T527" s="301"/>
      <c r="U527" s="301"/>
      <c r="V527" s="301"/>
      <c r="W527" s="301"/>
      <c r="X527" s="301"/>
      <c r="Y527" s="301"/>
      <c r="Z527" s="301"/>
      <c r="AA527" s="301"/>
      <c r="AB527" s="260"/>
      <c r="AC527" s="277" t="s">
        <v>308</v>
      </c>
      <c r="AD527" s="278">
        <f>Q531</f>
        <v>612359</v>
      </c>
      <c r="AE527" s="354"/>
    </row>
    <row r="528" spans="2:32">
      <c r="B528" s="275" t="s">
        <v>141</v>
      </c>
      <c r="E528" s="102">
        <v>27365.473023923787</v>
      </c>
      <c r="G528" s="102">
        <v>29744</v>
      </c>
      <c r="I528" s="99">
        <v>5</v>
      </c>
      <c r="J528" s="276"/>
      <c r="K528" s="267">
        <f>ROUND(E528*$I528,0)</f>
        <v>136827</v>
      </c>
      <c r="M528" s="267">
        <f>ROUND(G528*$I528,0)</f>
        <v>148720</v>
      </c>
      <c r="O528" s="99">
        <f>MROUND(I528*(1+$AD$531),0.5)</f>
        <v>5</v>
      </c>
      <c r="P528" s="276"/>
      <c r="Q528" s="267">
        <f>ROUND(G528*O528,0)</f>
        <v>148720</v>
      </c>
      <c r="R528" s="267"/>
      <c r="S528" s="267"/>
      <c r="T528" s="267"/>
      <c r="U528" s="267"/>
      <c r="V528" s="267"/>
      <c r="W528" s="267"/>
      <c r="X528" s="267"/>
      <c r="Y528" s="267"/>
      <c r="Z528" s="267"/>
      <c r="AA528" s="267"/>
      <c r="AB528" s="260"/>
      <c r="AC528" s="281" t="s">
        <v>310</v>
      </c>
      <c r="AD528" s="282">
        <f>(RateSpread!M45)*1000</f>
        <v>612356</v>
      </c>
      <c r="AE528" s="354"/>
      <c r="AF528" s="279">
        <f t="shared" ref="AF528:AF529" si="140">O528/I528-1</f>
        <v>0</v>
      </c>
    </row>
    <row r="529" spans="2:34">
      <c r="B529" s="275" t="s">
        <v>138</v>
      </c>
      <c r="E529" s="102">
        <v>5659986.0126479864</v>
      </c>
      <c r="G529" s="102">
        <v>5662763</v>
      </c>
      <c r="I529" s="346">
        <v>7.7024999999999997</v>
      </c>
      <c r="J529" s="286" t="s">
        <v>314</v>
      </c>
      <c r="K529" s="267">
        <f>ROUND(E529*$I529/100,0)</f>
        <v>435960</v>
      </c>
      <c r="M529" s="267">
        <f>ROUND(G529*$I529/100,0)</f>
        <v>436174</v>
      </c>
      <c r="O529" s="341">
        <f>ROUND((AD528-Q528)/G529*100,4)</f>
        <v>8.1875</v>
      </c>
      <c r="P529" s="286" t="s">
        <v>314</v>
      </c>
      <c r="Q529" s="267">
        <f>ROUND(G529*O529/100,0)</f>
        <v>463639</v>
      </c>
      <c r="R529" s="267"/>
      <c r="S529" s="267"/>
      <c r="T529" s="267"/>
      <c r="U529" s="267"/>
      <c r="V529" s="267"/>
      <c r="W529" s="267"/>
      <c r="X529" s="267"/>
      <c r="Y529" s="267"/>
      <c r="Z529" s="267"/>
      <c r="AA529" s="267"/>
      <c r="AB529" s="260"/>
      <c r="AC529" s="283" t="s">
        <v>312</v>
      </c>
      <c r="AD529" s="284">
        <f>AD528-AD527</f>
        <v>-3</v>
      </c>
      <c r="AE529" s="354"/>
      <c r="AF529" s="279">
        <f t="shared" si="140"/>
        <v>6.2966569295683339E-2</v>
      </c>
    </row>
    <row r="530" spans="2:34">
      <c r="B530" s="275" t="s">
        <v>139</v>
      </c>
      <c r="E530" s="367">
        <v>65313</v>
      </c>
      <c r="G530" s="103">
        <v>0</v>
      </c>
      <c r="K530" s="308">
        <v>5342.9400000000023</v>
      </c>
      <c r="M530" s="308">
        <v>0</v>
      </c>
      <c r="Q530" s="308">
        <v>0</v>
      </c>
      <c r="R530" s="301"/>
      <c r="S530" s="301"/>
      <c r="T530" s="301"/>
      <c r="U530" s="301"/>
      <c r="V530" s="301"/>
      <c r="W530" s="301"/>
      <c r="X530" s="301"/>
      <c r="Y530" s="301"/>
      <c r="Z530" s="301"/>
      <c r="AA530" s="301"/>
      <c r="AB530" s="267"/>
      <c r="AC530" s="287" t="s">
        <v>315</v>
      </c>
      <c r="AD530" s="323">
        <f>AD527/M531-1</f>
        <v>4.6957226437611022E-2</v>
      </c>
      <c r="AE530" s="354"/>
    </row>
    <row r="531" spans="2:34" ht="16.5" thickBot="1">
      <c r="B531" s="264" t="s">
        <v>213</v>
      </c>
      <c r="E531" s="325">
        <f>E529+E530</f>
        <v>5725299.0126479864</v>
      </c>
      <c r="G531" s="325">
        <f>G529+G530</f>
        <v>5662763</v>
      </c>
      <c r="I531" s="318"/>
      <c r="K531" s="319">
        <f>SUM(K528:K530)</f>
        <v>578129.93999999994</v>
      </c>
      <c r="M531" s="319">
        <f>SUM(M528:M530)</f>
        <v>584894</v>
      </c>
      <c r="O531" s="318"/>
      <c r="Q531" s="319">
        <f>SUM(Q528:Q530)</f>
        <v>612359</v>
      </c>
      <c r="R531" s="301"/>
      <c r="S531" s="301"/>
      <c r="T531" s="301"/>
      <c r="U531" s="301"/>
      <c r="V531" s="301"/>
      <c r="W531" s="301"/>
      <c r="X531" s="301"/>
      <c r="Y531" s="301"/>
      <c r="Z531" s="301"/>
      <c r="AA531" s="301"/>
      <c r="AB531" s="260"/>
      <c r="AC531" s="305" t="s">
        <v>317</v>
      </c>
      <c r="AD531" s="326">
        <f>AD528/M531-1</f>
        <v>4.6952097303101015E-2</v>
      </c>
    </row>
    <row r="532" spans="2:34" ht="16.5" thickTop="1">
      <c r="B532" s="275"/>
      <c r="E532" s="102"/>
      <c r="G532" s="102"/>
      <c r="I532" s="271"/>
      <c r="J532" s="368"/>
      <c r="K532" s="301"/>
      <c r="M532" s="301"/>
      <c r="O532" s="271"/>
      <c r="P532" s="368"/>
      <c r="Q532" s="301"/>
      <c r="R532" s="301"/>
      <c r="S532" s="301"/>
      <c r="T532" s="301"/>
      <c r="U532" s="301"/>
      <c r="V532" s="301"/>
      <c r="W532" s="301"/>
      <c r="X532" s="301"/>
      <c r="Y532" s="301"/>
      <c r="Z532" s="301"/>
      <c r="AA532" s="301"/>
      <c r="AB532" s="260"/>
      <c r="AC532" s="260"/>
    </row>
    <row r="533" spans="2:34">
      <c r="B533" s="272" t="s">
        <v>142</v>
      </c>
      <c r="E533" s="102"/>
      <c r="G533" s="102"/>
      <c r="AB533" s="260"/>
    </row>
    <row r="534" spans="2:34">
      <c r="B534" s="369" t="s">
        <v>143</v>
      </c>
      <c r="E534" s="102"/>
      <c r="G534" s="102"/>
      <c r="AB534" s="309"/>
      <c r="AC534" s="99"/>
      <c r="AD534" s="321"/>
    </row>
    <row r="535" spans="2:34">
      <c r="B535" s="275" t="s">
        <v>345</v>
      </c>
      <c r="E535" s="102">
        <v>35.9998974041822</v>
      </c>
      <c r="G535" s="280">
        <v>36</v>
      </c>
      <c r="I535" s="99">
        <v>110</v>
      </c>
      <c r="J535" s="276"/>
      <c r="K535" s="267">
        <f>ROUND($I535*E535,0)</f>
        <v>3960</v>
      </c>
      <c r="M535" s="267">
        <f>ROUND($I535*G535,0)</f>
        <v>3960</v>
      </c>
      <c r="O535" s="99">
        <f>ROUND(I535*(1+$AD$546),0)</f>
        <v>117</v>
      </c>
      <c r="P535" s="276"/>
      <c r="Q535" s="267">
        <f>ROUND(O535*$G535,0)</f>
        <v>4212</v>
      </c>
      <c r="R535" s="267"/>
      <c r="S535" s="267"/>
      <c r="T535" s="267"/>
      <c r="U535" s="267"/>
      <c r="V535" s="267"/>
      <c r="W535" s="267"/>
      <c r="X535" s="267"/>
      <c r="Y535" s="267"/>
      <c r="Z535" s="267"/>
      <c r="AA535" s="267"/>
      <c r="AB535" s="260"/>
      <c r="AD535" s="321"/>
      <c r="AE535" s="320"/>
      <c r="AF535" s="279">
        <f t="shared" ref="AF535:AF538" si="141">O535/I535-1</f>
        <v>6.3636363636363713E-2</v>
      </c>
    </row>
    <row r="536" spans="2:34">
      <c r="B536" s="275" t="s">
        <v>144</v>
      </c>
      <c r="E536" s="102">
        <v>9425.0011893749197</v>
      </c>
      <c r="G536" s="280">
        <f>ROUND(E536*$G$540/$E$540,0)</f>
        <v>9527</v>
      </c>
      <c r="I536" s="99">
        <v>3.75</v>
      </c>
      <c r="J536" s="276"/>
      <c r="K536" s="267">
        <f>ROUND($I536*E536,0)</f>
        <v>35344</v>
      </c>
      <c r="M536" s="267">
        <f>ROUND($I536*G536,0)</f>
        <v>35726</v>
      </c>
      <c r="O536" s="99">
        <f>ROUND(I536*(1+$AD$547),2)</f>
        <v>4</v>
      </c>
      <c r="P536" s="276"/>
      <c r="Q536" s="267">
        <f>ROUND(O536*$G536,0)</f>
        <v>38108</v>
      </c>
      <c r="R536" s="267"/>
      <c r="S536" s="267"/>
      <c r="T536" s="267"/>
      <c r="U536" s="267"/>
      <c r="V536" s="267"/>
      <c r="W536" s="267"/>
      <c r="X536" s="267"/>
      <c r="Y536" s="267"/>
      <c r="Z536" s="267"/>
      <c r="AA536" s="267"/>
      <c r="AB536" s="267"/>
      <c r="AD536" s="321"/>
      <c r="AE536" s="320"/>
      <c r="AF536" s="279">
        <f t="shared" si="141"/>
        <v>6.6666666666666652E-2</v>
      </c>
      <c r="AH536" s="102"/>
    </row>
    <row r="537" spans="2:34">
      <c r="B537" s="275" t="s">
        <v>145</v>
      </c>
      <c r="E537" s="102">
        <v>486615</v>
      </c>
      <c r="G537" s="280">
        <f>ROUND(E537*($G$540-$G$539)/($E$540-$E$539),0)</f>
        <v>491863</v>
      </c>
      <c r="I537" s="370">
        <v>5.9694000000000003</v>
      </c>
      <c r="J537" s="286" t="s">
        <v>314</v>
      </c>
      <c r="K537" s="267">
        <f>ROUND($I537*E537/100,0)</f>
        <v>29048</v>
      </c>
      <c r="M537" s="267">
        <f>ROUND($I537*G537/100,0)</f>
        <v>29361</v>
      </c>
      <c r="O537" s="370">
        <f>ROUND(I537*(1+$AD$547),4)</f>
        <v>6.3695000000000004</v>
      </c>
      <c r="P537" s="286" t="s">
        <v>314</v>
      </c>
      <c r="Q537" s="267">
        <f>ROUND(O537*$G537/100,0)</f>
        <v>31329</v>
      </c>
      <c r="R537" s="267"/>
      <c r="S537" s="267"/>
      <c r="T537" s="267"/>
      <c r="U537" s="267"/>
      <c r="V537" s="267"/>
      <c r="W537" s="267"/>
      <c r="X537" s="267"/>
      <c r="Y537" s="267"/>
      <c r="Z537" s="267"/>
      <c r="AA537" s="267"/>
      <c r="AD537" s="321"/>
      <c r="AE537" s="320"/>
      <c r="AF537" s="279">
        <f t="shared" si="141"/>
        <v>6.7025161657788157E-2</v>
      </c>
      <c r="AG537" s="267"/>
    </row>
    <row r="538" spans="2:34">
      <c r="B538" s="275" t="s">
        <v>293</v>
      </c>
      <c r="E538" s="102">
        <v>0</v>
      </c>
      <c r="G538" s="280">
        <f>G540-G537</f>
        <v>0</v>
      </c>
      <c r="I538" s="370">
        <v>5.0122999999999998</v>
      </c>
      <c r="J538" s="286" t="s">
        <v>314</v>
      </c>
      <c r="K538" s="267">
        <f>ROUND($I538*E538/100,0)</f>
        <v>0</v>
      </c>
      <c r="M538" s="267">
        <f>ROUND($I538*G538/100,0)</f>
        <v>0</v>
      </c>
      <c r="O538" s="370">
        <f>ROUND(I538*(1+$AD$547),4)</f>
        <v>5.3482000000000003</v>
      </c>
      <c r="P538" s="286" t="s">
        <v>314</v>
      </c>
      <c r="Q538" s="267">
        <f>ROUND(O538*$G538/100,0)</f>
        <v>0</v>
      </c>
      <c r="R538" s="267"/>
      <c r="S538" s="267"/>
      <c r="T538" s="267"/>
      <c r="U538" s="267"/>
      <c r="V538" s="267"/>
      <c r="W538" s="267"/>
      <c r="X538" s="267"/>
      <c r="Y538" s="267"/>
      <c r="Z538" s="267"/>
      <c r="AA538" s="267"/>
      <c r="AB538" s="267"/>
      <c r="AE538" s="320"/>
      <c r="AF538" s="279">
        <f t="shared" si="141"/>
        <v>6.7015142748837908E-2</v>
      </c>
      <c r="AG538" s="267"/>
    </row>
    <row r="539" spans="2:34">
      <c r="B539" s="275" t="s">
        <v>333</v>
      </c>
      <c r="E539" s="103">
        <v>0</v>
      </c>
      <c r="G539" s="103">
        <v>0</v>
      </c>
      <c r="I539" s="370"/>
      <c r="J539" s="362"/>
      <c r="K539" s="308">
        <v>0</v>
      </c>
      <c r="M539" s="308"/>
      <c r="O539" s="370"/>
      <c r="P539" s="362"/>
      <c r="Q539" s="308">
        <v>0</v>
      </c>
      <c r="R539" s="301"/>
      <c r="S539" s="301"/>
      <c r="T539" s="301"/>
      <c r="U539" s="301"/>
      <c r="V539" s="301"/>
      <c r="W539" s="301"/>
      <c r="X539" s="301"/>
      <c r="Y539" s="301"/>
      <c r="Z539" s="301"/>
      <c r="AA539" s="301"/>
      <c r="AB539" s="267"/>
      <c r="AE539" s="309"/>
      <c r="AF539" s="320"/>
      <c r="AG539" s="267"/>
      <c r="AH539" s="102"/>
    </row>
    <row r="540" spans="2:34">
      <c r="B540" s="275" t="s">
        <v>146</v>
      </c>
      <c r="E540" s="102">
        <f>E538+E537+E539</f>
        <v>486615</v>
      </c>
      <c r="G540" s="102">
        <f>ROUND(G548*E540/(E548-E546),0)</f>
        <v>491863</v>
      </c>
      <c r="I540" s="322"/>
      <c r="J540" s="330"/>
      <c r="K540" s="267">
        <f>SUM(K535:K539)</f>
        <v>68352</v>
      </c>
      <c r="M540" s="267">
        <f>SUM(M535:M539)</f>
        <v>69047</v>
      </c>
      <c r="O540" s="322"/>
      <c r="P540" s="330"/>
      <c r="Q540" s="267">
        <f>SUM(Q535:Q539)</f>
        <v>73649</v>
      </c>
      <c r="R540" s="267"/>
      <c r="S540" s="267"/>
      <c r="T540" s="267"/>
      <c r="U540" s="267"/>
      <c r="V540" s="267"/>
      <c r="W540" s="267"/>
      <c r="X540" s="267"/>
      <c r="Y540" s="267"/>
      <c r="Z540" s="267"/>
      <c r="AA540" s="267"/>
      <c r="AB540" s="267"/>
      <c r="AF540" s="320"/>
      <c r="AG540" s="267"/>
      <c r="AH540" s="102"/>
    </row>
    <row r="541" spans="2:34">
      <c r="B541" s="369" t="s">
        <v>147</v>
      </c>
      <c r="E541" s="102"/>
      <c r="G541" s="280"/>
      <c r="I541" s="322"/>
      <c r="J541" s="330"/>
      <c r="O541" s="322"/>
      <c r="P541" s="330"/>
      <c r="AB541" s="267"/>
      <c r="AC541" s="99"/>
      <c r="AD541" s="321"/>
      <c r="AF541" s="309"/>
      <c r="AG541" s="309"/>
      <c r="AH541" s="102"/>
    </row>
    <row r="542" spans="2:34">
      <c r="B542" s="275" t="s">
        <v>345</v>
      </c>
      <c r="E542" s="102">
        <v>24.000005687496902</v>
      </c>
      <c r="G542" s="280">
        <v>24</v>
      </c>
      <c r="I542" s="99">
        <v>110</v>
      </c>
      <c r="J542" s="276"/>
      <c r="K542" s="267">
        <f>ROUND($I542*E542,0)</f>
        <v>2640</v>
      </c>
      <c r="M542" s="267">
        <f>ROUND($I542*G542,0)</f>
        <v>2640</v>
      </c>
      <c r="O542" s="99">
        <f>O535</f>
        <v>117</v>
      </c>
      <c r="P542" s="276"/>
      <c r="Q542" s="267">
        <f>ROUND(O542*$G542,0)</f>
        <v>2808</v>
      </c>
      <c r="R542" s="267"/>
      <c r="S542" s="267"/>
      <c r="T542" s="267"/>
      <c r="U542" s="267"/>
      <c r="V542" s="267"/>
      <c r="W542" s="267"/>
      <c r="X542" s="267"/>
      <c r="Y542" s="267"/>
      <c r="Z542" s="267"/>
      <c r="AA542" s="267"/>
      <c r="AB542" s="301"/>
      <c r="AC542" s="277" t="s">
        <v>308</v>
      </c>
      <c r="AD542" s="278">
        <f>Q548</f>
        <v>365743</v>
      </c>
      <c r="AF542" s="279">
        <f t="shared" ref="AF542:AF545" si="142">O542/I542-1</f>
        <v>6.3636363636363713E-2</v>
      </c>
      <c r="AG542" s="267"/>
      <c r="AH542" s="102"/>
    </row>
    <row r="543" spans="2:34">
      <c r="B543" s="275" t="s">
        <v>144</v>
      </c>
      <c r="E543" s="102">
        <v>37930</v>
      </c>
      <c r="G543" s="280">
        <f>ROUND(E543*$G$547/$E$547,0)</f>
        <v>38097</v>
      </c>
      <c r="I543" s="99">
        <v>3.75</v>
      </c>
      <c r="J543" s="276"/>
      <c r="K543" s="267">
        <f>ROUND($I543*E543,0)</f>
        <v>142238</v>
      </c>
      <c r="M543" s="267">
        <f>ROUND($I543*G543,0)</f>
        <v>142864</v>
      </c>
      <c r="O543" s="99">
        <f>O536</f>
        <v>4</v>
      </c>
      <c r="P543" s="276"/>
      <c r="Q543" s="267">
        <f>ROUND(O543*$G543,0)</f>
        <v>152388</v>
      </c>
      <c r="R543" s="267"/>
      <c r="S543" s="267"/>
      <c r="T543" s="267"/>
      <c r="U543" s="267"/>
      <c r="V543" s="267"/>
      <c r="W543" s="267"/>
      <c r="X543" s="267"/>
      <c r="Y543" s="267"/>
      <c r="Z543" s="267"/>
      <c r="AA543" s="267"/>
      <c r="AB543" s="267"/>
      <c r="AC543" s="281" t="s">
        <v>310</v>
      </c>
      <c r="AD543" s="282">
        <f>RateSpread!M31*1000</f>
        <v>365743</v>
      </c>
      <c r="AF543" s="279">
        <f t="shared" si="142"/>
        <v>6.6666666666666652E-2</v>
      </c>
    </row>
    <row r="544" spans="2:34">
      <c r="B544" s="275" t="s">
        <v>145</v>
      </c>
      <c r="E544" s="102">
        <v>2243230</v>
      </c>
      <c r="G544" s="280">
        <f>ROUND(E544*($G$547-$G$546)/($E$547-$E$546),0)</f>
        <v>2267423</v>
      </c>
      <c r="I544" s="370">
        <v>4.6963999999999997</v>
      </c>
      <c r="J544" s="286" t="s">
        <v>314</v>
      </c>
      <c r="K544" s="267">
        <f>ROUND($I544*E544/100,0)</f>
        <v>105351</v>
      </c>
      <c r="M544" s="267">
        <f>ROUND($I544*G544/100,0)</f>
        <v>106487</v>
      </c>
      <c r="O544" s="370">
        <f>ROUND(I544*(1+$AD$547),4)</f>
        <v>5.0110999999999999</v>
      </c>
      <c r="P544" s="286" t="s">
        <v>314</v>
      </c>
      <c r="Q544" s="267">
        <f>ROUND(O544*$G544/100,0)</f>
        <v>113623</v>
      </c>
      <c r="R544" s="267"/>
      <c r="S544" s="267"/>
      <c r="T544" s="267"/>
      <c r="U544" s="267"/>
      <c r="V544" s="267"/>
      <c r="W544" s="267"/>
      <c r="X544" s="267"/>
      <c r="Y544" s="267"/>
      <c r="Z544" s="267"/>
      <c r="AA544" s="267"/>
      <c r="AB544" s="301"/>
      <c r="AC544" s="283" t="s">
        <v>312</v>
      </c>
      <c r="AD544" s="284">
        <f>AD543-AD542</f>
        <v>0</v>
      </c>
      <c r="AF544" s="279">
        <f t="shared" si="142"/>
        <v>6.7008772676944162E-2</v>
      </c>
      <c r="AG544" s="267"/>
      <c r="AH544" s="309"/>
    </row>
    <row r="545" spans="2:34">
      <c r="B545" s="275" t="s">
        <v>293</v>
      </c>
      <c r="E545" s="102">
        <v>523012</v>
      </c>
      <c r="G545" s="280">
        <f>G547-G544</f>
        <v>528653</v>
      </c>
      <c r="I545" s="370">
        <v>4.1148999999999996</v>
      </c>
      <c r="J545" s="286" t="s">
        <v>314</v>
      </c>
      <c r="K545" s="267">
        <f>ROUND($I545*E545/100,0)</f>
        <v>21521</v>
      </c>
      <c r="M545" s="267">
        <f>ROUND($I545*G545/100,0)</f>
        <v>21754</v>
      </c>
      <c r="O545" s="370">
        <f>ROUND((AD543-SUM(Q540,Q542:Q544))/G545*100,4)</f>
        <v>4.4027000000000003</v>
      </c>
      <c r="P545" s="286" t="s">
        <v>314</v>
      </c>
      <c r="Q545" s="267">
        <f>ROUND(O545*$G545/100,0)</f>
        <v>23275</v>
      </c>
      <c r="R545" s="267"/>
      <c r="S545" s="267"/>
      <c r="T545" s="267"/>
      <c r="U545" s="267"/>
      <c r="V545" s="267"/>
      <c r="W545" s="267"/>
      <c r="X545" s="267"/>
      <c r="Y545" s="267"/>
      <c r="Z545" s="267"/>
      <c r="AA545" s="267"/>
      <c r="AB545" s="301"/>
      <c r="AC545" s="287" t="s">
        <v>315</v>
      </c>
      <c r="AD545" s="323">
        <f>AD542/M548-1</f>
        <v>6.6953137762841619E-2</v>
      </c>
      <c r="AF545" s="279">
        <f t="shared" si="142"/>
        <v>6.9940946317043062E-2</v>
      </c>
      <c r="AH545" s="309"/>
    </row>
    <row r="546" spans="2:34">
      <c r="B546" s="275" t="s">
        <v>333</v>
      </c>
      <c r="E546" s="103">
        <v>17596</v>
      </c>
      <c r="G546" s="103">
        <v>0</v>
      </c>
      <c r="I546" s="370"/>
      <c r="J546" s="362"/>
      <c r="K546" s="308">
        <v>803</v>
      </c>
      <c r="M546" s="308">
        <v>0</v>
      </c>
      <c r="O546" s="370"/>
      <c r="P546" s="362"/>
      <c r="Q546" s="308">
        <v>0</v>
      </c>
      <c r="R546" s="301"/>
      <c r="S546" s="301"/>
      <c r="T546" s="301"/>
      <c r="U546" s="301"/>
      <c r="V546" s="301"/>
      <c r="W546" s="301"/>
      <c r="X546" s="301"/>
      <c r="Y546" s="301"/>
      <c r="Z546" s="301"/>
      <c r="AA546" s="301"/>
      <c r="AB546" s="301"/>
      <c r="AC546" s="291" t="s">
        <v>317</v>
      </c>
      <c r="AD546" s="324">
        <f>AD543/M548-1</f>
        <v>6.6953137762841619E-2</v>
      </c>
      <c r="AE546" s="371"/>
      <c r="AH546" s="309"/>
    </row>
    <row r="547" spans="2:34">
      <c r="B547" s="275" t="s">
        <v>146</v>
      </c>
      <c r="E547" s="102">
        <f>E545+E544+E546</f>
        <v>2783838</v>
      </c>
      <c r="G547" s="102">
        <f>G548-G540</f>
        <v>2796076</v>
      </c>
      <c r="I547" s="322"/>
      <c r="J547" s="330"/>
      <c r="K547" s="267">
        <f>SUM(K542:K546)</f>
        <v>272553</v>
      </c>
      <c r="M547" s="267">
        <f>SUM(M542:M546)</f>
        <v>273745</v>
      </c>
      <c r="O547" s="322"/>
      <c r="P547" s="330"/>
      <c r="Q547" s="267">
        <f>SUM(Q542:Q546)</f>
        <v>292094</v>
      </c>
      <c r="R547" s="267"/>
      <c r="S547" s="267"/>
      <c r="T547" s="267"/>
      <c r="U547" s="267"/>
      <c r="V547" s="267"/>
      <c r="W547" s="267"/>
      <c r="X547" s="267"/>
      <c r="Y547" s="267"/>
      <c r="Z547" s="267"/>
      <c r="AA547" s="267"/>
      <c r="AC547" s="291" t="s">
        <v>353</v>
      </c>
      <c r="AD547" s="324">
        <f>(AD543-Q535-Q542)/(M548-M535-M542)-1</f>
        <v>6.7018251475347457E-2</v>
      </c>
      <c r="AE547" s="371"/>
    </row>
    <row r="548" spans="2:34" ht="16.5" thickBot="1">
      <c r="B548" s="275" t="s">
        <v>334</v>
      </c>
      <c r="E548" s="325">
        <f>E547+E540</f>
        <v>3270453</v>
      </c>
      <c r="G548" s="325">
        <v>3287939</v>
      </c>
      <c r="I548" s="318"/>
      <c r="K548" s="319">
        <f>K547+K540</f>
        <v>340905</v>
      </c>
      <c r="M548" s="319">
        <f>M547+M540</f>
        <v>342792</v>
      </c>
      <c r="O548" s="318"/>
      <c r="Q548" s="319">
        <f>Q547+Q540</f>
        <v>365743</v>
      </c>
      <c r="R548" s="301"/>
      <c r="S548" s="301"/>
      <c r="T548" s="301"/>
      <c r="U548" s="301"/>
      <c r="V548" s="301"/>
      <c r="W548" s="301"/>
      <c r="X548" s="301"/>
      <c r="Y548" s="301"/>
      <c r="Z548" s="301"/>
      <c r="AA548" s="301"/>
      <c r="AC548" s="305" t="s">
        <v>336</v>
      </c>
      <c r="AD548" s="326">
        <f>(Q548)/(M548)-1</f>
        <v>6.6953137762841619E-2</v>
      </c>
      <c r="AE548" s="372"/>
      <c r="AF548" s="371"/>
      <c r="AG548" s="267"/>
    </row>
    <row r="549" spans="2:34" ht="16.5" thickTop="1">
      <c r="E549" s="102"/>
      <c r="G549" s="102"/>
      <c r="AB549" s="267"/>
      <c r="AD549" s="279"/>
      <c r="AE549" s="371"/>
      <c r="AF549" s="371"/>
      <c r="AG549" s="267"/>
      <c r="AH549" s="102"/>
    </row>
    <row r="550" spans="2:34">
      <c r="B550" s="272" t="s">
        <v>148</v>
      </c>
      <c r="E550" s="102"/>
      <c r="G550" s="102"/>
      <c r="AB550" s="267"/>
      <c r="AE550" s="371"/>
      <c r="AF550" s="371"/>
      <c r="AG550" s="267"/>
      <c r="AH550" s="102"/>
    </row>
    <row r="551" spans="2:34">
      <c r="B551" s="275" t="s">
        <v>345</v>
      </c>
      <c r="E551" s="102">
        <f t="shared" ref="E551:E561" si="143">E564+E577+E590</f>
        <v>936895.49910296593</v>
      </c>
      <c r="G551" s="102">
        <f t="shared" ref="G551:G561" si="144">G564+G577+G590</f>
        <v>936624</v>
      </c>
      <c r="I551" s="99">
        <v>9</v>
      </c>
      <c r="J551" s="276"/>
      <c r="K551" s="267">
        <f>ROUND($I551*E551,0)</f>
        <v>8432059</v>
      </c>
      <c r="M551" s="267">
        <f>ROUND($I551*G551,0)</f>
        <v>8429616</v>
      </c>
      <c r="O551" s="99">
        <v>10</v>
      </c>
      <c r="P551" s="276"/>
      <c r="Q551" s="267">
        <f>ROUND(O551*$G551,0)</f>
        <v>9366240</v>
      </c>
      <c r="R551" s="267"/>
      <c r="S551" s="267"/>
      <c r="T551" s="267"/>
      <c r="U551" s="267"/>
      <c r="V551" s="267"/>
      <c r="W551" s="267"/>
      <c r="X551" s="267"/>
      <c r="Y551" s="267"/>
      <c r="Z551" s="267"/>
      <c r="AA551" s="267"/>
      <c r="AB551" s="267"/>
      <c r="AC551" s="277" t="s">
        <v>308</v>
      </c>
      <c r="AD551" s="278">
        <f>Q561</f>
        <v>134696300</v>
      </c>
      <c r="AE551" s="320"/>
      <c r="AF551" s="279">
        <f t="shared" ref="AF551:AF559" si="145">O551/I551-1</f>
        <v>0.11111111111111116</v>
      </c>
      <c r="AG551" s="267"/>
      <c r="AH551" s="102"/>
    </row>
    <row r="552" spans="2:34">
      <c r="B552" s="275" t="s">
        <v>149</v>
      </c>
      <c r="E552" s="102">
        <f t="shared" si="143"/>
        <v>353117.34130480402</v>
      </c>
      <c r="G552" s="102">
        <f t="shared" si="144"/>
        <v>375308</v>
      </c>
      <c r="I552" s="99">
        <v>8</v>
      </c>
      <c r="J552" s="276"/>
      <c r="K552" s="267">
        <f>ROUND($I552*E552,0)</f>
        <v>2824939</v>
      </c>
      <c r="M552" s="267">
        <f>ROUND($I552*G552,0)</f>
        <v>3002464</v>
      </c>
      <c r="O552" s="99">
        <f>MROUND(I552*(1+$AD$556),0.05)</f>
        <v>8.25</v>
      </c>
      <c r="P552" s="276"/>
      <c r="Q552" s="267">
        <f>ROUND(O552*$G552,0)</f>
        <v>3096291</v>
      </c>
      <c r="R552" s="267"/>
      <c r="S552" s="267"/>
      <c r="T552" s="267"/>
      <c r="U552" s="267"/>
      <c r="V552" s="267"/>
      <c r="W552" s="267"/>
      <c r="X552" s="267"/>
      <c r="Y552" s="267"/>
      <c r="Z552" s="267"/>
      <c r="AA552" s="267"/>
      <c r="AB552" s="267"/>
      <c r="AC552" s="281" t="s">
        <v>310</v>
      </c>
      <c r="AD552" s="282">
        <f>RateSpread!M32*1000</f>
        <v>134697892</v>
      </c>
      <c r="AF552" s="279">
        <f t="shared" si="145"/>
        <v>3.125E-2</v>
      </c>
      <c r="AG552" s="267"/>
      <c r="AH552" s="102"/>
    </row>
    <row r="553" spans="2:34">
      <c r="B553" s="275" t="s">
        <v>150</v>
      </c>
      <c r="E553" s="102">
        <f t="shared" si="143"/>
        <v>342382.52739725821</v>
      </c>
      <c r="G553" s="102">
        <f t="shared" si="144"/>
        <v>363172</v>
      </c>
      <c r="I553" s="99">
        <v>8.0500000000000007</v>
      </c>
      <c r="J553" s="276"/>
      <c r="K553" s="267">
        <f>ROUND($I553*E553,0)</f>
        <v>2756179</v>
      </c>
      <c r="M553" s="267">
        <f>ROUND($I553*G553,0)</f>
        <v>2923535</v>
      </c>
      <c r="O553" s="99">
        <f>MROUND(I553*(1+$AD$556),0.05)</f>
        <v>8.3000000000000007</v>
      </c>
      <c r="P553" s="276"/>
      <c r="Q553" s="267">
        <f>ROUND(O553*$G553,0)</f>
        <v>3014328</v>
      </c>
      <c r="R553" s="267"/>
      <c r="S553" s="267"/>
      <c r="T553" s="267"/>
      <c r="U553" s="267"/>
      <c r="V553" s="267"/>
      <c r="W553" s="267"/>
      <c r="X553" s="267"/>
      <c r="Y553" s="267"/>
      <c r="Z553" s="267"/>
      <c r="AA553" s="267"/>
      <c r="AB553" s="267"/>
      <c r="AC553" s="283" t="s">
        <v>312</v>
      </c>
      <c r="AD553" s="284">
        <f>AD552-AD551</f>
        <v>1592</v>
      </c>
      <c r="AF553" s="279">
        <f t="shared" si="145"/>
        <v>3.105590062111796E-2</v>
      </c>
      <c r="AG553" s="267"/>
      <c r="AH553" s="102"/>
    </row>
    <row r="554" spans="2:34">
      <c r="B554" s="275" t="s">
        <v>348</v>
      </c>
      <c r="E554" s="102">
        <f t="shared" si="143"/>
        <v>9659.4878048780502</v>
      </c>
      <c r="G554" s="102">
        <f t="shared" si="144"/>
        <v>9858</v>
      </c>
      <c r="I554" s="99">
        <v>-0.45</v>
      </c>
      <c r="J554" s="276"/>
      <c r="K554" s="267">
        <f>ROUND($I554*E554,0)</f>
        <v>-4347</v>
      </c>
      <c r="M554" s="267">
        <f>ROUND($I554*G554,0)</f>
        <v>-4436</v>
      </c>
      <c r="O554" s="99">
        <f>ROUND(I554*(1+$AD$556),2)</f>
        <v>-0.46</v>
      </c>
      <c r="P554" s="276"/>
      <c r="Q554" s="267">
        <f>ROUND(O554*$G554,0)</f>
        <v>-4535</v>
      </c>
      <c r="R554" s="267"/>
      <c r="S554" s="267"/>
      <c r="T554" s="267"/>
      <c r="U554" s="267"/>
      <c r="V554" s="267"/>
      <c r="W554" s="267"/>
      <c r="X554" s="267"/>
      <c r="Y554" s="267"/>
      <c r="Z554" s="267"/>
      <c r="AA554" s="267"/>
      <c r="AB554" s="267"/>
      <c r="AC554" s="287" t="s">
        <v>315</v>
      </c>
      <c r="AD554" s="323">
        <f>AD551/(M561)-1</f>
        <v>3.6939693356577541E-2</v>
      </c>
      <c r="AF554" s="279">
        <f t="shared" si="145"/>
        <v>2.2222222222222143E-2</v>
      </c>
      <c r="AG554" s="267"/>
      <c r="AH554" s="102"/>
    </row>
    <row r="555" spans="2:34">
      <c r="B555" s="275" t="s">
        <v>151</v>
      </c>
      <c r="E555" s="102">
        <f t="shared" si="143"/>
        <v>287782082.50469536</v>
      </c>
      <c r="G555" s="102">
        <f t="shared" si="144"/>
        <v>307226245</v>
      </c>
      <c r="I555" s="296">
        <v>10.8148</v>
      </c>
      <c r="J555" s="286" t="s">
        <v>314</v>
      </c>
      <c r="K555" s="267">
        <f>ROUND($I555*E555/100,0)</f>
        <v>31123057</v>
      </c>
      <c r="M555" s="267">
        <f>ROUND($I555*G555/100,0)</f>
        <v>33225904</v>
      </c>
      <c r="O555" s="296">
        <f>ROUND(I555*(1+$AD$556),4)</f>
        <v>11.158799999999999</v>
      </c>
      <c r="P555" s="286" t="s">
        <v>314</v>
      </c>
      <c r="Q555" s="267">
        <f>ROUND(O555*$G555/100,0)</f>
        <v>34282762</v>
      </c>
      <c r="R555" s="267"/>
      <c r="S555" s="267"/>
      <c r="T555" s="267"/>
      <c r="U555" s="267"/>
      <c r="V555" s="267"/>
      <c r="W555" s="267"/>
      <c r="X555" s="267"/>
      <c r="Y555" s="267"/>
      <c r="Z555" s="267"/>
      <c r="AA555" s="267"/>
      <c r="AB555" s="267"/>
      <c r="AC555" s="291" t="s">
        <v>317</v>
      </c>
      <c r="AD555" s="324">
        <f>AD552/(M561)-1</f>
        <v>3.6951949134886419E-2</v>
      </c>
      <c r="AF555" s="279">
        <f t="shared" si="145"/>
        <v>3.1808262751044758E-2</v>
      </c>
      <c r="AG555" s="267"/>
      <c r="AH555" s="102"/>
    </row>
    <row r="556" spans="2:34">
      <c r="B556" s="275" t="s">
        <v>152</v>
      </c>
      <c r="E556" s="102">
        <f t="shared" si="143"/>
        <v>291287410.4946968</v>
      </c>
      <c r="G556" s="102">
        <f t="shared" si="144"/>
        <v>310947215</v>
      </c>
      <c r="I556" s="296">
        <v>6.0632000000000001</v>
      </c>
      <c r="J556" s="286" t="s">
        <v>314</v>
      </c>
      <c r="K556" s="267">
        <f>ROUND($I556*E556/100,0)</f>
        <v>17661338</v>
      </c>
      <c r="M556" s="267">
        <f>ROUND($I556*G556/100,0)</f>
        <v>18853352</v>
      </c>
      <c r="O556" s="296">
        <f t="shared" ref="O556:O557" si="146">ROUND(I556*(1+$AD$556),4)</f>
        <v>6.2560000000000002</v>
      </c>
      <c r="P556" s="286" t="s">
        <v>314</v>
      </c>
      <c r="Q556" s="267">
        <f>ROUND(O556*$G556/100,0)</f>
        <v>19452858</v>
      </c>
      <c r="R556" s="267"/>
      <c r="S556" s="267"/>
      <c r="T556" s="267"/>
      <c r="U556" s="267"/>
      <c r="V556" s="267"/>
      <c r="W556" s="267"/>
      <c r="X556" s="267"/>
      <c r="Y556" s="267"/>
      <c r="Z556" s="267"/>
      <c r="AA556" s="267"/>
      <c r="AB556" s="301"/>
      <c r="AC556" s="291" t="s">
        <v>353</v>
      </c>
      <c r="AD556" s="324">
        <f>(AD552-Q551-Q559)/(M561-M551-M559)-1</f>
        <v>3.1805476482566819E-2</v>
      </c>
      <c r="AF556" s="279">
        <f t="shared" si="145"/>
        <v>3.1798390288956258E-2</v>
      </c>
      <c r="AH556" s="102"/>
    </row>
    <row r="557" spans="2:34">
      <c r="B557" s="275" t="s">
        <v>153</v>
      </c>
      <c r="E557" s="102">
        <f t="shared" si="143"/>
        <v>402052099.07194877</v>
      </c>
      <c r="G557" s="102">
        <f t="shared" si="144"/>
        <v>429169061</v>
      </c>
      <c r="I557" s="296">
        <v>9.9543999999999997</v>
      </c>
      <c r="J557" s="286" t="s">
        <v>314</v>
      </c>
      <c r="K557" s="267">
        <f>ROUND($I557*E557/100,0)</f>
        <v>40021874</v>
      </c>
      <c r="M557" s="267">
        <f>ROUND($I557*G557/100,0)</f>
        <v>42721205</v>
      </c>
      <c r="O557" s="296">
        <f t="shared" si="146"/>
        <v>10.271000000000001</v>
      </c>
      <c r="P557" s="286" t="s">
        <v>314</v>
      </c>
      <c r="Q557" s="267">
        <f>ROUND(O557*$G557/100,0)</f>
        <v>44079954</v>
      </c>
      <c r="R557" s="267"/>
      <c r="S557" s="267"/>
      <c r="T557" s="267"/>
      <c r="U557" s="267"/>
      <c r="V557" s="267"/>
      <c r="W557" s="267"/>
      <c r="X557" s="267"/>
      <c r="Y557" s="267"/>
      <c r="Z557" s="267"/>
      <c r="AA557" s="267"/>
      <c r="AB557" s="301"/>
      <c r="AC557" s="305" t="s">
        <v>321</v>
      </c>
      <c r="AD557" s="326">
        <f>O551/I551-1</f>
        <v>0.11111111111111116</v>
      </c>
      <c r="AE557" s="309"/>
      <c r="AF557" s="279">
        <f t="shared" si="145"/>
        <v>3.180503094109155E-2</v>
      </c>
      <c r="AG557" s="267"/>
    </row>
    <row r="558" spans="2:34">
      <c r="B558" s="275" t="s">
        <v>154</v>
      </c>
      <c r="E558" s="102">
        <f t="shared" si="143"/>
        <v>348709197.85514063</v>
      </c>
      <c r="G558" s="102">
        <f t="shared" si="144"/>
        <v>371983628.63277793</v>
      </c>
      <c r="I558" s="296">
        <v>5.5771999999999995</v>
      </c>
      <c r="J558" s="286" t="s">
        <v>314</v>
      </c>
      <c r="K558" s="267">
        <f>ROUND($I558*E558/100,0)</f>
        <v>19448209</v>
      </c>
      <c r="M558" s="267">
        <f>ROUND($I558*G558/100,0)</f>
        <v>20746271</v>
      </c>
      <c r="O558" s="296">
        <f>ROUND((AD552-SUM(Q551:Q557,Q559))/(G558)*100,4)+AD558</f>
        <v>5.7552000000000003</v>
      </c>
      <c r="P558" s="286" t="s">
        <v>314</v>
      </c>
      <c r="Q558" s="267">
        <f>ROUND(O558*$G558/100,0)</f>
        <v>21408402</v>
      </c>
      <c r="R558" s="267"/>
      <c r="S558" s="267"/>
      <c r="T558" s="267"/>
      <c r="U558" s="267"/>
      <c r="V558" s="267"/>
      <c r="W558" s="267"/>
      <c r="X558" s="267"/>
      <c r="Y558" s="267"/>
      <c r="Z558" s="267"/>
      <c r="AA558" s="267"/>
      <c r="AB558" s="301"/>
      <c r="AC558" s="373" t="s">
        <v>155</v>
      </c>
      <c r="AD558" s="374">
        <v>-4.0000000000000002E-4</v>
      </c>
      <c r="AF558" s="279">
        <f t="shared" si="145"/>
        <v>3.1915656601879228E-2</v>
      </c>
      <c r="AG558" s="267"/>
    </row>
    <row r="559" spans="2:34">
      <c r="B559" s="275" t="s">
        <v>352</v>
      </c>
      <c r="E559" s="102">
        <f t="shared" si="143"/>
        <v>0</v>
      </c>
      <c r="G559" s="102">
        <f t="shared" si="144"/>
        <v>0</v>
      </c>
      <c r="I559" s="99">
        <v>108</v>
      </c>
      <c r="J559" s="276"/>
      <c r="K559" s="267">
        <f>ROUND($I559*E559,0)</f>
        <v>0</v>
      </c>
      <c r="M559" s="267">
        <f>ROUND($I559*G559,0)</f>
        <v>0</v>
      </c>
      <c r="O559" s="99">
        <f>O551*12</f>
        <v>120</v>
      </c>
      <c r="P559" s="276"/>
      <c r="Q559" s="267">
        <f>ROUND(O559*$G559,0)</f>
        <v>0</v>
      </c>
      <c r="R559" s="267"/>
      <c r="S559" s="267"/>
      <c r="T559" s="267"/>
      <c r="U559" s="267"/>
      <c r="V559" s="267"/>
      <c r="W559" s="267"/>
      <c r="X559" s="267"/>
      <c r="Y559" s="267"/>
      <c r="Z559" s="267"/>
      <c r="AA559" s="267"/>
      <c r="AB559" s="301"/>
      <c r="AC559" s="373" t="s">
        <v>156</v>
      </c>
      <c r="AD559" s="374"/>
      <c r="AF559" s="279">
        <f t="shared" si="145"/>
        <v>0.11111111111111116</v>
      </c>
      <c r="AG559" s="309"/>
    </row>
    <row r="560" spans="2:34">
      <c r="B560" s="275" t="s">
        <v>333</v>
      </c>
      <c r="E560" s="103">
        <f t="shared" si="143"/>
        <v>4448526</v>
      </c>
      <c r="G560" s="103">
        <f t="shared" si="144"/>
        <v>0</v>
      </c>
      <c r="K560" s="308">
        <f>K573+K586+K599</f>
        <v>177720.54</v>
      </c>
      <c r="M560" s="308">
        <f>M573+M586+M599</f>
        <v>0</v>
      </c>
      <c r="Q560" s="308">
        <f>Q573+Q586+Q599</f>
        <v>0</v>
      </c>
      <c r="R560" s="301"/>
      <c r="S560" s="301"/>
      <c r="T560" s="301"/>
      <c r="U560" s="301"/>
      <c r="V560" s="301"/>
      <c r="W560" s="301"/>
      <c r="X560" s="301"/>
      <c r="Y560" s="301"/>
      <c r="Z560" s="301"/>
      <c r="AA560" s="301"/>
      <c r="AC560" s="287" t="s">
        <v>416</v>
      </c>
      <c r="AD560" s="375">
        <f>'Exhibit RMP(WRG-1)'!O51</f>
        <v>79820.291999999929</v>
      </c>
    </row>
    <row r="561" spans="2:34" ht="16.5" thickBot="1">
      <c r="B561" s="275" t="s">
        <v>334</v>
      </c>
      <c r="E561" s="325">
        <f t="shared" si="143"/>
        <v>1334279315.9264817</v>
      </c>
      <c r="G561" s="325">
        <f t="shared" si="144"/>
        <v>1419326149.6327779</v>
      </c>
      <c r="I561" s="318"/>
      <c r="K561" s="319">
        <f>SUM(K551:K560)</f>
        <v>122441028.54000001</v>
      </c>
      <c r="M561" s="319">
        <f>SUM(M551:M560)</f>
        <v>129897911</v>
      </c>
      <c r="O561" s="318"/>
      <c r="Q561" s="319">
        <f>SUM(Q551:Q560)</f>
        <v>134696300</v>
      </c>
      <c r="R561" s="301"/>
      <c r="S561" s="301"/>
      <c r="T561" s="301"/>
      <c r="U561" s="301"/>
      <c r="V561" s="301"/>
      <c r="W561" s="301"/>
      <c r="X561" s="301"/>
      <c r="Y561" s="301"/>
      <c r="Z561" s="301"/>
      <c r="AA561" s="301"/>
      <c r="AC561" s="291" t="s">
        <v>310</v>
      </c>
      <c r="AD561" s="376">
        <f>RateSpread!O51</f>
        <v>79821.989999999991</v>
      </c>
    </row>
    <row r="562" spans="2:34" ht="16.5" thickTop="1">
      <c r="E562" s="102"/>
      <c r="G562" s="102"/>
      <c r="AB562" s="267"/>
    </row>
    <row r="563" spans="2:34">
      <c r="B563" s="272" t="s">
        <v>157</v>
      </c>
      <c r="E563" s="102"/>
      <c r="G563" s="102"/>
      <c r="AB563" s="267"/>
    </row>
    <row r="564" spans="2:34">
      <c r="B564" s="275" t="s">
        <v>345</v>
      </c>
      <c r="E564" s="102">
        <v>893551.26743629947</v>
      </c>
      <c r="G564" s="280">
        <v>895282</v>
      </c>
      <c r="I564" s="300">
        <v>9</v>
      </c>
      <c r="J564" s="299"/>
      <c r="K564" s="267">
        <f>ROUND($I564*E564,0)</f>
        <v>8041961</v>
      </c>
      <c r="M564" s="267">
        <f>ROUND($I564*G564,0)</f>
        <v>8057538</v>
      </c>
      <c r="O564" s="300">
        <f t="shared" ref="O564:O572" si="147">O551</f>
        <v>10</v>
      </c>
      <c r="P564" s="299"/>
      <c r="Q564" s="267">
        <f>ROUND(O564*$G564,0)</f>
        <v>8952820</v>
      </c>
      <c r="R564" s="267"/>
      <c r="S564" s="267"/>
      <c r="T564" s="267"/>
      <c r="U564" s="267"/>
      <c r="V564" s="267"/>
      <c r="W564" s="267"/>
      <c r="X564" s="267"/>
      <c r="Y564" s="267"/>
      <c r="Z564" s="267"/>
      <c r="AA564" s="267"/>
      <c r="AB564" s="267"/>
      <c r="AC564" s="377"/>
      <c r="AF564" s="279">
        <f t="shared" ref="AF564:AF572" si="148">O564/I564-1</f>
        <v>0.11111111111111116</v>
      </c>
    </row>
    <row r="565" spans="2:34">
      <c r="B565" s="275" t="s">
        <v>149</v>
      </c>
      <c r="E565" s="102">
        <v>333640.18205368164</v>
      </c>
      <c r="G565" s="280">
        <f>ROUND(G$574*E565/E$574,0)</f>
        <v>356373</v>
      </c>
      <c r="I565" s="300">
        <v>8</v>
      </c>
      <c r="J565" s="299"/>
      <c r="K565" s="267">
        <f>ROUND($I565*E565,0)</f>
        <v>2669121</v>
      </c>
      <c r="M565" s="267">
        <f>ROUND($I565*G565,0)</f>
        <v>2850984</v>
      </c>
      <c r="O565" s="300">
        <f t="shared" si="147"/>
        <v>8.25</v>
      </c>
      <c r="P565" s="299"/>
      <c r="Q565" s="267">
        <f>ROUND(O565*$G565,0)</f>
        <v>2940077</v>
      </c>
      <c r="R565" s="267"/>
      <c r="S565" s="267"/>
      <c r="T565" s="267"/>
      <c r="U565" s="267"/>
      <c r="V565" s="267"/>
      <c r="W565" s="267"/>
      <c r="X565" s="267"/>
      <c r="Y565" s="267"/>
      <c r="Z565" s="267"/>
      <c r="AA565" s="267"/>
      <c r="AB565" s="267"/>
      <c r="AC565" s="99"/>
      <c r="AF565" s="279">
        <f t="shared" si="148"/>
        <v>3.125E-2</v>
      </c>
    </row>
    <row r="566" spans="2:34">
      <c r="B566" s="275" t="s">
        <v>150</v>
      </c>
      <c r="E566" s="102">
        <v>315926.49178081978</v>
      </c>
      <c r="G566" s="280">
        <f>ROUND(G$574*E566/E$574,0)</f>
        <v>337453</v>
      </c>
      <c r="I566" s="300">
        <v>8.0500000000000007</v>
      </c>
      <c r="J566" s="299"/>
      <c r="K566" s="267">
        <f>ROUND($I566*E566,0)</f>
        <v>2543208</v>
      </c>
      <c r="M566" s="267">
        <f>ROUND($I566*G566,0)</f>
        <v>2716497</v>
      </c>
      <c r="O566" s="300">
        <f t="shared" si="147"/>
        <v>8.3000000000000007</v>
      </c>
      <c r="P566" s="299"/>
      <c r="Q566" s="267">
        <f>ROUND(O566*$G566,0)</f>
        <v>2800860</v>
      </c>
      <c r="R566" s="267"/>
      <c r="S566" s="267"/>
      <c r="T566" s="267"/>
      <c r="U566" s="267"/>
      <c r="V566" s="267"/>
      <c r="W566" s="267"/>
      <c r="X566" s="267"/>
      <c r="Y566" s="267"/>
      <c r="Z566" s="267"/>
      <c r="AA566" s="267"/>
      <c r="AB566" s="267"/>
      <c r="AC566" s="99"/>
      <c r="AF566" s="279">
        <f t="shared" si="148"/>
        <v>3.105590062111796E-2</v>
      </c>
    </row>
    <row r="567" spans="2:34">
      <c r="B567" s="275" t="s">
        <v>348</v>
      </c>
      <c r="E567" s="102">
        <v>4870.3658536585399</v>
      </c>
      <c r="G567" s="280">
        <f>ROUND(G$574*E567/E$574,0)</f>
        <v>5202</v>
      </c>
      <c r="I567" s="300">
        <v>-0.45</v>
      </c>
      <c r="J567" s="299"/>
      <c r="K567" s="267">
        <f>ROUND($I567*E567,0)</f>
        <v>-2192</v>
      </c>
      <c r="M567" s="267">
        <f>ROUND($I567*G567,0)</f>
        <v>-2341</v>
      </c>
      <c r="O567" s="300">
        <f t="shared" si="147"/>
        <v>-0.46</v>
      </c>
      <c r="P567" s="299"/>
      <c r="Q567" s="267">
        <f>ROUND(O567*$G567,0)</f>
        <v>-2393</v>
      </c>
      <c r="R567" s="267"/>
      <c r="S567" s="267"/>
      <c r="T567" s="267"/>
      <c r="U567" s="267"/>
      <c r="V567" s="267"/>
      <c r="W567" s="267"/>
      <c r="X567" s="267"/>
      <c r="Y567" s="267"/>
      <c r="Z567" s="267"/>
      <c r="AA567" s="267"/>
      <c r="AB567" s="267"/>
      <c r="AC567" s="99"/>
      <c r="AF567" s="279">
        <f t="shared" si="148"/>
        <v>2.2222222222222143E-2</v>
      </c>
    </row>
    <row r="568" spans="2:34">
      <c r="B568" s="275" t="s">
        <v>151</v>
      </c>
      <c r="E568" s="102">
        <v>275435982.48673129</v>
      </c>
      <c r="G568" s="280">
        <f>ROUND(G$574*E568/SUM(E$568:E$571),0)</f>
        <v>295159202</v>
      </c>
      <c r="I568" s="322">
        <v>10.8148</v>
      </c>
      <c r="J568" s="286" t="s">
        <v>314</v>
      </c>
      <c r="K568" s="267">
        <f>ROUND($I568*E568/100,0)</f>
        <v>29787851</v>
      </c>
      <c r="M568" s="267">
        <f>ROUND($I568*G568/100,0)</f>
        <v>31920877</v>
      </c>
      <c r="O568" s="322">
        <f t="shared" si="147"/>
        <v>11.158799999999999</v>
      </c>
      <c r="P568" s="286" t="s">
        <v>314</v>
      </c>
      <c r="Q568" s="267">
        <f>ROUND(O568*$G568/100,0)</f>
        <v>32936225</v>
      </c>
      <c r="R568" s="267"/>
      <c r="S568" s="267"/>
      <c r="T568" s="267"/>
      <c r="U568" s="267"/>
      <c r="V568" s="267"/>
      <c r="W568" s="267"/>
      <c r="X568" s="267"/>
      <c r="Y568" s="267"/>
      <c r="Z568" s="267"/>
      <c r="AA568" s="267"/>
      <c r="AB568" s="267"/>
      <c r="AD568" s="321"/>
      <c r="AE568" s="309"/>
      <c r="AF568" s="279">
        <f t="shared" si="148"/>
        <v>3.1808262751044758E-2</v>
      </c>
    </row>
    <row r="569" spans="2:34">
      <c r="B569" s="275" t="s">
        <v>152</v>
      </c>
      <c r="E569" s="102">
        <v>278570838.7083348</v>
      </c>
      <c r="G569" s="280">
        <f>ROUND(G$574*E569/SUM(E$568:E$571),0)</f>
        <v>298518536</v>
      </c>
      <c r="I569" s="322">
        <v>6.0632000000000001</v>
      </c>
      <c r="J569" s="286" t="s">
        <v>314</v>
      </c>
      <c r="K569" s="267">
        <f>ROUND($I569*E569/100,0)</f>
        <v>16890307</v>
      </c>
      <c r="M569" s="267">
        <f>ROUND($I569*G569/100,0)</f>
        <v>18099776</v>
      </c>
      <c r="O569" s="322">
        <f t="shared" si="147"/>
        <v>6.2560000000000002</v>
      </c>
      <c r="P569" s="286" t="s">
        <v>314</v>
      </c>
      <c r="Q569" s="267">
        <f>ROUND(O569*$G569/100,0)</f>
        <v>18675320</v>
      </c>
      <c r="R569" s="267"/>
      <c r="S569" s="267"/>
      <c r="T569" s="267"/>
      <c r="U569" s="267"/>
      <c r="V569" s="267"/>
      <c r="W569" s="267"/>
      <c r="X569" s="267"/>
      <c r="Y569" s="267"/>
      <c r="Z569" s="267"/>
      <c r="AA569" s="267"/>
      <c r="AB569" s="301"/>
      <c r="AC569" s="99"/>
      <c r="AD569" s="321"/>
      <c r="AF569" s="279">
        <f t="shared" si="148"/>
        <v>3.1798390288956258E-2</v>
      </c>
    </row>
    <row r="570" spans="2:34">
      <c r="B570" s="275" t="s">
        <v>153</v>
      </c>
      <c r="E570" s="102">
        <v>384290562.06545526</v>
      </c>
      <c r="G570" s="280">
        <f>ROUND(G$574*E570/SUM(E$568:E$571),0)</f>
        <v>411808561</v>
      </c>
      <c r="I570" s="322">
        <v>9.9543999999999997</v>
      </c>
      <c r="J570" s="286" t="s">
        <v>314</v>
      </c>
      <c r="K570" s="267">
        <f>ROUND($I570*E570/100,0)</f>
        <v>38253820</v>
      </c>
      <c r="M570" s="267">
        <f>ROUND($I570*G570/100,0)</f>
        <v>40993071</v>
      </c>
      <c r="O570" s="322">
        <f t="shared" si="147"/>
        <v>10.271000000000001</v>
      </c>
      <c r="P570" s="286" t="s">
        <v>314</v>
      </c>
      <c r="Q570" s="267">
        <f>ROUND(O570*$G570/100,0)</f>
        <v>42296857</v>
      </c>
      <c r="R570" s="267"/>
      <c r="S570" s="267"/>
      <c r="T570" s="267"/>
      <c r="U570" s="267"/>
      <c r="V570" s="267"/>
      <c r="W570" s="267"/>
      <c r="X570" s="267"/>
      <c r="Y570" s="267"/>
      <c r="Z570" s="267"/>
      <c r="AA570" s="267"/>
      <c r="AB570" s="301"/>
      <c r="AD570" s="321"/>
      <c r="AF570" s="279">
        <f t="shared" si="148"/>
        <v>3.180503094109155E-2</v>
      </c>
      <c r="AG570" s="309"/>
    </row>
    <row r="571" spans="2:34">
      <c r="B571" s="275" t="s">
        <v>154</v>
      </c>
      <c r="E571" s="102">
        <v>330718328.27574342</v>
      </c>
      <c r="G571" s="280">
        <f>G574-SUM(G568:G570)</f>
        <v>354400165.63277793</v>
      </c>
      <c r="I571" s="322">
        <v>5.5771999999999995</v>
      </c>
      <c r="J571" s="286" t="s">
        <v>314</v>
      </c>
      <c r="K571" s="267">
        <f>ROUND($I571*E571/100,0)</f>
        <v>18444823</v>
      </c>
      <c r="M571" s="267">
        <f>ROUND($I571*G571/100,0)</f>
        <v>19765606</v>
      </c>
      <c r="O571" s="322">
        <f t="shared" si="147"/>
        <v>5.7552000000000003</v>
      </c>
      <c r="P571" s="286" t="s">
        <v>314</v>
      </c>
      <c r="Q571" s="267">
        <f>ROUND(O571*$G571/100,0)</f>
        <v>20396438</v>
      </c>
      <c r="R571" s="267"/>
      <c r="S571" s="267"/>
      <c r="T571" s="267"/>
      <c r="U571" s="267"/>
      <c r="V571" s="267"/>
      <c r="W571" s="267"/>
      <c r="X571" s="267"/>
      <c r="Y571" s="267"/>
      <c r="Z571" s="267"/>
      <c r="AA571" s="267"/>
      <c r="AB571" s="301"/>
      <c r="AD571" s="321"/>
      <c r="AF571" s="279">
        <f t="shared" si="148"/>
        <v>3.1915656601879228E-2</v>
      </c>
    </row>
    <row r="572" spans="2:34">
      <c r="B572" s="275" t="s">
        <v>352</v>
      </c>
      <c r="E572" s="102">
        <v>0</v>
      </c>
      <c r="G572" s="280">
        <f>ROUND(E572*G564/E564,0)</f>
        <v>0</v>
      </c>
      <c r="I572" s="300">
        <v>108</v>
      </c>
      <c r="J572" s="299"/>
      <c r="K572" s="267">
        <f>ROUND($I572*E572,0)</f>
        <v>0</v>
      </c>
      <c r="M572" s="267">
        <f>ROUND($I572*G572,0)</f>
        <v>0</v>
      </c>
      <c r="O572" s="300">
        <f t="shared" si="147"/>
        <v>120</v>
      </c>
      <c r="P572" s="299"/>
      <c r="Q572" s="267">
        <f>ROUND(O572*$G572,0)</f>
        <v>0</v>
      </c>
      <c r="R572" s="267"/>
      <c r="S572" s="267"/>
      <c r="T572" s="267"/>
      <c r="U572" s="267"/>
      <c r="V572" s="267"/>
      <c r="W572" s="267"/>
      <c r="X572" s="267"/>
      <c r="Y572" s="267"/>
      <c r="Z572" s="267"/>
      <c r="AA572" s="267"/>
      <c r="AB572" s="301"/>
      <c r="AF572" s="279">
        <f t="shared" si="148"/>
        <v>0.11111111111111116</v>
      </c>
      <c r="AH572" s="309"/>
    </row>
    <row r="573" spans="2:34">
      <c r="B573" s="275" t="s">
        <v>333</v>
      </c>
      <c r="E573" s="103">
        <v>4123914</v>
      </c>
      <c r="G573" s="103">
        <v>0</v>
      </c>
      <c r="K573" s="308">
        <v>164164</v>
      </c>
      <c r="M573" s="308">
        <v>0</v>
      </c>
      <c r="Q573" s="308">
        <v>0</v>
      </c>
      <c r="R573" s="301"/>
      <c r="S573" s="301"/>
      <c r="T573" s="301"/>
      <c r="U573" s="301"/>
      <c r="V573" s="301"/>
      <c r="W573" s="301"/>
      <c r="X573" s="301"/>
      <c r="Y573" s="301"/>
      <c r="Z573" s="301"/>
      <c r="AA573" s="301"/>
    </row>
    <row r="574" spans="2:34" ht="16.5" thickBot="1">
      <c r="B574" s="275" t="s">
        <v>334</v>
      </c>
      <c r="E574" s="325">
        <f>SUM(E568:E571,E573)</f>
        <v>1273139625.5362649</v>
      </c>
      <c r="G574" s="325">
        <v>1359886464.6327779</v>
      </c>
      <c r="I574" s="318"/>
      <c r="K574" s="319">
        <f>SUM(K564:K573)</f>
        <v>116793063</v>
      </c>
      <c r="M574" s="319">
        <f>SUM(M564:M573)</f>
        <v>124402008</v>
      </c>
      <c r="O574" s="318"/>
      <c r="Q574" s="319">
        <f>SUM(Q564:Q573)</f>
        <v>128996204</v>
      </c>
      <c r="R574" s="301"/>
      <c r="S574" s="301"/>
      <c r="T574" s="301"/>
      <c r="U574" s="301"/>
      <c r="V574" s="301"/>
      <c r="W574" s="301"/>
      <c r="X574" s="301"/>
      <c r="Y574" s="301"/>
      <c r="Z574" s="301"/>
      <c r="AA574" s="301"/>
      <c r="AC574" s="264" t="s">
        <v>315</v>
      </c>
      <c r="AD574" s="315">
        <f>Q574/M574-1</f>
        <v>3.6930239904166218E-2</v>
      </c>
    </row>
    <row r="575" spans="2:34" ht="16.5" thickTop="1">
      <c r="E575" s="102"/>
      <c r="G575" s="102"/>
      <c r="AB575" s="267"/>
    </row>
    <row r="576" spans="2:34">
      <c r="B576" s="272" t="s">
        <v>158</v>
      </c>
      <c r="E576" s="102"/>
      <c r="G576" s="102"/>
      <c r="AB576" s="267"/>
    </row>
    <row r="577" spans="2:34">
      <c r="B577" s="275" t="s">
        <v>345</v>
      </c>
      <c r="E577" s="102">
        <v>43308.231666666499</v>
      </c>
      <c r="G577" s="280">
        <v>41306</v>
      </c>
      <c r="I577" s="300">
        <v>9</v>
      </c>
      <c r="J577" s="299"/>
      <c r="K577" s="267">
        <f>ROUND($I577*E577,0)</f>
        <v>389774</v>
      </c>
      <c r="M577" s="267">
        <f>ROUND($I577*G577,0)</f>
        <v>371754</v>
      </c>
      <c r="O577" s="300">
        <f t="shared" ref="O577:O585" si="149">O551</f>
        <v>10</v>
      </c>
      <c r="P577" s="299"/>
      <c r="Q577" s="267">
        <f>ROUND(O577*$G577,0)</f>
        <v>413060</v>
      </c>
      <c r="R577" s="267"/>
      <c r="S577" s="267"/>
      <c r="T577" s="267"/>
      <c r="U577" s="267"/>
      <c r="V577" s="267"/>
      <c r="W577" s="267"/>
      <c r="X577" s="267"/>
      <c r="Y577" s="267"/>
      <c r="Z577" s="267"/>
      <c r="AA577" s="267"/>
      <c r="AB577" s="267"/>
      <c r="AF577" s="279">
        <f t="shared" ref="AF577:AF585" si="150">O577/I577-1</f>
        <v>0.11111111111111116</v>
      </c>
    </row>
    <row r="578" spans="2:34">
      <c r="B578" s="275" t="s">
        <v>149</v>
      </c>
      <c r="E578" s="102">
        <v>19477.159251122401</v>
      </c>
      <c r="G578" s="280">
        <f>ROUND(E578*$G$587/$E$587,0)</f>
        <v>18935</v>
      </c>
      <c r="I578" s="300">
        <v>8</v>
      </c>
      <c r="J578" s="299"/>
      <c r="K578" s="267">
        <f>ROUND($I578*E578,0)</f>
        <v>155817</v>
      </c>
      <c r="M578" s="267">
        <f>ROUND($I578*G578,0)</f>
        <v>151480</v>
      </c>
      <c r="O578" s="300">
        <f t="shared" si="149"/>
        <v>8.25</v>
      </c>
      <c r="P578" s="299"/>
      <c r="Q578" s="267">
        <f>ROUND(O578*$G578,0)</f>
        <v>156214</v>
      </c>
      <c r="R578" s="267"/>
      <c r="S578" s="267"/>
      <c r="T578" s="267"/>
      <c r="U578" s="267"/>
      <c r="V578" s="267"/>
      <c r="W578" s="267"/>
      <c r="X578" s="267"/>
      <c r="Y578" s="267"/>
      <c r="Z578" s="267"/>
      <c r="AA578" s="267"/>
      <c r="AB578" s="267"/>
      <c r="AF578" s="279">
        <f t="shared" si="150"/>
        <v>3.125E-2</v>
      </c>
    </row>
    <row r="579" spans="2:34">
      <c r="B579" s="275" t="s">
        <v>150</v>
      </c>
      <c r="E579" s="102">
        <v>26456.035616438399</v>
      </c>
      <c r="G579" s="280">
        <f>ROUND(E579*$G$587/$E$587,0)</f>
        <v>25719</v>
      </c>
      <c r="I579" s="300">
        <v>8.0500000000000007</v>
      </c>
      <c r="J579" s="299"/>
      <c r="K579" s="267">
        <f>ROUND($I579*E579,0)</f>
        <v>212971</v>
      </c>
      <c r="M579" s="267">
        <f>ROUND($I579*G579,0)</f>
        <v>207038</v>
      </c>
      <c r="O579" s="300">
        <f t="shared" si="149"/>
        <v>8.3000000000000007</v>
      </c>
      <c r="P579" s="299"/>
      <c r="Q579" s="267">
        <f>ROUND(O579*$G579,0)</f>
        <v>213468</v>
      </c>
      <c r="R579" s="267"/>
      <c r="S579" s="267"/>
      <c r="T579" s="267"/>
      <c r="U579" s="267"/>
      <c r="V579" s="267"/>
      <c r="W579" s="267"/>
      <c r="X579" s="267"/>
      <c r="Y579" s="267"/>
      <c r="Z579" s="267"/>
      <c r="AA579" s="267"/>
      <c r="AB579" s="267"/>
      <c r="AF579" s="279">
        <f t="shared" si="150"/>
        <v>3.105590062111796E-2</v>
      </c>
    </row>
    <row r="580" spans="2:34">
      <c r="B580" s="275" t="s">
        <v>348</v>
      </c>
      <c r="E580" s="102">
        <v>4789.1219512195103</v>
      </c>
      <c r="G580" s="280">
        <f>ROUND(E580*$G$587/$E$587,0)</f>
        <v>4656</v>
      </c>
      <c r="I580" s="300">
        <v>-0.45</v>
      </c>
      <c r="J580" s="299"/>
      <c r="K580" s="267">
        <f>ROUND($I580*E580,0)</f>
        <v>-2155</v>
      </c>
      <c r="M580" s="267">
        <f>ROUND($I580*G580,0)</f>
        <v>-2095</v>
      </c>
      <c r="O580" s="300">
        <f t="shared" si="149"/>
        <v>-0.46</v>
      </c>
      <c r="P580" s="299"/>
      <c r="Q580" s="267">
        <f>ROUND(O580*$G580,0)</f>
        <v>-2142</v>
      </c>
      <c r="R580" s="267"/>
      <c r="S580" s="267"/>
      <c r="T580" s="267"/>
      <c r="U580" s="267"/>
      <c r="V580" s="267"/>
      <c r="W580" s="267"/>
      <c r="X580" s="267"/>
      <c r="Y580" s="267"/>
      <c r="Z580" s="267"/>
      <c r="AA580" s="267"/>
      <c r="AB580" s="267"/>
      <c r="AF580" s="279">
        <f t="shared" si="150"/>
        <v>2.2222222222222143E-2</v>
      </c>
    </row>
    <row r="581" spans="2:34">
      <c r="B581" s="275" t="s">
        <v>151</v>
      </c>
      <c r="E581" s="102">
        <v>12336301.017964073</v>
      </c>
      <c r="G581" s="280">
        <f>ROUND(E581*($G$587-$G$586)/($E$587-$E$586),0)</f>
        <v>12056849</v>
      </c>
      <c r="I581" s="332">
        <v>10.8148</v>
      </c>
      <c r="J581" s="286" t="s">
        <v>314</v>
      </c>
      <c r="K581" s="267">
        <f>ROUND($I581*E581/100,0)</f>
        <v>1334146</v>
      </c>
      <c r="M581" s="267">
        <f>ROUND($I581*G581/100,0)</f>
        <v>1303924</v>
      </c>
      <c r="O581" s="332">
        <f t="shared" si="149"/>
        <v>11.158799999999999</v>
      </c>
      <c r="P581" s="286" t="s">
        <v>314</v>
      </c>
      <c r="Q581" s="267">
        <f>ROUND(O581*$G581/100,0)</f>
        <v>1345400</v>
      </c>
      <c r="R581" s="267"/>
      <c r="S581" s="267"/>
      <c r="T581" s="267"/>
      <c r="U581" s="267"/>
      <c r="V581" s="267"/>
      <c r="W581" s="267"/>
      <c r="X581" s="267"/>
      <c r="Y581" s="267"/>
      <c r="Z581" s="267"/>
      <c r="AA581" s="267"/>
      <c r="AB581" s="267"/>
      <c r="AE581" s="309"/>
      <c r="AF581" s="279">
        <f t="shared" si="150"/>
        <v>3.1808262751044758E-2</v>
      </c>
    </row>
    <row r="582" spans="2:34">
      <c r="B582" s="275" t="s">
        <v>152</v>
      </c>
      <c r="E582" s="102">
        <v>12713822.786362013</v>
      </c>
      <c r="G582" s="280">
        <f>ROUND(E582*($G$587-$G$586)/($E$587-$E$586),0)</f>
        <v>12425819</v>
      </c>
      <c r="I582" s="332">
        <v>6.0632000000000001</v>
      </c>
      <c r="J582" s="286" t="s">
        <v>314</v>
      </c>
      <c r="K582" s="267">
        <f>ROUND($I582*E582/100,0)</f>
        <v>770865</v>
      </c>
      <c r="M582" s="267">
        <f>ROUND($I582*G582/100,0)</f>
        <v>753402</v>
      </c>
      <c r="O582" s="332">
        <f t="shared" si="149"/>
        <v>6.2560000000000002</v>
      </c>
      <c r="P582" s="286" t="s">
        <v>314</v>
      </c>
      <c r="Q582" s="267">
        <f>ROUND(O582*$G582/100,0)</f>
        <v>777359</v>
      </c>
      <c r="R582" s="267"/>
      <c r="S582" s="267"/>
      <c r="T582" s="267"/>
      <c r="U582" s="267"/>
      <c r="V582" s="267"/>
      <c r="W582" s="267"/>
      <c r="X582" s="267"/>
      <c r="Y582" s="267"/>
      <c r="Z582" s="267"/>
      <c r="AA582" s="267"/>
      <c r="AB582" s="301"/>
      <c r="AF582" s="279">
        <f t="shared" si="150"/>
        <v>3.1798390288956258E-2</v>
      </c>
    </row>
    <row r="583" spans="2:34">
      <c r="B583" s="275" t="s">
        <v>153</v>
      </c>
      <c r="E583" s="102">
        <v>17740706.006493505</v>
      </c>
      <c r="G583" s="280">
        <f>ROUND(E583*($G$587-$G$586)/($E$587-$E$586),0)</f>
        <v>17338829</v>
      </c>
      <c r="I583" s="332">
        <v>9.9543999999999997</v>
      </c>
      <c r="J583" s="286" t="s">
        <v>314</v>
      </c>
      <c r="K583" s="267">
        <f>ROUND($I583*E583/100,0)</f>
        <v>1765981</v>
      </c>
      <c r="M583" s="267">
        <f>ROUND($I583*G583/100,0)</f>
        <v>1725976</v>
      </c>
      <c r="O583" s="332">
        <f t="shared" si="149"/>
        <v>10.271000000000001</v>
      </c>
      <c r="P583" s="286" t="s">
        <v>314</v>
      </c>
      <c r="Q583" s="267">
        <f>ROUND(O583*$G583/100,0)</f>
        <v>1780871</v>
      </c>
      <c r="R583" s="267"/>
      <c r="S583" s="267"/>
      <c r="T583" s="267"/>
      <c r="U583" s="267"/>
      <c r="V583" s="267"/>
      <c r="W583" s="267"/>
      <c r="X583" s="267"/>
      <c r="Y583" s="267"/>
      <c r="Z583" s="267"/>
      <c r="AA583" s="267"/>
      <c r="AB583" s="301"/>
      <c r="AF583" s="279">
        <f t="shared" si="150"/>
        <v>3.180503094109155E-2</v>
      </c>
      <c r="AG583" s="309"/>
    </row>
    <row r="584" spans="2:34">
      <c r="B584" s="275" t="s">
        <v>154</v>
      </c>
      <c r="E584" s="102">
        <v>17988705.579397228</v>
      </c>
      <c r="G584" s="280">
        <f>G587-G581-G582-G583</f>
        <v>17581212</v>
      </c>
      <c r="I584" s="332">
        <v>5.5771999999999995</v>
      </c>
      <c r="J584" s="286" t="s">
        <v>314</v>
      </c>
      <c r="K584" s="267">
        <f>ROUND($I584*E584/100,0)</f>
        <v>1003266</v>
      </c>
      <c r="M584" s="267">
        <f>ROUND($I584*G584/100,0)</f>
        <v>980539</v>
      </c>
      <c r="O584" s="332">
        <f t="shared" si="149"/>
        <v>5.7552000000000003</v>
      </c>
      <c r="P584" s="286" t="s">
        <v>314</v>
      </c>
      <c r="Q584" s="267">
        <f>ROUND(O584*$G584/100,0)</f>
        <v>1011834</v>
      </c>
      <c r="R584" s="267"/>
      <c r="S584" s="267"/>
      <c r="T584" s="267"/>
      <c r="U584" s="267"/>
      <c r="V584" s="267"/>
      <c r="W584" s="267"/>
      <c r="X584" s="267"/>
      <c r="Y584" s="267"/>
      <c r="Z584" s="267"/>
      <c r="AA584" s="267"/>
      <c r="AB584" s="301"/>
      <c r="AF584" s="279">
        <f t="shared" si="150"/>
        <v>3.1915656601879228E-2</v>
      </c>
    </row>
    <row r="585" spans="2:34">
      <c r="B585" s="275" t="s">
        <v>352</v>
      </c>
      <c r="E585" s="102">
        <v>0</v>
      </c>
      <c r="G585" s="280">
        <f>ROUND(E585*G577/E577,0)</f>
        <v>0</v>
      </c>
      <c r="I585" s="300">
        <v>108</v>
      </c>
      <c r="J585" s="299"/>
      <c r="K585" s="267">
        <f>ROUND($I585*E585,0)</f>
        <v>0</v>
      </c>
      <c r="M585" s="267">
        <f>ROUND($I585*G585,0)</f>
        <v>0</v>
      </c>
      <c r="O585" s="300">
        <f t="shared" si="149"/>
        <v>120</v>
      </c>
      <c r="P585" s="299"/>
      <c r="Q585" s="267">
        <f>ROUND(O585*$G585,0)</f>
        <v>0</v>
      </c>
      <c r="R585" s="267"/>
      <c r="S585" s="267"/>
      <c r="T585" s="267"/>
      <c r="U585" s="267"/>
      <c r="V585" s="267"/>
      <c r="W585" s="267"/>
      <c r="X585" s="267"/>
      <c r="Y585" s="267"/>
      <c r="Z585" s="267"/>
      <c r="AA585" s="267"/>
      <c r="AB585" s="301"/>
      <c r="AF585" s="279">
        <f t="shared" si="150"/>
        <v>0.11111111111111116</v>
      </c>
      <c r="AH585" s="309"/>
    </row>
    <row r="586" spans="2:34">
      <c r="B586" s="275" t="s">
        <v>333</v>
      </c>
      <c r="E586" s="103">
        <v>324785</v>
      </c>
      <c r="G586" s="103">
        <v>0</v>
      </c>
      <c r="K586" s="308">
        <v>13568</v>
      </c>
      <c r="M586" s="308">
        <v>0</v>
      </c>
      <c r="Q586" s="308">
        <v>0</v>
      </c>
      <c r="R586" s="301"/>
      <c r="S586" s="301"/>
      <c r="T586" s="301"/>
      <c r="U586" s="301"/>
      <c r="V586" s="301"/>
      <c r="W586" s="301"/>
      <c r="X586" s="301"/>
      <c r="Y586" s="301"/>
      <c r="Z586" s="301"/>
      <c r="AA586" s="301"/>
    </row>
    <row r="587" spans="2:34" ht="16.5" thickBot="1">
      <c r="B587" s="275" t="s">
        <v>334</v>
      </c>
      <c r="E587" s="325">
        <f>SUM(E581:E584,E586)</f>
        <v>61104320.390216827</v>
      </c>
      <c r="G587" s="325">
        <v>59402709</v>
      </c>
      <c r="I587" s="318"/>
      <c r="K587" s="319">
        <f>SUM(K577:K586)</f>
        <v>5644233</v>
      </c>
      <c r="M587" s="319">
        <f>SUM(M577:M586)</f>
        <v>5492018</v>
      </c>
      <c r="O587" s="318"/>
      <c r="Q587" s="319">
        <f>SUM(Q577:Q586)</f>
        <v>5696064</v>
      </c>
      <c r="R587" s="301"/>
      <c r="S587" s="301"/>
      <c r="T587" s="301"/>
      <c r="U587" s="301"/>
      <c r="V587" s="301"/>
      <c r="W587" s="301"/>
      <c r="X587" s="301"/>
      <c r="Y587" s="301"/>
      <c r="Z587" s="301"/>
      <c r="AA587" s="301"/>
      <c r="AC587" s="264" t="s">
        <v>315</v>
      </c>
      <c r="AD587" s="315">
        <f>Q587/M587-1</f>
        <v>3.7153192141759162E-2</v>
      </c>
    </row>
    <row r="588" spans="2:34" ht="16.5" thickTop="1">
      <c r="E588" s="102"/>
      <c r="G588" s="102"/>
      <c r="AB588" s="267"/>
    </row>
    <row r="589" spans="2:34">
      <c r="B589" s="272" t="s">
        <v>159</v>
      </c>
      <c r="E589" s="102"/>
      <c r="G589" s="102"/>
      <c r="AB589" s="267"/>
    </row>
    <row r="590" spans="2:34">
      <c r="B590" s="275" t="s">
        <v>345</v>
      </c>
      <c r="E590" s="102">
        <v>36</v>
      </c>
      <c r="G590" s="280">
        <v>36</v>
      </c>
      <c r="I590" s="300">
        <v>9</v>
      </c>
      <c r="J590" s="299"/>
      <c r="K590" s="267">
        <f>ROUND($I590*E590,0)</f>
        <v>324</v>
      </c>
      <c r="M590" s="267">
        <f>ROUND($I590*G590,0)</f>
        <v>324</v>
      </c>
      <c r="O590" s="300">
        <f t="shared" ref="O590:O598" si="151">O551</f>
        <v>10</v>
      </c>
      <c r="P590" s="299"/>
      <c r="Q590" s="267">
        <f>ROUND(O590*$G590,0)</f>
        <v>360</v>
      </c>
      <c r="R590" s="267"/>
      <c r="S590" s="267"/>
      <c r="T590" s="267"/>
      <c r="U590" s="267"/>
      <c r="V590" s="267"/>
      <c r="W590" s="267"/>
      <c r="X590" s="267"/>
      <c r="Y590" s="267"/>
      <c r="Z590" s="267"/>
      <c r="AA590" s="267"/>
      <c r="AB590" s="267"/>
      <c r="AF590" s="279">
        <f t="shared" ref="AF590:AF598" si="152">O590/I590-1</f>
        <v>0.11111111111111116</v>
      </c>
    </row>
    <row r="591" spans="2:34">
      <c r="B591" s="275" t="s">
        <v>149</v>
      </c>
      <c r="E591" s="102">
        <v>0</v>
      </c>
      <c r="G591" s="280">
        <f>ROUND(E591*$G$600/$E$600,0)</f>
        <v>0</v>
      </c>
      <c r="I591" s="300">
        <v>8</v>
      </c>
      <c r="J591" s="299"/>
      <c r="K591" s="267">
        <f>ROUND($I591*E591,0)</f>
        <v>0</v>
      </c>
      <c r="M591" s="267">
        <f>ROUND($I591*G591,0)</f>
        <v>0</v>
      </c>
      <c r="O591" s="300">
        <f t="shared" si="151"/>
        <v>8.25</v>
      </c>
      <c r="P591" s="299"/>
      <c r="Q591" s="267">
        <f>ROUND(O591*$G591,0)</f>
        <v>0</v>
      </c>
      <c r="R591" s="267"/>
      <c r="S591" s="267"/>
      <c r="T591" s="267"/>
      <c r="U591" s="267"/>
      <c r="V591" s="267"/>
      <c r="W591" s="267"/>
      <c r="X591" s="267"/>
      <c r="Y591" s="267"/>
      <c r="Z591" s="267"/>
      <c r="AA591" s="267"/>
      <c r="AB591" s="267"/>
      <c r="AF591" s="279">
        <f t="shared" si="152"/>
        <v>3.125E-2</v>
      </c>
    </row>
    <row r="592" spans="2:34">
      <c r="B592" s="275" t="s">
        <v>150</v>
      </c>
      <c r="E592" s="102">
        <v>0</v>
      </c>
      <c r="G592" s="280">
        <f>ROUND(E592*$G$600/$E$600,0)</f>
        <v>0</v>
      </c>
      <c r="I592" s="300">
        <v>8.0500000000000007</v>
      </c>
      <c r="J592" s="299"/>
      <c r="K592" s="267">
        <f>ROUND($I592*E592,0)</f>
        <v>0</v>
      </c>
      <c r="M592" s="267">
        <f>ROUND($I592*G592,0)</f>
        <v>0</v>
      </c>
      <c r="O592" s="300">
        <f t="shared" si="151"/>
        <v>8.3000000000000007</v>
      </c>
      <c r="P592" s="299"/>
      <c r="Q592" s="267">
        <f>ROUND(O592*$G592,0)</f>
        <v>0</v>
      </c>
      <c r="R592" s="267"/>
      <c r="S592" s="267"/>
      <c r="T592" s="267"/>
      <c r="U592" s="267"/>
      <c r="V592" s="267"/>
      <c r="W592" s="267"/>
      <c r="X592" s="267"/>
      <c r="Y592" s="267"/>
      <c r="Z592" s="267"/>
      <c r="AA592" s="267"/>
      <c r="AB592" s="267"/>
      <c r="AF592" s="279">
        <f t="shared" si="152"/>
        <v>3.105590062111796E-2</v>
      </c>
    </row>
    <row r="593" spans="2:34">
      <c r="B593" s="275" t="s">
        <v>348</v>
      </c>
      <c r="E593" s="102">
        <v>0</v>
      </c>
      <c r="G593" s="280">
        <f>ROUND(E593*$G$600/$E$600,0)</f>
        <v>0</v>
      </c>
      <c r="I593" s="300">
        <v>-0.45</v>
      </c>
      <c r="J593" s="299"/>
      <c r="K593" s="267">
        <f>ROUND($I593*E593,0)</f>
        <v>0</v>
      </c>
      <c r="M593" s="267">
        <f>ROUND($I593*G593,0)</f>
        <v>0</v>
      </c>
      <c r="O593" s="300">
        <f t="shared" si="151"/>
        <v>-0.46</v>
      </c>
      <c r="P593" s="299"/>
      <c r="Q593" s="267">
        <f>ROUND(O593*$G593,0)</f>
        <v>0</v>
      </c>
      <c r="R593" s="267"/>
      <c r="S593" s="267"/>
      <c r="T593" s="267"/>
      <c r="U593" s="267"/>
      <c r="V593" s="267"/>
      <c r="W593" s="267"/>
      <c r="X593" s="267"/>
      <c r="Y593" s="267"/>
      <c r="Z593" s="267"/>
      <c r="AA593" s="267"/>
      <c r="AB593" s="267"/>
      <c r="AF593" s="279">
        <f t="shared" si="152"/>
        <v>2.2222222222222143E-2</v>
      </c>
    </row>
    <row r="594" spans="2:34">
      <c r="B594" s="275" t="s">
        <v>151</v>
      </c>
      <c r="E594" s="102">
        <v>9799</v>
      </c>
      <c r="G594" s="280">
        <f>ROUND(E594*($G$600-$G$599)/($E$600-$E$599),0)</f>
        <v>10194</v>
      </c>
      <c r="I594" s="322">
        <v>10.8148</v>
      </c>
      <c r="J594" s="286" t="s">
        <v>314</v>
      </c>
      <c r="K594" s="267">
        <f>ROUND($I594*E594/100,0)</f>
        <v>1060</v>
      </c>
      <c r="M594" s="267">
        <f>ROUND($I594*G594/100,0)</f>
        <v>1102</v>
      </c>
      <c r="O594" s="322">
        <f t="shared" si="151"/>
        <v>11.158799999999999</v>
      </c>
      <c r="P594" s="286" t="s">
        <v>314</v>
      </c>
      <c r="Q594" s="267">
        <f>ROUND(O594*$G594/100,0)</f>
        <v>1138</v>
      </c>
      <c r="R594" s="267"/>
      <c r="S594" s="267"/>
      <c r="T594" s="267"/>
      <c r="U594" s="267"/>
      <c r="V594" s="267"/>
      <c r="W594" s="267"/>
      <c r="X594" s="267"/>
      <c r="Y594" s="267"/>
      <c r="Z594" s="267"/>
      <c r="AA594" s="267"/>
      <c r="AB594" s="267"/>
      <c r="AE594" s="309"/>
      <c r="AF594" s="279">
        <f t="shared" si="152"/>
        <v>3.1808262751044758E-2</v>
      </c>
    </row>
    <row r="595" spans="2:34">
      <c r="B595" s="275" t="s">
        <v>152</v>
      </c>
      <c r="E595" s="102">
        <v>2749</v>
      </c>
      <c r="G595" s="280">
        <f>ROUND(E595*($G$600-$G$599)/($E$600-$E$599),0)</f>
        <v>2860</v>
      </c>
      <c r="I595" s="322">
        <v>6.0632000000000001</v>
      </c>
      <c r="J595" s="286" t="s">
        <v>314</v>
      </c>
      <c r="K595" s="267">
        <f>ROUND($I595*E595/100,0)</f>
        <v>167</v>
      </c>
      <c r="M595" s="267">
        <f>ROUND($I595*G595/100,0)</f>
        <v>173</v>
      </c>
      <c r="O595" s="322">
        <f t="shared" si="151"/>
        <v>6.2560000000000002</v>
      </c>
      <c r="P595" s="286" t="s">
        <v>314</v>
      </c>
      <c r="Q595" s="267">
        <f>ROUND(O595*$G595/100,0)</f>
        <v>179</v>
      </c>
      <c r="R595" s="267"/>
      <c r="S595" s="267"/>
      <c r="T595" s="267"/>
      <c r="U595" s="267"/>
      <c r="V595" s="267"/>
      <c r="W595" s="267"/>
      <c r="X595" s="267"/>
      <c r="Y595" s="267"/>
      <c r="Z595" s="267"/>
      <c r="AA595" s="267"/>
      <c r="AB595" s="301"/>
      <c r="AF595" s="279">
        <f t="shared" si="152"/>
        <v>3.1798390288956258E-2</v>
      </c>
    </row>
    <row r="596" spans="2:34">
      <c r="B596" s="275" t="s">
        <v>153</v>
      </c>
      <c r="E596" s="102">
        <v>20831</v>
      </c>
      <c r="G596" s="280">
        <f>ROUND(E596*($G$600-$G$599)/($E$600-$E$599),0)</f>
        <v>21671</v>
      </c>
      <c r="I596" s="322">
        <v>9.9543999999999997</v>
      </c>
      <c r="J596" s="286" t="s">
        <v>314</v>
      </c>
      <c r="K596" s="267">
        <f>ROUND($I596*E596/100,0)</f>
        <v>2074</v>
      </c>
      <c r="M596" s="267">
        <f>ROUND($I596*G596/100,0)</f>
        <v>2157</v>
      </c>
      <c r="O596" s="322">
        <f t="shared" si="151"/>
        <v>10.271000000000001</v>
      </c>
      <c r="P596" s="286" t="s">
        <v>314</v>
      </c>
      <c r="Q596" s="267">
        <f>ROUND(O596*$G596/100,0)</f>
        <v>2226</v>
      </c>
      <c r="R596" s="267"/>
      <c r="S596" s="267"/>
      <c r="T596" s="267"/>
      <c r="U596" s="267"/>
      <c r="V596" s="267"/>
      <c r="W596" s="267"/>
      <c r="X596" s="267"/>
      <c r="Y596" s="267"/>
      <c r="Z596" s="267"/>
      <c r="AA596" s="267"/>
      <c r="AB596" s="301"/>
      <c r="AF596" s="279">
        <f t="shared" si="152"/>
        <v>3.180503094109155E-2</v>
      </c>
      <c r="AG596" s="309"/>
    </row>
    <row r="597" spans="2:34">
      <c r="B597" s="275" t="s">
        <v>154</v>
      </c>
      <c r="E597" s="102">
        <v>2164</v>
      </c>
      <c r="G597" s="280">
        <f>G600-G594-G595-G596</f>
        <v>2251</v>
      </c>
      <c r="I597" s="322">
        <v>5.5771999999999995</v>
      </c>
      <c r="J597" s="286" t="s">
        <v>314</v>
      </c>
      <c r="K597" s="267">
        <f>ROUND($I597*E597/100,0)</f>
        <v>121</v>
      </c>
      <c r="M597" s="267">
        <f>ROUND($I597*G597/100,0)</f>
        <v>126</v>
      </c>
      <c r="O597" s="322">
        <f t="shared" si="151"/>
        <v>5.7552000000000003</v>
      </c>
      <c r="P597" s="286" t="s">
        <v>314</v>
      </c>
      <c r="Q597" s="267">
        <f>ROUND(O597*$G597/100,0)</f>
        <v>130</v>
      </c>
      <c r="R597" s="267"/>
      <c r="S597" s="267"/>
      <c r="T597" s="267"/>
      <c r="U597" s="267"/>
      <c r="V597" s="267"/>
      <c r="W597" s="267"/>
      <c r="X597" s="267"/>
      <c r="Y597" s="267"/>
      <c r="Z597" s="267"/>
      <c r="AA597" s="267"/>
      <c r="AB597" s="301"/>
      <c r="AF597" s="279">
        <f t="shared" si="152"/>
        <v>3.1915656601879228E-2</v>
      </c>
    </row>
    <row r="598" spans="2:34">
      <c r="B598" s="275" t="s">
        <v>352</v>
      </c>
      <c r="E598" s="102">
        <v>0</v>
      </c>
      <c r="G598" s="280">
        <f>ROUND(E598*G590/E590,0)</f>
        <v>0</v>
      </c>
      <c r="I598" s="300">
        <v>108</v>
      </c>
      <c r="J598" s="299"/>
      <c r="K598" s="267">
        <f>ROUND($I598*E598,0)</f>
        <v>0</v>
      </c>
      <c r="M598" s="267">
        <f>ROUND($I598*G598,0)</f>
        <v>0</v>
      </c>
      <c r="O598" s="300">
        <f t="shared" si="151"/>
        <v>120</v>
      </c>
      <c r="P598" s="299"/>
      <c r="Q598" s="267">
        <f>ROUND(O598*$G598,0)</f>
        <v>0</v>
      </c>
      <c r="R598" s="267"/>
      <c r="S598" s="267"/>
      <c r="T598" s="267"/>
      <c r="U598" s="267"/>
      <c r="V598" s="267"/>
      <c r="W598" s="267"/>
      <c r="X598" s="267"/>
      <c r="Y598" s="267"/>
      <c r="Z598" s="267"/>
      <c r="AA598" s="267"/>
      <c r="AB598" s="301"/>
      <c r="AF598" s="279">
        <f t="shared" si="152"/>
        <v>0.11111111111111116</v>
      </c>
      <c r="AH598" s="309"/>
    </row>
    <row r="599" spans="2:34">
      <c r="B599" s="275" t="s">
        <v>333</v>
      </c>
      <c r="E599" s="103">
        <v>-173</v>
      </c>
      <c r="G599" s="103">
        <v>0</v>
      </c>
      <c r="K599" s="308">
        <v>-11.459999999999127</v>
      </c>
      <c r="M599" s="308">
        <v>0</v>
      </c>
      <c r="Q599" s="308">
        <v>0</v>
      </c>
      <c r="R599" s="301"/>
      <c r="S599" s="301"/>
      <c r="T599" s="301"/>
      <c r="U599" s="301"/>
      <c r="V599" s="301"/>
      <c r="W599" s="301"/>
      <c r="X599" s="301"/>
      <c r="Y599" s="301"/>
      <c r="Z599" s="301"/>
      <c r="AA599" s="301"/>
    </row>
    <row r="600" spans="2:34" ht="16.5" thickBot="1">
      <c r="B600" s="275" t="s">
        <v>334</v>
      </c>
      <c r="E600" s="325">
        <f>SUM(E594:E597,E599)</f>
        <v>35370</v>
      </c>
      <c r="G600" s="325">
        <v>36976</v>
      </c>
      <c r="I600" s="318"/>
      <c r="K600" s="319">
        <f>SUM(K590:K599)</f>
        <v>3734.5400000000009</v>
      </c>
      <c r="M600" s="319">
        <f>SUM(M590:M599)</f>
        <v>3882</v>
      </c>
      <c r="O600" s="318"/>
      <c r="Q600" s="319">
        <f>SUM(Q590:Q599)</f>
        <v>4033</v>
      </c>
      <c r="R600" s="301"/>
      <c r="S600" s="301"/>
      <c r="T600" s="301"/>
      <c r="U600" s="301"/>
      <c r="V600" s="301"/>
      <c r="W600" s="301"/>
      <c r="X600" s="301"/>
      <c r="Y600" s="301"/>
      <c r="Z600" s="301"/>
      <c r="AA600" s="301"/>
      <c r="AC600" s="264" t="s">
        <v>315</v>
      </c>
      <c r="AD600" s="315">
        <f>Q600/M600-1</f>
        <v>3.8897475528078207E-2</v>
      </c>
    </row>
    <row r="601" spans="2:34" ht="16.5" thickTop="1">
      <c r="AB601" s="267"/>
    </row>
    <row r="602" spans="2:34">
      <c r="B602" s="272" t="s">
        <v>160</v>
      </c>
      <c r="E602" s="102"/>
      <c r="G602" s="102"/>
      <c r="I602" s="322"/>
      <c r="J602" s="330"/>
      <c r="O602" s="322"/>
      <c r="P602" s="330"/>
      <c r="AB602" s="267"/>
    </row>
    <row r="603" spans="2:34">
      <c r="B603" s="369" t="s">
        <v>161</v>
      </c>
      <c r="E603" s="102"/>
      <c r="G603" s="102"/>
      <c r="AB603" s="267"/>
      <c r="AC603" s="264" t="s">
        <v>162</v>
      </c>
      <c r="AF603" s="378"/>
      <c r="AG603" s="267"/>
    </row>
    <row r="604" spans="2:34">
      <c r="B604" s="275" t="s">
        <v>25</v>
      </c>
      <c r="C604" s="275"/>
      <c r="D604" s="275"/>
      <c r="E604" s="102">
        <f>E647+E690</f>
        <v>0</v>
      </c>
      <c r="G604" s="102">
        <f>G647+G690</f>
        <v>0</v>
      </c>
      <c r="I604" s="99">
        <v>116</v>
      </c>
      <c r="J604" s="276"/>
      <c r="K604" s="267">
        <f>ROUND(I604*$E604,0)</f>
        <v>0</v>
      </c>
      <c r="M604" s="267">
        <f>ROUND(I604*$G604,0)</f>
        <v>0</v>
      </c>
      <c r="O604" s="99">
        <f>ROUND(I604*(1+$AD$609),0)</f>
        <v>125</v>
      </c>
      <c r="P604" s="276"/>
      <c r="Q604" s="267">
        <f>ROUND(O604*$G604,0)</f>
        <v>0</v>
      </c>
      <c r="R604" s="267"/>
      <c r="S604" s="267"/>
      <c r="T604" s="267"/>
      <c r="U604" s="267"/>
      <c r="V604" s="267"/>
      <c r="W604" s="267"/>
      <c r="X604" s="267"/>
      <c r="Y604" s="267"/>
      <c r="Z604" s="267"/>
      <c r="AA604" s="267"/>
      <c r="AB604" s="267"/>
      <c r="AC604" s="277" t="s">
        <v>308</v>
      </c>
      <c r="AD604" s="278">
        <f>Q643+SUM(Q745:Q750)</f>
        <v>9611851</v>
      </c>
      <c r="AE604" s="378"/>
      <c r="AF604" s="279">
        <f t="shared" ref="AF604:AF605" si="153">O604/I604-1</f>
        <v>7.7586206896551824E-2</v>
      </c>
    </row>
    <row r="605" spans="2:34">
      <c r="B605" s="275" t="s">
        <v>26</v>
      </c>
      <c r="C605" s="275"/>
      <c r="D605" s="275"/>
      <c r="E605" s="102">
        <f>E648+E691</f>
        <v>0</v>
      </c>
      <c r="G605" s="102">
        <f>G648+G691</f>
        <v>0</v>
      </c>
      <c r="I605" s="99">
        <v>4.26</v>
      </c>
      <c r="J605" s="276"/>
      <c r="K605" s="267">
        <f>ROUND(I605*$E605,0)</f>
        <v>0</v>
      </c>
      <c r="M605" s="267">
        <f>ROUND(I605*$G605,0)</f>
        <v>0</v>
      </c>
      <c r="O605" s="99">
        <f>ROUND(I605*(1+$AD$609),2)</f>
        <v>4.58</v>
      </c>
      <c r="P605" s="276"/>
      <c r="Q605" s="267">
        <f>ROUND(O605*$G605,0)</f>
        <v>0</v>
      </c>
      <c r="R605" s="267"/>
      <c r="S605" s="267"/>
      <c r="T605" s="267"/>
      <c r="U605" s="267"/>
      <c r="V605" s="267"/>
      <c r="W605" s="267"/>
      <c r="X605" s="267"/>
      <c r="Y605" s="267"/>
      <c r="Z605" s="267"/>
      <c r="AA605" s="267"/>
      <c r="AB605" s="267"/>
      <c r="AC605" s="281" t="s">
        <v>310</v>
      </c>
      <c r="AD605" s="282">
        <f>(RateSpread!M33+RateSpread!M36*SUM('Resid Rate Calc (rev WRG-3)'!M745:M750)/'Resid Rate Calc (rev WRG-3)'!M758)*1000</f>
        <v>9611828.6028338689</v>
      </c>
      <c r="AF605" s="279">
        <f t="shared" si="153"/>
        <v>7.5117370892018753E-2</v>
      </c>
      <c r="AH605" s="102"/>
    </row>
    <row r="606" spans="2:34">
      <c r="B606" s="275" t="s">
        <v>27</v>
      </c>
      <c r="C606" s="275"/>
      <c r="D606" s="275"/>
      <c r="E606" s="102"/>
      <c r="G606" s="102"/>
      <c r="I606" s="300"/>
      <c r="J606" s="299"/>
      <c r="K606" s="267"/>
      <c r="M606" s="267"/>
      <c r="O606" s="300"/>
      <c r="P606" s="299"/>
      <c r="Q606" s="267"/>
      <c r="R606" s="267"/>
      <c r="S606" s="267"/>
      <c r="T606" s="267"/>
      <c r="U606" s="267"/>
      <c r="V606" s="267"/>
      <c r="W606" s="267"/>
      <c r="X606" s="267"/>
      <c r="Y606" s="267"/>
      <c r="Z606" s="267"/>
      <c r="AA606" s="267"/>
      <c r="AC606" s="283" t="s">
        <v>312</v>
      </c>
      <c r="AD606" s="284">
        <f>AD605-AD604</f>
        <v>-22.397166131064296</v>
      </c>
      <c r="AE606" s="378"/>
      <c r="AF606" s="378"/>
      <c r="AG606" s="267"/>
    </row>
    <row r="607" spans="2:34">
      <c r="B607" s="275" t="s">
        <v>28</v>
      </c>
      <c r="C607" s="275"/>
      <c r="D607" s="275"/>
      <c r="E607" s="102">
        <f>E650+E693</f>
        <v>0</v>
      </c>
      <c r="G607" s="102">
        <f>G650+G693</f>
        <v>0</v>
      </c>
      <c r="I607" s="379">
        <v>0.58679999999999999</v>
      </c>
      <c r="J607" s="380"/>
      <c r="K607" s="267">
        <f>ROUND(I607*$E607,0)</f>
        <v>0</v>
      </c>
      <c r="M607" s="267">
        <f>ROUND(I607*$G607,0)</f>
        <v>0</v>
      </c>
      <c r="O607" s="379">
        <f>ROUND(I607*(1+$AD$609),4)</f>
        <v>0.63080000000000003</v>
      </c>
      <c r="P607" s="380"/>
      <c r="Q607" s="267">
        <f>ROUND(O607*$G607,0)</f>
        <v>0</v>
      </c>
      <c r="R607" s="267"/>
      <c r="S607" s="267"/>
      <c r="T607" s="267"/>
      <c r="U607" s="267"/>
      <c r="V607" s="267"/>
      <c r="W607" s="267"/>
      <c r="X607" s="267"/>
      <c r="Y607" s="267"/>
      <c r="Z607" s="267"/>
      <c r="AA607" s="267"/>
      <c r="AB607" s="267"/>
      <c r="AC607" s="287" t="s">
        <v>315</v>
      </c>
      <c r="AD607" s="323">
        <f>AD604/SUM(M643,M745:M750)-1</f>
        <v>6.6954426175643844E-2</v>
      </c>
      <c r="AE607" s="378"/>
      <c r="AF607" s="279">
        <f t="shared" ref="AF607:AF609" si="154">O607/I607-1</f>
        <v>7.4982958418541301E-2</v>
      </c>
    </row>
    <row r="608" spans="2:34">
      <c r="B608" s="275" t="s">
        <v>29</v>
      </c>
      <c r="C608" s="275"/>
      <c r="D608" s="275"/>
      <c r="E608" s="102">
        <f>E651+E694</f>
        <v>0</v>
      </c>
      <c r="G608" s="102">
        <f>G651+G694</f>
        <v>0</v>
      </c>
      <c r="I608" s="381">
        <v>0.29339999999999999</v>
      </c>
      <c r="J608" s="382"/>
      <c r="K608" s="267">
        <f>ROUND(I608*$E608,0)</f>
        <v>0</v>
      </c>
      <c r="M608" s="267">
        <f>ROUND(I608*$G608,0)</f>
        <v>0</v>
      </c>
      <c r="O608" s="381">
        <f>ROUND(O607*0.5,4)</f>
        <v>0.31540000000000001</v>
      </c>
      <c r="P608" s="382"/>
      <c r="Q608" s="267">
        <f>ROUND(O608*$G608,0)</f>
        <v>0</v>
      </c>
      <c r="R608" s="267"/>
      <c r="S608" s="267"/>
      <c r="T608" s="267"/>
      <c r="U608" s="267"/>
      <c r="V608" s="267"/>
      <c r="W608" s="267"/>
      <c r="X608" s="267"/>
      <c r="Y608" s="267"/>
      <c r="Z608" s="267"/>
      <c r="AA608" s="267"/>
      <c r="AB608" s="267"/>
      <c r="AC608" s="291" t="s">
        <v>317</v>
      </c>
      <c r="AD608" s="324">
        <f>AD605/SUM(M643,M745:M750)-1</f>
        <v>6.6951939999408294E-2</v>
      </c>
      <c r="AE608" s="378"/>
      <c r="AF608" s="279">
        <f t="shared" si="154"/>
        <v>7.4982958418541301E-2</v>
      </c>
      <c r="AG608" s="267"/>
      <c r="AH608" s="102"/>
    </row>
    <row r="609" spans="2:34">
      <c r="B609" s="275" t="s">
        <v>30</v>
      </c>
      <c r="C609" s="275"/>
      <c r="D609" s="275"/>
      <c r="E609" s="102">
        <f>E652+E695</f>
        <v>0</v>
      </c>
      <c r="G609" s="102">
        <f>G652+G695</f>
        <v>0</v>
      </c>
      <c r="I609" s="99">
        <v>55.28</v>
      </c>
      <c r="J609" s="276"/>
      <c r="K609" s="267">
        <f>ROUND(I609*$E609,0)</f>
        <v>0</v>
      </c>
      <c r="M609" s="267">
        <f>ROUND(I609*$G609,0)</f>
        <v>0</v>
      </c>
      <c r="O609" s="99">
        <f>ROUND(I609*(1+$AD$609),2)</f>
        <v>59.43</v>
      </c>
      <c r="P609" s="276"/>
      <c r="Q609" s="267">
        <f>ROUND(O609*$G609,0)</f>
        <v>0</v>
      </c>
      <c r="R609" s="267"/>
      <c r="S609" s="267"/>
      <c r="T609" s="267"/>
      <c r="U609" s="267"/>
      <c r="V609" s="267"/>
      <c r="W609" s="267"/>
      <c r="X609" s="267"/>
      <c r="Y609" s="267"/>
      <c r="Z609" s="267"/>
      <c r="AA609" s="267"/>
      <c r="AB609" s="267"/>
      <c r="AC609" s="291" t="s">
        <v>31</v>
      </c>
      <c r="AD609" s="324">
        <f>(AD605-Q641)/SUM(M624,M745:M750)-1</f>
        <v>7.506426777125097E-2</v>
      </c>
      <c r="AF609" s="279">
        <f t="shared" si="154"/>
        <v>7.5072358900144742E-2</v>
      </c>
      <c r="AG609" s="267"/>
    </row>
    <row r="610" spans="2:34">
      <c r="B610" s="369" t="s">
        <v>32</v>
      </c>
      <c r="E610" s="102"/>
      <c r="G610" s="102"/>
      <c r="AB610" s="267"/>
      <c r="AC610" s="305"/>
      <c r="AD610" s="326"/>
      <c r="AF610" s="378"/>
      <c r="AG610" s="267"/>
      <c r="AH610" s="102"/>
    </row>
    <row r="611" spans="2:34">
      <c r="B611" s="275" t="s">
        <v>25</v>
      </c>
      <c r="E611" s="102">
        <f>E654+E697</f>
        <v>23.9999855072464</v>
      </c>
      <c r="G611" s="102">
        <f>G654+G697</f>
        <v>34.559999165216908</v>
      </c>
      <c r="I611" s="99">
        <v>527</v>
      </c>
      <c r="J611" s="276"/>
      <c r="K611" s="267">
        <f>ROUND(I611*$E611,0)</f>
        <v>12648</v>
      </c>
      <c r="M611" s="267">
        <f>ROUND(I611*$G611,0)</f>
        <v>18213</v>
      </c>
      <c r="O611" s="99">
        <f>ROUND(I611*(1+$AD$609),0)</f>
        <v>567</v>
      </c>
      <c r="P611" s="276"/>
      <c r="Q611" s="267">
        <f>ROUND(O611*$G611,0)</f>
        <v>19596</v>
      </c>
      <c r="R611" s="267"/>
      <c r="S611" s="267"/>
      <c r="T611" s="267"/>
      <c r="U611" s="267"/>
      <c r="V611" s="267"/>
      <c r="W611" s="267"/>
      <c r="X611" s="267"/>
      <c r="Y611" s="267"/>
      <c r="Z611" s="267"/>
      <c r="AA611" s="267"/>
      <c r="AB611" s="267"/>
      <c r="AE611" s="378"/>
      <c r="AF611" s="279">
        <f t="shared" ref="AF611:AF612" si="155">O611/I611-1</f>
        <v>7.5901328273244806E-2</v>
      </c>
      <c r="AH611" s="102"/>
    </row>
    <row r="612" spans="2:34">
      <c r="B612" s="275" t="s">
        <v>26</v>
      </c>
      <c r="E612" s="102">
        <f>E655+E698</f>
        <v>39600</v>
      </c>
      <c r="G612" s="102">
        <f>G655+G698</f>
        <v>166568</v>
      </c>
      <c r="I612" s="99">
        <v>3.35</v>
      </c>
      <c r="J612" s="276"/>
      <c r="K612" s="267">
        <f>ROUND(I612*$E612,0)</f>
        <v>132660</v>
      </c>
      <c r="M612" s="267">
        <f>ROUND(I612*$G612,0)</f>
        <v>558003</v>
      </c>
      <c r="O612" s="99">
        <f>ROUND(I612*(1+$AD$609),2)</f>
        <v>3.6</v>
      </c>
      <c r="P612" s="276"/>
      <c r="Q612" s="267">
        <f>ROUND(O612*$G612,0)</f>
        <v>599645</v>
      </c>
      <c r="R612" s="267"/>
      <c r="S612" s="267"/>
      <c r="T612" s="267"/>
      <c r="U612" s="267"/>
      <c r="V612" s="267"/>
      <c r="W612" s="267"/>
      <c r="X612" s="267"/>
      <c r="Y612" s="267"/>
      <c r="Z612" s="267"/>
      <c r="AA612" s="267"/>
      <c r="AB612" s="267"/>
      <c r="AC612" s="379"/>
      <c r="AD612" s="321"/>
      <c r="AF612" s="279">
        <f t="shared" si="155"/>
        <v>7.4626865671641784E-2</v>
      </c>
      <c r="AH612" s="102"/>
    </row>
    <row r="613" spans="2:34">
      <c r="B613" s="275" t="s">
        <v>27</v>
      </c>
      <c r="E613" s="102"/>
      <c r="G613" s="102"/>
      <c r="I613" s="99"/>
      <c r="J613" s="276"/>
      <c r="K613" s="267"/>
      <c r="M613" s="267"/>
      <c r="O613" s="300"/>
      <c r="P613" s="276"/>
      <c r="Q613" s="267"/>
      <c r="R613" s="267"/>
      <c r="S613" s="267"/>
      <c r="T613" s="267"/>
      <c r="U613" s="267"/>
      <c r="V613" s="267"/>
      <c r="W613" s="267"/>
      <c r="X613" s="267"/>
      <c r="Y613" s="267"/>
      <c r="Z613" s="267"/>
      <c r="AA613" s="267"/>
      <c r="AC613" s="99"/>
      <c r="AE613" s="378"/>
      <c r="AF613" s="378"/>
      <c r="AG613" s="267"/>
    </row>
    <row r="614" spans="2:34">
      <c r="B614" s="275" t="s">
        <v>28</v>
      </c>
      <c r="E614" s="102">
        <f>E657+E700</f>
        <v>255103.99414285499</v>
      </c>
      <c r="G614" s="102">
        <f>G657+G700</f>
        <v>1073035</v>
      </c>
      <c r="I614" s="379">
        <v>0.57099999999999995</v>
      </c>
      <c r="J614" s="380"/>
      <c r="K614" s="267">
        <f>ROUND(I614*$E614,0)</f>
        <v>145664</v>
      </c>
      <c r="M614" s="267">
        <f>ROUND(I614*$G614,0)</f>
        <v>612703</v>
      </c>
      <c r="O614" s="379">
        <f>ROUND((AD605-SUM(Q604:Q612,Q616:Q623,Q641,Q745:Q750))/SUM(G614+G615/2),4)</f>
        <v>0.61570000000000003</v>
      </c>
      <c r="P614" s="380"/>
      <c r="Q614" s="267">
        <f>ROUND(O614*$G614,0)</f>
        <v>660668</v>
      </c>
      <c r="R614" s="267"/>
      <c r="S614" s="267"/>
      <c r="T614" s="267"/>
      <c r="U614" s="267"/>
      <c r="V614" s="267"/>
      <c r="W614" s="267"/>
      <c r="X614" s="267"/>
      <c r="Y614" s="267"/>
      <c r="Z614" s="267"/>
      <c r="AA614" s="267"/>
      <c r="AB614" s="267"/>
      <c r="AC614" s="274"/>
      <c r="AD614" s="301"/>
      <c r="AF614" s="279">
        <f t="shared" ref="AF614:AF616" si="156">O614/I614-1</f>
        <v>7.8283712784588566E-2</v>
      </c>
    </row>
    <row r="615" spans="2:34">
      <c r="B615" s="275" t="s">
        <v>29</v>
      </c>
      <c r="E615" s="102">
        <f>E658+E701</f>
        <v>18841.983535868301</v>
      </c>
      <c r="G615" s="102">
        <f>G658+G701</f>
        <v>79254</v>
      </c>
      <c r="I615" s="381">
        <v>0.28549999999999998</v>
      </c>
      <c r="J615" s="382"/>
      <c r="K615" s="267">
        <f>ROUND(I615*$E615,0)</f>
        <v>5379</v>
      </c>
      <c r="M615" s="267">
        <f>ROUND(I615*$G615,0)</f>
        <v>22627</v>
      </c>
      <c r="O615" s="381">
        <f>ROUND(O614*0.5,4)</f>
        <v>0.30790000000000001</v>
      </c>
      <c r="P615" s="382"/>
      <c r="Q615" s="267">
        <f>ROUND(O615*$G615,0)</f>
        <v>24402</v>
      </c>
      <c r="R615" s="267"/>
      <c r="S615" s="267"/>
      <c r="T615" s="267"/>
      <c r="U615" s="267"/>
      <c r="V615" s="267"/>
      <c r="W615" s="267"/>
      <c r="X615" s="267"/>
      <c r="Y615" s="267"/>
      <c r="Z615" s="267"/>
      <c r="AA615" s="267"/>
      <c r="AB615" s="267"/>
      <c r="AC615" s="274"/>
      <c r="AD615" s="301"/>
      <c r="AE615" s="378"/>
      <c r="AF615" s="279">
        <f t="shared" si="156"/>
        <v>7.8458844133100003E-2</v>
      </c>
      <c r="AG615" s="267"/>
      <c r="AH615" s="102"/>
    </row>
    <row r="616" spans="2:34">
      <c r="B616" s="275" t="s">
        <v>30</v>
      </c>
      <c r="E616" s="102">
        <f>E659+E702</f>
        <v>0</v>
      </c>
      <c r="G616" s="102">
        <f>G659+G702</f>
        <v>0</v>
      </c>
      <c r="I616" s="99">
        <v>39.840000000000003</v>
      </c>
      <c r="J616" s="276"/>
      <c r="K616" s="267">
        <f>ROUND(I616*$E616,0)</f>
        <v>0</v>
      </c>
      <c r="M616" s="267">
        <f>ROUND(I616*$G616,0)</f>
        <v>0</v>
      </c>
      <c r="O616" s="99">
        <f>ROUND(I616*(1+$AD$609),2)</f>
        <v>42.83</v>
      </c>
      <c r="P616" s="276"/>
      <c r="Q616" s="267">
        <f>ROUND(O616*$G616,0)</f>
        <v>0</v>
      </c>
      <c r="R616" s="267"/>
      <c r="S616" s="267"/>
      <c r="T616" s="267"/>
      <c r="U616" s="267"/>
      <c r="V616" s="267"/>
      <c r="W616" s="267"/>
      <c r="X616" s="267"/>
      <c r="Y616" s="267"/>
      <c r="Z616" s="267"/>
      <c r="AA616" s="267"/>
      <c r="AB616" s="267"/>
      <c r="AC616" s="349"/>
      <c r="AD616" s="301"/>
      <c r="AF616" s="279">
        <f t="shared" si="156"/>
        <v>7.5050200803212785E-2</v>
      </c>
    </row>
    <row r="617" spans="2:34">
      <c r="B617" s="369" t="s">
        <v>33</v>
      </c>
      <c r="E617" s="102"/>
      <c r="G617" s="102"/>
      <c r="AB617" s="267"/>
      <c r="AC617" s="265"/>
      <c r="AD617" s="327"/>
      <c r="AF617" s="378"/>
      <c r="AG617" s="267"/>
      <c r="AH617" s="102"/>
    </row>
    <row r="618" spans="2:34">
      <c r="B618" s="275" t="s">
        <v>25</v>
      </c>
      <c r="E618" s="102">
        <f>E661+E704</f>
        <v>13</v>
      </c>
      <c r="G618" s="102">
        <f>G661+G704</f>
        <v>13.440000834783092</v>
      </c>
      <c r="I618" s="99">
        <v>590</v>
      </c>
      <c r="J618" s="276"/>
      <c r="K618" s="267">
        <f>ROUND(I618*$E618,0)</f>
        <v>7670</v>
      </c>
      <c r="M618" s="267">
        <f>ROUND(I618*$G618,0)</f>
        <v>7930</v>
      </c>
      <c r="O618" s="99">
        <f>ROUND(I618*(1+$AD$609),0)</f>
        <v>634</v>
      </c>
      <c r="P618" s="276"/>
      <c r="Q618" s="267">
        <f>ROUND(O618*$G618,0)</f>
        <v>8521</v>
      </c>
      <c r="R618" s="267"/>
      <c r="S618" s="267"/>
      <c r="T618" s="267"/>
      <c r="U618" s="267"/>
      <c r="V618" s="267"/>
      <c r="W618" s="267"/>
      <c r="X618" s="267"/>
      <c r="Y618" s="267"/>
      <c r="Z618" s="267"/>
      <c r="AA618" s="267"/>
      <c r="AB618" s="267"/>
      <c r="AC618" s="265"/>
      <c r="AD618" s="327"/>
      <c r="AF618" s="279">
        <f t="shared" ref="AF618:AF619" si="157">O618/I618-1</f>
        <v>7.4576271186440612E-2</v>
      </c>
      <c r="AG618" s="267"/>
      <c r="AH618" s="102"/>
    </row>
    <row r="619" spans="2:34">
      <c r="B619" s="275" t="s">
        <v>26</v>
      </c>
      <c r="E619" s="102">
        <f>E662+E705</f>
        <v>224400</v>
      </c>
      <c r="G619" s="102">
        <f>G662+G705</f>
        <v>71234</v>
      </c>
      <c r="I619" s="99">
        <v>1.9</v>
      </c>
      <c r="J619" s="276"/>
      <c r="K619" s="267">
        <f>ROUND(I619*$E619,0)</f>
        <v>426360</v>
      </c>
      <c r="M619" s="267">
        <f>ROUND(I619*$G619,0)</f>
        <v>135345</v>
      </c>
      <c r="O619" s="99">
        <f>ROUND(I619*(1+$AD$609),2)</f>
        <v>2.04</v>
      </c>
      <c r="P619" s="276"/>
      <c r="Q619" s="267">
        <f>ROUND(O619*$G619,0)</f>
        <v>145317</v>
      </c>
      <c r="R619" s="267"/>
      <c r="S619" s="267"/>
      <c r="T619" s="267"/>
      <c r="U619" s="267"/>
      <c r="V619" s="267"/>
      <c r="W619" s="267"/>
      <c r="X619" s="267"/>
      <c r="Y619" s="267"/>
      <c r="Z619" s="267"/>
      <c r="AA619" s="267"/>
      <c r="AB619" s="267"/>
      <c r="AC619" s="265"/>
      <c r="AD619" s="327"/>
      <c r="AF619" s="279">
        <f t="shared" si="157"/>
        <v>7.3684210526315796E-2</v>
      </c>
      <c r="AG619" s="267"/>
      <c r="AH619" s="102"/>
    </row>
    <row r="620" spans="2:34">
      <c r="B620" s="275" t="s">
        <v>27</v>
      </c>
      <c r="E620" s="102"/>
      <c r="G620" s="102"/>
      <c r="I620" s="300"/>
      <c r="J620" s="299"/>
      <c r="K620" s="267"/>
      <c r="M620" s="267"/>
      <c r="O620" s="300"/>
      <c r="P620" s="299"/>
      <c r="Q620" s="267"/>
      <c r="R620" s="267"/>
      <c r="S620" s="267"/>
      <c r="T620" s="267"/>
      <c r="U620" s="267"/>
      <c r="V620" s="267"/>
      <c r="W620" s="267"/>
      <c r="X620" s="267"/>
      <c r="Y620" s="267"/>
      <c r="Z620" s="267"/>
      <c r="AA620" s="267"/>
      <c r="AB620" s="301"/>
      <c r="AC620" s="265"/>
      <c r="AD620" s="327"/>
      <c r="AH620" s="102"/>
    </row>
    <row r="621" spans="2:34">
      <c r="B621" s="275" t="s">
        <v>28</v>
      </c>
      <c r="E621" s="102">
        <f>E664+E707</f>
        <v>193639.99500998008</v>
      </c>
      <c r="G621" s="102">
        <f>G664+G707</f>
        <v>90487</v>
      </c>
      <c r="I621" s="379">
        <v>0.44850000000000001</v>
      </c>
      <c r="J621" s="380"/>
      <c r="K621" s="267">
        <f>ROUND(I621*$E621,0)</f>
        <v>86848</v>
      </c>
      <c r="M621" s="267">
        <f>ROUND(I621*$G621,0)</f>
        <v>40583</v>
      </c>
      <c r="O621" s="379">
        <f>ROUND(I621*(1+$AD$609),4)</f>
        <v>0.48220000000000002</v>
      </c>
      <c r="P621" s="380"/>
      <c r="Q621" s="267">
        <f>ROUND(O621*$G621,0)</f>
        <v>43633</v>
      </c>
      <c r="R621" s="267"/>
      <c r="S621" s="267"/>
      <c r="T621" s="267"/>
      <c r="U621" s="267"/>
      <c r="V621" s="267"/>
      <c r="W621" s="267"/>
      <c r="X621" s="267"/>
      <c r="Y621" s="267"/>
      <c r="Z621" s="267"/>
      <c r="AA621" s="267"/>
      <c r="AB621" s="301"/>
      <c r="AC621" s="99"/>
      <c r="AD621" s="321"/>
      <c r="AF621" s="279">
        <f t="shared" ref="AF621:AF623" si="158">O621/I621-1</f>
        <v>7.513935340022293E-2</v>
      </c>
      <c r="AG621" s="267"/>
      <c r="AH621" s="309"/>
    </row>
    <row r="622" spans="2:34">
      <c r="B622" s="275" t="s">
        <v>29</v>
      </c>
      <c r="E622" s="102">
        <f>E665+E708</f>
        <v>28679.9900199601</v>
      </c>
      <c r="G622" s="102">
        <f>G665+G708</f>
        <v>6354</v>
      </c>
      <c r="I622" s="381">
        <v>0.2243</v>
      </c>
      <c r="J622" s="382"/>
      <c r="K622" s="267">
        <f>ROUND(I622*$E622,0)</f>
        <v>6433</v>
      </c>
      <c r="M622" s="267">
        <f>ROUND(I622*$G622,0)</f>
        <v>1425</v>
      </c>
      <c r="O622" s="381">
        <f>ROUND(O621*0.5,4)</f>
        <v>0.24110000000000001</v>
      </c>
      <c r="P622" s="382"/>
      <c r="Q622" s="267">
        <f>ROUND(O622*$G622,0)</f>
        <v>1532</v>
      </c>
      <c r="R622" s="267"/>
      <c r="S622" s="267"/>
      <c r="T622" s="267"/>
      <c r="U622" s="267"/>
      <c r="V622" s="267"/>
      <c r="W622" s="267"/>
      <c r="X622" s="267"/>
      <c r="Y622" s="267"/>
      <c r="Z622" s="267"/>
      <c r="AA622" s="267"/>
      <c r="AB622" s="301"/>
      <c r="AD622" s="321"/>
      <c r="AF622" s="279">
        <f t="shared" si="158"/>
        <v>7.4899687917967084E-2</v>
      </c>
      <c r="AG622" s="267"/>
      <c r="AH622" s="309"/>
    </row>
    <row r="623" spans="2:34">
      <c r="B623" s="275" t="s">
        <v>30</v>
      </c>
      <c r="E623" s="102">
        <f>E666+E709</f>
        <v>0</v>
      </c>
      <c r="G623" s="102">
        <f>G666+G709</f>
        <v>0</v>
      </c>
      <c r="I623" s="99">
        <v>38.36</v>
      </c>
      <c r="J623" s="276"/>
      <c r="K623" s="267">
        <f>ROUND(I623*$E623,0)</f>
        <v>0</v>
      </c>
      <c r="M623" s="267">
        <f>ROUND(I623*$G623,0)</f>
        <v>0</v>
      </c>
      <c r="O623" s="99">
        <f>ROUND(I623*(1+$AD$609),2)</f>
        <v>41.24</v>
      </c>
      <c r="P623" s="276"/>
      <c r="Q623" s="267">
        <f>ROUND(O623*$G623,0)</f>
        <v>0</v>
      </c>
      <c r="R623" s="267"/>
      <c r="S623" s="267"/>
      <c r="T623" s="267"/>
      <c r="U623" s="267"/>
      <c r="V623" s="267"/>
      <c r="W623" s="267"/>
      <c r="X623" s="267"/>
      <c r="Y623" s="267"/>
      <c r="Z623" s="267"/>
      <c r="AA623" s="267"/>
      <c r="AB623" s="301"/>
      <c r="AF623" s="279">
        <f t="shared" si="158"/>
        <v>7.5078206465067909E-2</v>
      </c>
      <c r="AH623" s="309"/>
    </row>
    <row r="624" spans="2:34">
      <c r="B624" s="275" t="s">
        <v>146</v>
      </c>
      <c r="E624" s="357"/>
      <c r="G624" s="357"/>
      <c r="I624" s="322"/>
      <c r="J624" s="330"/>
      <c r="K624" s="308">
        <f>SUM(K604:K623)</f>
        <v>823662</v>
      </c>
      <c r="M624" s="308">
        <f>SUM(M604:M623)</f>
        <v>1396829</v>
      </c>
      <c r="O624" s="322"/>
      <c r="P624" s="330"/>
      <c r="Q624" s="308">
        <f>SUM(Q604:Q623)</f>
        <v>1503314</v>
      </c>
      <c r="R624" s="301"/>
      <c r="S624" s="301"/>
      <c r="T624" s="301"/>
      <c r="U624" s="301"/>
      <c r="V624" s="301"/>
      <c r="W624" s="301"/>
      <c r="X624" s="301"/>
      <c r="Y624" s="301"/>
      <c r="Z624" s="301"/>
      <c r="AA624" s="301"/>
      <c r="AB624" s="267"/>
      <c r="AC624" s="264" t="s">
        <v>336</v>
      </c>
      <c r="AD624" s="327">
        <f>(Q624)/(M624)-1</f>
        <v>7.6233382897978208E-2</v>
      </c>
    </row>
    <row r="625" spans="2:34">
      <c r="B625" s="369" t="s">
        <v>34</v>
      </c>
      <c r="AB625" s="267"/>
      <c r="AC625" s="383"/>
    </row>
    <row r="626" spans="2:34">
      <c r="B626" s="272" t="s">
        <v>35</v>
      </c>
      <c r="E626" s="102"/>
      <c r="G626" s="102"/>
      <c r="I626" s="300"/>
      <c r="J626" s="299"/>
      <c r="K626" s="267"/>
      <c r="M626" s="267"/>
      <c r="O626" s="300"/>
      <c r="P626" s="299"/>
      <c r="Q626" s="267"/>
      <c r="R626" s="267"/>
      <c r="S626" s="267"/>
      <c r="T626" s="267"/>
      <c r="U626" s="267"/>
      <c r="V626" s="267"/>
      <c r="W626" s="267"/>
      <c r="X626" s="267"/>
      <c r="Y626" s="267"/>
      <c r="Z626" s="267"/>
      <c r="AA626" s="267"/>
      <c r="AB626" s="267"/>
      <c r="AC626" s="383"/>
    </row>
    <row r="627" spans="2:34">
      <c r="B627" s="275" t="s">
        <v>268</v>
      </c>
      <c r="E627" s="102">
        <f>E670+E714</f>
        <v>13800</v>
      </c>
      <c r="G627" s="102">
        <f>G670+G714</f>
        <v>58046</v>
      </c>
      <c r="I627" s="300">
        <v>4.22</v>
      </c>
      <c r="J627" s="299"/>
      <c r="K627" s="267">
        <f>ROUND(I627*$E627,0)</f>
        <v>58236</v>
      </c>
      <c r="M627" s="267">
        <f>ROUND(I627*$G627,0)</f>
        <v>244954</v>
      </c>
      <c r="O627" s="300">
        <f>O238</f>
        <v>4.42</v>
      </c>
      <c r="P627" s="299"/>
      <c r="Q627" s="267">
        <f>ROUND(O627*$G627,0)</f>
        <v>256563</v>
      </c>
      <c r="R627" s="267"/>
      <c r="S627" s="267"/>
      <c r="T627" s="267"/>
      <c r="U627" s="267"/>
      <c r="V627" s="267"/>
      <c r="W627" s="267"/>
      <c r="X627" s="267"/>
      <c r="Y627" s="267"/>
      <c r="Z627" s="267"/>
      <c r="AA627" s="267"/>
      <c r="AB627" s="267"/>
      <c r="AC627" s="383"/>
      <c r="AF627" s="279">
        <f t="shared" ref="AF627:AF633" si="159">O627/I627-1</f>
        <v>4.7393364928909998E-2</v>
      </c>
    </row>
    <row r="628" spans="2:34">
      <c r="B628" s="275" t="s">
        <v>269</v>
      </c>
      <c r="E628" s="102">
        <f>E671+E715</f>
        <v>0</v>
      </c>
      <c r="G628" s="102">
        <f>G671+G715</f>
        <v>0</v>
      </c>
      <c r="I628" s="300">
        <v>13.81</v>
      </c>
      <c r="J628" s="299"/>
      <c r="K628" s="267">
        <f>ROUND(I628*$E628,0)</f>
        <v>0</v>
      </c>
      <c r="M628" s="267">
        <f>ROUND(I628*$G628,0)</f>
        <v>0</v>
      </c>
      <c r="O628" s="300">
        <f t="shared" ref="O628:O633" si="160">O239</f>
        <v>14.46</v>
      </c>
      <c r="P628" s="299"/>
      <c r="Q628" s="267">
        <f>ROUND(O628*$G628,0)</f>
        <v>0</v>
      </c>
      <c r="R628" s="267"/>
      <c r="S628" s="267"/>
      <c r="T628" s="267"/>
      <c r="U628" s="267"/>
      <c r="V628" s="267"/>
      <c r="W628" s="267"/>
      <c r="X628" s="267"/>
      <c r="Y628" s="267"/>
      <c r="Z628" s="267"/>
      <c r="AA628" s="267"/>
      <c r="AB628" s="267"/>
      <c r="AC628" s="383"/>
      <c r="AF628" s="279">
        <f t="shared" si="159"/>
        <v>4.7067342505430876E-2</v>
      </c>
    </row>
    <row r="629" spans="2:34">
      <c r="B629" s="275" t="s">
        <v>270</v>
      </c>
      <c r="E629" s="102">
        <f>E672+E713</f>
        <v>13800</v>
      </c>
      <c r="G629" s="102">
        <f>G672+G713</f>
        <v>58046</v>
      </c>
      <c r="I629" s="300">
        <v>9.94</v>
      </c>
      <c r="J629" s="299"/>
      <c r="K629" s="267">
        <f>ROUND(I629*$E629,0)</f>
        <v>137172</v>
      </c>
      <c r="M629" s="267">
        <f>ROUND(I629*$G629,0)</f>
        <v>576977</v>
      </c>
      <c r="O629" s="300">
        <f t="shared" si="160"/>
        <v>10.41</v>
      </c>
      <c r="P629" s="299"/>
      <c r="Q629" s="267">
        <f>ROUND(O629*$G629,0)</f>
        <v>604259</v>
      </c>
      <c r="R629" s="267"/>
      <c r="S629" s="267"/>
      <c r="T629" s="267"/>
      <c r="U629" s="267"/>
      <c r="V629" s="267"/>
      <c r="W629" s="267"/>
      <c r="X629" s="267"/>
      <c r="Y629" s="267"/>
      <c r="Z629" s="267"/>
      <c r="AA629" s="267"/>
      <c r="AB629" s="267"/>
      <c r="AC629" s="383"/>
      <c r="AF629" s="279">
        <f t="shared" si="159"/>
        <v>4.728370221327971E-2</v>
      </c>
    </row>
    <row r="630" spans="2:34">
      <c r="B630" s="275" t="s">
        <v>348</v>
      </c>
      <c r="E630" s="102">
        <f>E673+E716</f>
        <v>13800</v>
      </c>
      <c r="G630" s="102">
        <f>G673+G716</f>
        <v>58046</v>
      </c>
      <c r="I630" s="300">
        <v>-1.01</v>
      </c>
      <c r="J630" s="299"/>
      <c r="K630" s="267">
        <f>ROUND(I630*$E630,0)</f>
        <v>-13938</v>
      </c>
      <c r="M630" s="267">
        <f>ROUND(I630*$G630,0)</f>
        <v>-58626</v>
      </c>
      <c r="O630" s="300">
        <f t="shared" si="160"/>
        <v>-1.06</v>
      </c>
      <c r="P630" s="299"/>
      <c r="Q630" s="267">
        <f>ROUND(O630*$G630,0)</f>
        <v>-61529</v>
      </c>
      <c r="R630" s="267"/>
      <c r="S630" s="267"/>
      <c r="T630" s="267"/>
      <c r="U630" s="267"/>
      <c r="V630" s="267"/>
      <c r="W630" s="267"/>
      <c r="X630" s="267"/>
      <c r="Y630" s="267"/>
      <c r="Z630" s="267"/>
      <c r="AA630" s="267"/>
      <c r="AB630" s="267"/>
      <c r="AC630" s="383"/>
      <c r="AF630" s="279">
        <f t="shared" si="159"/>
        <v>4.9504950495049549E-2</v>
      </c>
    </row>
    <row r="631" spans="2:34">
      <c r="B631" s="275" t="s">
        <v>341</v>
      </c>
      <c r="E631" s="102">
        <f>E674+E717</f>
        <v>1144667</v>
      </c>
      <c r="G631" s="102">
        <f>G674+G717</f>
        <v>4826571</v>
      </c>
      <c r="I631" s="322">
        <v>4.4812000000000003</v>
      </c>
      <c r="J631" s="286" t="s">
        <v>314</v>
      </c>
      <c r="K631" s="267">
        <f>ROUND(I631*$E631/100,0)</f>
        <v>51295</v>
      </c>
      <c r="M631" s="267">
        <f>ROUND(I631*$G631/100,0)</f>
        <v>216288</v>
      </c>
      <c r="O631" s="322">
        <f t="shared" si="160"/>
        <v>4.6916000000000002</v>
      </c>
      <c r="P631" s="286" t="s">
        <v>314</v>
      </c>
      <c r="Q631" s="267">
        <f>ROUND(O631*$G631/100,0)</f>
        <v>226443</v>
      </c>
      <c r="R631" s="267"/>
      <c r="S631" s="267"/>
      <c r="T631" s="267"/>
      <c r="U631" s="267"/>
      <c r="V631" s="267"/>
      <c r="W631" s="267"/>
      <c r="X631" s="267"/>
      <c r="Y631" s="267"/>
      <c r="Z631" s="267"/>
      <c r="AA631" s="267"/>
      <c r="AB631" s="267"/>
      <c r="AC631" s="383"/>
      <c r="AF631" s="279">
        <f t="shared" si="159"/>
        <v>4.695170936356341E-2</v>
      </c>
    </row>
    <row r="632" spans="2:34">
      <c r="B632" s="275" t="s">
        <v>367</v>
      </c>
      <c r="E632" s="102">
        <f>E675+E718</f>
        <v>4072632</v>
      </c>
      <c r="G632" s="102">
        <f>G675+G718</f>
        <v>17172547</v>
      </c>
      <c r="I632" s="322">
        <v>3.5078</v>
      </c>
      <c r="J632" s="286" t="s">
        <v>314</v>
      </c>
      <c r="K632" s="267">
        <f>ROUND(I632*$E632/100,0)</f>
        <v>142860</v>
      </c>
      <c r="M632" s="267">
        <f>ROUND(I632*$G632/100,0)</f>
        <v>602379</v>
      </c>
      <c r="O632" s="322">
        <f t="shared" si="160"/>
        <v>3.6724999999999999</v>
      </c>
      <c r="P632" s="286" t="s">
        <v>314</v>
      </c>
      <c r="Q632" s="267">
        <f>ROUND(O632*$G632/100,0)</f>
        <v>630662</v>
      </c>
      <c r="R632" s="267"/>
      <c r="S632" s="267"/>
      <c r="T632" s="267"/>
      <c r="U632" s="267"/>
      <c r="V632" s="267"/>
      <c r="W632" s="267"/>
      <c r="X632" s="267"/>
      <c r="Y632" s="267"/>
      <c r="Z632" s="267"/>
      <c r="AA632" s="267"/>
      <c r="AB632" s="267"/>
      <c r="AF632" s="279">
        <f t="shared" si="159"/>
        <v>4.6952505844118697E-2</v>
      </c>
    </row>
    <row r="633" spans="2:34">
      <c r="B633" s="275" t="s">
        <v>271</v>
      </c>
      <c r="E633" s="102">
        <f>E676+E719</f>
        <v>5246147</v>
      </c>
      <c r="G633" s="102">
        <f>G676+G719</f>
        <v>22120759.026000001</v>
      </c>
      <c r="I633" s="322">
        <v>3.0226999999999999</v>
      </c>
      <c r="J633" s="286" t="s">
        <v>314</v>
      </c>
      <c r="K633" s="267">
        <f>ROUND(I633*$E633/100,0)</f>
        <v>158575</v>
      </c>
      <c r="M633" s="267">
        <f>ROUND(I633*$G633/100,0)</f>
        <v>668644</v>
      </c>
      <c r="O633" s="322">
        <f t="shared" si="160"/>
        <v>3.1633</v>
      </c>
      <c r="P633" s="286" t="s">
        <v>314</v>
      </c>
      <c r="Q633" s="267">
        <f>ROUND(O633*$G633/100,0)</f>
        <v>699746</v>
      </c>
      <c r="R633" s="267"/>
      <c r="S633" s="267"/>
      <c r="T633" s="267"/>
      <c r="U633" s="267"/>
      <c r="V633" s="267"/>
      <c r="W633" s="267"/>
      <c r="X633" s="267"/>
      <c r="Y633" s="267"/>
      <c r="Z633" s="267"/>
      <c r="AA633" s="267"/>
      <c r="AB633" s="267"/>
      <c r="AC633" s="383"/>
      <c r="AF633" s="279">
        <f t="shared" si="159"/>
        <v>4.651470539583813E-2</v>
      </c>
    </row>
    <row r="634" spans="2:34">
      <c r="B634" s="272" t="s">
        <v>36</v>
      </c>
      <c r="E634" s="102"/>
      <c r="G634" s="102"/>
      <c r="I634" s="300"/>
      <c r="J634" s="299"/>
      <c r="K634" s="267"/>
      <c r="M634" s="267"/>
      <c r="O634" s="300"/>
      <c r="P634" s="299"/>
      <c r="Q634" s="267"/>
      <c r="R634" s="267"/>
      <c r="S634" s="267"/>
      <c r="T634" s="267"/>
      <c r="U634" s="267"/>
      <c r="V634" s="267"/>
      <c r="W634" s="267"/>
      <c r="X634" s="267"/>
      <c r="Y634" s="267"/>
      <c r="Z634" s="267"/>
      <c r="AA634" s="267"/>
      <c r="AB634" s="267"/>
      <c r="AC634" s="383"/>
    </row>
    <row r="635" spans="2:34">
      <c r="B635" s="275" t="s">
        <v>268</v>
      </c>
      <c r="E635" s="102">
        <f t="shared" ref="E635:E640" si="161">E678+E721</f>
        <v>12600</v>
      </c>
      <c r="G635" s="102">
        <f t="shared" ref="G635:G640" si="162">G678+G721</f>
        <v>52999</v>
      </c>
      <c r="I635" s="300">
        <v>1.94</v>
      </c>
      <c r="J635" s="299"/>
      <c r="K635" s="267">
        <f>ROUND(I635*$E635,0)</f>
        <v>24444</v>
      </c>
      <c r="M635" s="267">
        <f>ROUND(I635*$G635,0)</f>
        <v>102818</v>
      </c>
      <c r="O635" s="300">
        <f>O274</f>
        <v>2.0699999999999998</v>
      </c>
      <c r="P635" s="299"/>
      <c r="Q635" s="267">
        <f>ROUND(O635*$G635,0)</f>
        <v>109708</v>
      </c>
      <c r="R635" s="267"/>
      <c r="S635" s="267"/>
      <c r="T635" s="267"/>
      <c r="U635" s="267"/>
      <c r="V635" s="267"/>
      <c r="W635" s="267"/>
      <c r="X635" s="267"/>
      <c r="Y635" s="267"/>
      <c r="Z635" s="267"/>
      <c r="AA635" s="267"/>
      <c r="AB635" s="267"/>
      <c r="AC635" s="383"/>
      <c r="AE635" s="309"/>
      <c r="AF635" s="279">
        <f t="shared" ref="AF635:AF640" si="163">O635/I635-1</f>
        <v>6.7010309278350499E-2</v>
      </c>
    </row>
    <row r="636" spans="2:34">
      <c r="B636" s="275" t="s">
        <v>269</v>
      </c>
      <c r="E636" s="102">
        <f t="shared" si="161"/>
        <v>12600</v>
      </c>
      <c r="G636" s="102">
        <f t="shared" si="162"/>
        <v>52999</v>
      </c>
      <c r="I636" s="300">
        <v>12.18</v>
      </c>
      <c r="J636" s="299"/>
      <c r="K636" s="267">
        <f>ROUND(I636*$E636,0)</f>
        <v>153468</v>
      </c>
      <c r="M636" s="267">
        <f>ROUND(I636*$G636,0)</f>
        <v>645528</v>
      </c>
      <c r="O636" s="300">
        <f t="shared" ref="O636:O640" si="164">O275</f>
        <v>13</v>
      </c>
      <c r="P636" s="299"/>
      <c r="Q636" s="267">
        <f>ROUND(O636*$G636,0)</f>
        <v>688987</v>
      </c>
      <c r="R636" s="267"/>
      <c r="S636" s="267"/>
      <c r="T636" s="267"/>
      <c r="U636" s="267"/>
      <c r="V636" s="267"/>
      <c r="W636" s="267"/>
      <c r="X636" s="267"/>
      <c r="Y636" s="267"/>
      <c r="Z636" s="267"/>
      <c r="AA636" s="267"/>
      <c r="AB636" s="301"/>
      <c r="AC636" s="383"/>
      <c r="AF636" s="279">
        <f t="shared" si="163"/>
        <v>6.7323481116584594E-2</v>
      </c>
    </row>
    <row r="637" spans="2:34">
      <c r="B637" s="275" t="s">
        <v>270</v>
      </c>
      <c r="E637" s="102">
        <f t="shared" si="161"/>
        <v>0</v>
      </c>
      <c r="G637" s="102">
        <f t="shared" si="162"/>
        <v>0</v>
      </c>
      <c r="I637" s="300">
        <v>8.26</v>
      </c>
      <c r="J637" s="299"/>
      <c r="K637" s="267">
        <f>ROUND(I637*$E637,0)</f>
        <v>0</v>
      </c>
      <c r="M637" s="267">
        <f>ROUND(I637*$G637,0)</f>
        <v>0</v>
      </c>
      <c r="O637" s="300">
        <f t="shared" si="164"/>
        <v>8.81</v>
      </c>
      <c r="P637" s="299"/>
      <c r="Q637" s="267">
        <f>ROUND(O637*$G637,0)</f>
        <v>0</v>
      </c>
      <c r="R637" s="267"/>
      <c r="S637" s="267"/>
      <c r="T637" s="267"/>
      <c r="U637" s="267"/>
      <c r="V637" s="267"/>
      <c r="W637" s="267"/>
      <c r="X637" s="267"/>
      <c r="Y637" s="267"/>
      <c r="Z637" s="267"/>
      <c r="AA637" s="267"/>
      <c r="AB637" s="301"/>
      <c r="AC637" s="383"/>
      <c r="AF637" s="279">
        <f t="shared" si="163"/>
        <v>6.6585956416465031E-2</v>
      </c>
      <c r="AG637" s="309"/>
    </row>
    <row r="638" spans="2:34">
      <c r="B638" s="275" t="s">
        <v>276</v>
      </c>
      <c r="E638" s="102">
        <f t="shared" si="161"/>
        <v>1513583</v>
      </c>
      <c r="G638" s="102">
        <f t="shared" si="162"/>
        <v>4903975</v>
      </c>
      <c r="I638" s="332">
        <v>4.0587999999999997</v>
      </c>
      <c r="J638" s="286" t="s">
        <v>314</v>
      </c>
      <c r="K638" s="267">
        <f>ROUND(I638*$E638/100,0)</f>
        <v>61433</v>
      </c>
      <c r="M638" s="267">
        <f>ROUND(I638*$G638/100,0)</f>
        <v>199043</v>
      </c>
      <c r="O638" s="332">
        <f t="shared" si="164"/>
        <v>4.3304999999999998</v>
      </c>
      <c r="P638" s="286" t="s">
        <v>314</v>
      </c>
      <c r="Q638" s="267">
        <f>ROUND(O638*$G638/100,0)</f>
        <v>212367</v>
      </c>
      <c r="R638" s="267"/>
      <c r="S638" s="267"/>
      <c r="T638" s="267"/>
      <c r="U638" s="267"/>
      <c r="V638" s="267"/>
      <c r="W638" s="267"/>
      <c r="X638" s="267"/>
      <c r="Y638" s="267"/>
      <c r="Z638" s="267"/>
      <c r="AA638" s="267"/>
      <c r="AB638" s="301"/>
      <c r="AC638" s="383"/>
      <c r="AF638" s="279">
        <f t="shared" si="163"/>
        <v>6.6940967773726268E-2</v>
      </c>
    </row>
    <row r="639" spans="2:34">
      <c r="B639" s="275" t="s">
        <v>277</v>
      </c>
      <c r="E639" s="102">
        <f t="shared" si="161"/>
        <v>963000</v>
      </c>
      <c r="G639" s="102">
        <f t="shared" si="162"/>
        <v>213357</v>
      </c>
      <c r="I639" s="332">
        <v>3.052</v>
      </c>
      <c r="J639" s="286" t="s">
        <v>314</v>
      </c>
      <c r="K639" s="267">
        <f>ROUND(I639*$E639/100,0)</f>
        <v>29391</v>
      </c>
      <c r="M639" s="267">
        <f>ROUND(I639*$G639/100,0)</f>
        <v>6512</v>
      </c>
      <c r="O639" s="332">
        <f t="shared" si="164"/>
        <v>3.2563</v>
      </c>
      <c r="P639" s="286" t="s">
        <v>314</v>
      </c>
      <c r="Q639" s="267">
        <f>ROUND(O639*$G639/100,0)</f>
        <v>6948</v>
      </c>
      <c r="R639" s="267"/>
      <c r="S639" s="267"/>
      <c r="T639" s="267"/>
      <c r="U639" s="267"/>
      <c r="V639" s="267"/>
      <c r="W639" s="267"/>
      <c r="X639" s="267"/>
      <c r="Y639" s="267"/>
      <c r="Z639" s="267"/>
      <c r="AA639" s="267"/>
      <c r="AB639" s="301"/>
      <c r="AF639" s="279">
        <f t="shared" si="163"/>
        <v>6.6939711664482315E-2</v>
      </c>
      <c r="AH639" s="309"/>
    </row>
    <row r="640" spans="2:34">
      <c r="B640" s="275" t="s">
        <v>271</v>
      </c>
      <c r="E640" s="367">
        <f t="shared" si="161"/>
        <v>4379215</v>
      </c>
      <c r="G640" s="367">
        <f t="shared" si="162"/>
        <v>10541630</v>
      </c>
      <c r="I640" s="384">
        <v>2.5488</v>
      </c>
      <c r="J640" s="286" t="s">
        <v>314</v>
      </c>
      <c r="K640" s="339">
        <f>ROUND(I640*$E640/100,0)</f>
        <v>111617</v>
      </c>
      <c r="M640" s="339">
        <f>ROUND(I640*$G640/100,0)</f>
        <v>268685</v>
      </c>
      <c r="O640" s="384">
        <f t="shared" si="164"/>
        <v>2.7195</v>
      </c>
      <c r="P640" s="286" t="s">
        <v>314</v>
      </c>
      <c r="Q640" s="339">
        <f>ROUND(O640*$G640/100,0)</f>
        <v>286680</v>
      </c>
      <c r="R640" s="301"/>
      <c r="S640" s="301"/>
      <c r="T640" s="301"/>
      <c r="U640" s="301"/>
      <c r="V640" s="301"/>
      <c r="W640" s="301"/>
      <c r="X640" s="301"/>
      <c r="Y640" s="301"/>
      <c r="Z640" s="301"/>
      <c r="AA640" s="301"/>
      <c r="AE640" s="378"/>
      <c r="AF640" s="279">
        <f t="shared" si="163"/>
        <v>6.697269303201514E-2</v>
      </c>
    </row>
    <row r="641" spans="2:34">
      <c r="B641" s="275" t="s">
        <v>146</v>
      </c>
      <c r="E641" s="280"/>
      <c r="G641" s="280"/>
      <c r="I641" s="385"/>
      <c r="J641" s="286"/>
      <c r="K641" s="301">
        <f>SUM(K627:K640)</f>
        <v>914553</v>
      </c>
      <c r="M641" s="301">
        <f>SUM(M627:M640)</f>
        <v>3473202</v>
      </c>
      <c r="O641" s="385"/>
      <c r="P641" s="286"/>
      <c r="Q641" s="301">
        <f>SUM(Q627:Q640)</f>
        <v>3660834</v>
      </c>
      <c r="R641" s="301"/>
      <c r="S641" s="301"/>
      <c r="T641" s="301"/>
      <c r="U641" s="301"/>
      <c r="V641" s="301"/>
      <c r="W641" s="301"/>
      <c r="X641" s="301"/>
      <c r="Y641" s="301"/>
      <c r="Z641" s="301"/>
      <c r="AA641" s="301"/>
      <c r="AC641" s="264" t="s">
        <v>315</v>
      </c>
      <c r="AD641" s="315">
        <f>Q641/M641-1</f>
        <v>5.4022772070268399E-2</v>
      </c>
      <c r="AE641" s="378"/>
      <c r="AF641" s="279"/>
    </row>
    <row r="642" spans="2:34">
      <c r="B642" s="264" t="s">
        <v>264</v>
      </c>
      <c r="E642" s="357">
        <f>E685+E728</f>
        <v>45446</v>
      </c>
      <c r="G642" s="357">
        <f>G685+G728</f>
        <v>0</v>
      </c>
      <c r="I642" s="322"/>
      <c r="J642" s="330"/>
      <c r="K642" s="308">
        <f>K685+K728</f>
        <v>2410</v>
      </c>
      <c r="M642" s="308">
        <v>0</v>
      </c>
      <c r="O642" s="322"/>
      <c r="P642" s="330"/>
      <c r="Q642" s="308">
        <v>0</v>
      </c>
      <c r="R642" s="301"/>
      <c r="S642" s="301"/>
      <c r="T642" s="301"/>
      <c r="U642" s="301"/>
      <c r="V642" s="301"/>
      <c r="W642" s="301"/>
      <c r="X642" s="301"/>
      <c r="Y642" s="301"/>
      <c r="Z642" s="301"/>
      <c r="AA642" s="301"/>
    </row>
    <row r="643" spans="2:34" ht="16.5" thickBot="1">
      <c r="B643" s="275" t="s">
        <v>37</v>
      </c>
      <c r="E643" s="325">
        <f>SUM(E631:E633,E638:E640,E642)</f>
        <v>17364690</v>
      </c>
      <c r="G643" s="325">
        <f>SUM(G631:G633,G638:G640,G642)</f>
        <v>59778839.026000001</v>
      </c>
      <c r="I643" s="318"/>
      <c r="K643" s="319">
        <f>K624+K641+K642</f>
        <v>1740625</v>
      </c>
      <c r="M643" s="319">
        <f>M624+M641+M642</f>
        <v>4870031</v>
      </c>
      <c r="O643" s="318"/>
      <c r="Q643" s="319">
        <f>Q624+Q641+Q642</f>
        <v>5164148</v>
      </c>
      <c r="R643" s="301"/>
      <c r="S643" s="301"/>
      <c r="T643" s="301"/>
      <c r="U643" s="301"/>
      <c r="V643" s="301"/>
      <c r="W643" s="301"/>
      <c r="X643" s="301"/>
      <c r="Y643" s="301"/>
      <c r="Z643" s="301"/>
      <c r="AA643" s="301"/>
      <c r="AC643" s="264" t="s">
        <v>315</v>
      </c>
      <c r="AD643" s="315">
        <f>Q643/M643-1</f>
        <v>6.0393250063500714E-2</v>
      </c>
    </row>
    <row r="644" spans="2:34" ht="16.5" thickTop="1">
      <c r="AB644" s="267"/>
      <c r="AE644" s="378"/>
      <c r="AF644" s="378"/>
      <c r="AG644" s="267"/>
      <c r="AH644" s="102"/>
    </row>
    <row r="645" spans="2:34">
      <c r="B645" s="272" t="s">
        <v>38</v>
      </c>
      <c r="E645" s="102"/>
      <c r="G645" s="102"/>
      <c r="I645" s="322"/>
      <c r="J645" s="330"/>
      <c r="O645" s="322"/>
      <c r="P645" s="330"/>
      <c r="AB645" s="267"/>
    </row>
    <row r="646" spans="2:34">
      <c r="B646" s="369" t="s">
        <v>161</v>
      </c>
      <c r="E646" s="102"/>
      <c r="G646" s="102"/>
      <c r="AB646" s="267"/>
      <c r="AF646" s="378"/>
      <c r="AG646" s="267"/>
    </row>
    <row r="647" spans="2:34">
      <c r="B647" s="275" t="s">
        <v>25</v>
      </c>
      <c r="C647" s="275"/>
      <c r="D647" s="275"/>
      <c r="E647" s="102">
        <v>0</v>
      </c>
      <c r="G647" s="102">
        <v>0</v>
      </c>
      <c r="I647" s="99">
        <v>116</v>
      </c>
      <c r="J647" s="276"/>
      <c r="K647" s="267">
        <f>ROUND(I647*$E647,0)</f>
        <v>0</v>
      </c>
      <c r="M647" s="267">
        <f>ROUND(I647*$G647,0)</f>
        <v>0</v>
      </c>
      <c r="O647" s="99">
        <f>O604</f>
        <v>125</v>
      </c>
      <c r="P647" s="276"/>
      <c r="Q647" s="267">
        <f>ROUND(O647*$G647,0)</f>
        <v>0</v>
      </c>
      <c r="R647" s="267"/>
      <c r="S647" s="267"/>
      <c r="T647" s="267"/>
      <c r="U647" s="267"/>
      <c r="V647" s="267"/>
      <c r="W647" s="267"/>
      <c r="X647" s="267"/>
      <c r="Y647" s="267"/>
      <c r="Z647" s="267"/>
      <c r="AA647" s="267"/>
      <c r="AB647" s="267"/>
      <c r="AE647" s="378"/>
      <c r="AF647" s="279">
        <f t="shared" ref="AF647:AF648" si="165">O647/I647-1</f>
        <v>7.7586206896551824E-2</v>
      </c>
    </row>
    <row r="648" spans="2:34">
      <c r="B648" s="275" t="s">
        <v>26</v>
      </c>
      <c r="C648" s="275"/>
      <c r="D648" s="275"/>
      <c r="E648" s="102">
        <v>0</v>
      </c>
      <c r="G648" s="102">
        <f>ROUND(E648*$G$686/$E$686,0)</f>
        <v>0</v>
      </c>
      <c r="I648" s="99">
        <v>4.26</v>
      </c>
      <c r="J648" s="276"/>
      <c r="K648" s="267">
        <f>ROUND(I648*$E648,0)</f>
        <v>0</v>
      </c>
      <c r="M648" s="267">
        <f>ROUND(I648*$G648,0)</f>
        <v>0</v>
      </c>
      <c r="O648" s="99">
        <f>O605</f>
        <v>4.58</v>
      </c>
      <c r="P648" s="276"/>
      <c r="Q648" s="267">
        <f>ROUND(O648*$G648,0)</f>
        <v>0</v>
      </c>
      <c r="R648" s="267"/>
      <c r="S648" s="267"/>
      <c r="T648" s="267"/>
      <c r="U648" s="267"/>
      <c r="V648" s="267"/>
      <c r="W648" s="267"/>
      <c r="X648" s="267"/>
      <c r="Y648" s="267"/>
      <c r="Z648" s="267"/>
      <c r="AA648" s="267"/>
      <c r="AB648" s="267"/>
      <c r="AD648" s="327"/>
      <c r="AF648" s="279">
        <f t="shared" si="165"/>
        <v>7.5117370892018753E-2</v>
      </c>
      <c r="AH648" s="102"/>
    </row>
    <row r="649" spans="2:34">
      <c r="B649" s="275" t="s">
        <v>27</v>
      </c>
      <c r="C649" s="275"/>
      <c r="D649" s="275"/>
      <c r="E649" s="102"/>
      <c r="G649" s="102"/>
      <c r="I649" s="300"/>
      <c r="J649" s="299"/>
      <c r="K649" s="267"/>
      <c r="M649" s="267"/>
      <c r="O649" s="300"/>
      <c r="P649" s="299"/>
      <c r="Q649" s="267"/>
      <c r="R649" s="267"/>
      <c r="S649" s="267"/>
      <c r="T649" s="267"/>
      <c r="U649" s="267"/>
      <c r="V649" s="267"/>
      <c r="W649" s="267"/>
      <c r="X649" s="267"/>
      <c r="Y649" s="267"/>
      <c r="Z649" s="267"/>
      <c r="AA649" s="267"/>
      <c r="AD649" s="327"/>
      <c r="AE649" s="378"/>
      <c r="AF649" s="378"/>
      <c r="AG649" s="267"/>
    </row>
    <row r="650" spans="2:34">
      <c r="B650" s="275" t="s">
        <v>28</v>
      </c>
      <c r="C650" s="275"/>
      <c r="D650" s="275"/>
      <c r="E650" s="102">
        <v>0</v>
      </c>
      <c r="G650" s="102">
        <f>ROUND(E650*$G$686/$E$686,0)</f>
        <v>0</v>
      </c>
      <c r="I650" s="379">
        <v>0.58679999999999999</v>
      </c>
      <c r="J650" s="380"/>
      <c r="K650" s="267">
        <f>ROUND(I650*$E650,0)</f>
        <v>0</v>
      </c>
      <c r="M650" s="267">
        <f>ROUND(I650*$G650,0)</f>
        <v>0</v>
      </c>
      <c r="O650" s="379">
        <f t="shared" ref="O650:O652" si="166">O607</f>
        <v>0.63080000000000003</v>
      </c>
      <c r="P650" s="380"/>
      <c r="Q650" s="267">
        <f>ROUND(O650*$G650,0)</f>
        <v>0</v>
      </c>
      <c r="R650" s="267"/>
      <c r="S650" s="267"/>
      <c r="T650" s="267"/>
      <c r="U650" s="267"/>
      <c r="V650" s="267"/>
      <c r="W650" s="267"/>
      <c r="X650" s="267"/>
      <c r="Y650" s="267"/>
      <c r="Z650" s="267"/>
      <c r="AA650" s="267"/>
      <c r="AB650" s="267"/>
      <c r="AD650" s="327"/>
      <c r="AE650" s="378"/>
      <c r="AF650" s="279">
        <f t="shared" ref="AF650:AF652" si="167">O650/I650-1</f>
        <v>7.4982958418541301E-2</v>
      </c>
    </row>
    <row r="651" spans="2:34">
      <c r="B651" s="275" t="s">
        <v>29</v>
      </c>
      <c r="C651" s="275"/>
      <c r="D651" s="275"/>
      <c r="E651" s="102">
        <v>0</v>
      </c>
      <c r="G651" s="102">
        <f>ROUND(E651*$G$686/$E$686,0)</f>
        <v>0</v>
      </c>
      <c r="I651" s="381">
        <v>0.29339999999999999</v>
      </c>
      <c r="J651" s="382"/>
      <c r="K651" s="267">
        <f>ROUND(I651*$E651,0)</f>
        <v>0</v>
      </c>
      <c r="M651" s="267">
        <f>ROUND(I651*$G651,0)</f>
        <v>0</v>
      </c>
      <c r="O651" s="381">
        <f t="shared" si="166"/>
        <v>0.31540000000000001</v>
      </c>
      <c r="P651" s="382"/>
      <c r="Q651" s="267">
        <f>ROUND(O651*$G651,0)</f>
        <v>0</v>
      </c>
      <c r="R651" s="267"/>
      <c r="S651" s="267"/>
      <c r="T651" s="267"/>
      <c r="U651" s="267"/>
      <c r="V651" s="267"/>
      <c r="W651" s="267"/>
      <c r="X651" s="267"/>
      <c r="Y651" s="267"/>
      <c r="Z651" s="267"/>
      <c r="AA651" s="267"/>
      <c r="AB651" s="267"/>
      <c r="AE651" s="378"/>
      <c r="AF651" s="279">
        <f t="shared" si="167"/>
        <v>7.4982958418541301E-2</v>
      </c>
      <c r="AG651" s="267"/>
      <c r="AH651" s="102"/>
    </row>
    <row r="652" spans="2:34">
      <c r="B652" s="275" t="s">
        <v>30</v>
      </c>
      <c r="C652" s="275"/>
      <c r="D652" s="275"/>
      <c r="E652" s="102">
        <v>0</v>
      </c>
      <c r="G652" s="102">
        <f>ROUND(E652*$G$686/$E$686,0)</f>
        <v>0</v>
      </c>
      <c r="I652" s="99">
        <v>55.28</v>
      </c>
      <c r="J652" s="276"/>
      <c r="K652" s="267">
        <f>ROUND(I652*$E652,0)</f>
        <v>0</v>
      </c>
      <c r="M652" s="267">
        <f>ROUND(I652*$G652,0)</f>
        <v>0</v>
      </c>
      <c r="O652" s="99">
        <f t="shared" si="166"/>
        <v>59.43</v>
      </c>
      <c r="P652" s="276"/>
      <c r="Q652" s="267">
        <f>ROUND(O652*$G652,0)</f>
        <v>0</v>
      </c>
      <c r="R652" s="267"/>
      <c r="S652" s="267"/>
      <c r="T652" s="267"/>
      <c r="U652" s="267"/>
      <c r="V652" s="267"/>
      <c r="W652" s="267"/>
      <c r="X652" s="267"/>
      <c r="Y652" s="267"/>
      <c r="Z652" s="267"/>
      <c r="AA652" s="267"/>
      <c r="AB652" s="267"/>
      <c r="AF652" s="279">
        <f t="shared" si="167"/>
        <v>7.5072358900144742E-2</v>
      </c>
      <c r="AG652" s="267"/>
    </row>
    <row r="653" spans="2:34">
      <c r="B653" s="369" t="s">
        <v>32</v>
      </c>
      <c r="E653" s="102"/>
      <c r="G653" s="102"/>
      <c r="AB653" s="267"/>
      <c r="AC653" s="99"/>
      <c r="AD653" s="321"/>
      <c r="AF653" s="378"/>
      <c r="AG653" s="267"/>
      <c r="AH653" s="102"/>
    </row>
    <row r="654" spans="2:34">
      <c r="B654" s="275" t="s">
        <v>25</v>
      </c>
      <c r="E654" s="102">
        <v>23.9999855072464</v>
      </c>
      <c r="G654" s="102">
        <v>34.559999165216908</v>
      </c>
      <c r="I654" s="99">
        <v>527</v>
      </c>
      <c r="J654" s="276"/>
      <c r="K654" s="267">
        <f>ROUND(I654*$E654,0)</f>
        <v>12648</v>
      </c>
      <c r="M654" s="267">
        <f>ROUND(I654*$G654,0)</f>
        <v>18213</v>
      </c>
      <c r="O654" s="99">
        <f t="shared" ref="O654:O655" si="168">O611</f>
        <v>567</v>
      </c>
      <c r="P654" s="276"/>
      <c r="Q654" s="267">
        <f>ROUND(O654*$G654,0)</f>
        <v>19596</v>
      </c>
      <c r="R654" s="267"/>
      <c r="S654" s="267"/>
      <c r="T654" s="267"/>
      <c r="U654" s="267"/>
      <c r="V654" s="267"/>
      <c r="W654" s="267"/>
      <c r="X654" s="267"/>
      <c r="Y654" s="267"/>
      <c r="Z654" s="267"/>
      <c r="AA654" s="267"/>
      <c r="AB654" s="267"/>
      <c r="AE654" s="378"/>
      <c r="AF654" s="279">
        <f t="shared" ref="AF654:AF655" si="169">O654/I654-1</f>
        <v>7.5901328273244806E-2</v>
      </c>
      <c r="AH654" s="102"/>
    </row>
    <row r="655" spans="2:34">
      <c r="B655" s="275" t="s">
        <v>26</v>
      </c>
      <c r="E655" s="102">
        <v>39600</v>
      </c>
      <c r="G655" s="102">
        <f>ROUND(E655*$G$686/$E$686,0)</f>
        <v>166568</v>
      </c>
      <c r="I655" s="99">
        <v>3.35</v>
      </c>
      <c r="J655" s="276"/>
      <c r="K655" s="267">
        <f>ROUND(I655*$E655,0)</f>
        <v>132660</v>
      </c>
      <c r="M655" s="267">
        <f>ROUND(I655*$G655,0)</f>
        <v>558003</v>
      </c>
      <c r="O655" s="99">
        <f t="shared" si="168"/>
        <v>3.6</v>
      </c>
      <c r="P655" s="276"/>
      <c r="Q655" s="267">
        <f>ROUND(O655*$G655,0)</f>
        <v>599645</v>
      </c>
      <c r="R655" s="267"/>
      <c r="S655" s="267"/>
      <c r="T655" s="267"/>
      <c r="U655" s="267"/>
      <c r="V655" s="267"/>
      <c r="W655" s="267"/>
      <c r="X655" s="267"/>
      <c r="Y655" s="267"/>
      <c r="Z655" s="267"/>
      <c r="AA655" s="267"/>
      <c r="AB655" s="267"/>
      <c r="AC655" s="379"/>
      <c r="AD655" s="321"/>
      <c r="AF655" s="279">
        <f t="shared" si="169"/>
        <v>7.4626865671641784E-2</v>
      </c>
      <c r="AH655" s="102"/>
    </row>
    <row r="656" spans="2:34">
      <c r="B656" s="275" t="s">
        <v>27</v>
      </c>
      <c r="E656" s="102"/>
      <c r="G656" s="102"/>
      <c r="I656" s="99"/>
      <c r="J656" s="276"/>
      <c r="K656" s="267"/>
      <c r="M656" s="267"/>
      <c r="O656" s="300"/>
      <c r="P656" s="276"/>
      <c r="Q656" s="267"/>
      <c r="R656" s="267"/>
      <c r="S656" s="267"/>
      <c r="T656" s="267"/>
      <c r="U656" s="267"/>
      <c r="V656" s="267"/>
      <c r="W656" s="267"/>
      <c r="X656" s="267"/>
      <c r="Y656" s="267"/>
      <c r="Z656" s="267"/>
      <c r="AA656" s="267"/>
      <c r="AC656" s="99"/>
      <c r="AE656" s="378"/>
      <c r="AF656" s="378"/>
      <c r="AG656" s="267"/>
    </row>
    <row r="657" spans="2:34">
      <c r="B657" s="275" t="s">
        <v>28</v>
      </c>
      <c r="E657" s="102">
        <v>255103.99414285499</v>
      </c>
      <c r="G657" s="102">
        <f>ROUND(E657*$G$686/$E$686,0)</f>
        <v>1073035</v>
      </c>
      <c r="I657" s="379">
        <v>0.57099999999999995</v>
      </c>
      <c r="J657" s="380"/>
      <c r="K657" s="267">
        <f>ROUND(I657*$E657,0)</f>
        <v>145664</v>
      </c>
      <c r="M657" s="267">
        <f>ROUND(I657*$G657,0)</f>
        <v>612703</v>
      </c>
      <c r="O657" s="379">
        <f t="shared" ref="O657:O659" si="170">O614</f>
        <v>0.61570000000000003</v>
      </c>
      <c r="P657" s="380"/>
      <c r="Q657" s="267">
        <f>ROUND(O657*$G657,0)</f>
        <v>660668</v>
      </c>
      <c r="R657" s="267"/>
      <c r="S657" s="267"/>
      <c r="T657" s="267"/>
      <c r="U657" s="267"/>
      <c r="V657" s="267"/>
      <c r="W657" s="267"/>
      <c r="X657" s="267"/>
      <c r="Y657" s="267"/>
      <c r="Z657" s="267"/>
      <c r="AA657" s="267"/>
      <c r="AB657" s="267"/>
      <c r="AC657" s="274"/>
      <c r="AD657" s="301"/>
      <c r="AF657" s="279">
        <f t="shared" ref="AF657:AF659" si="171">O657/I657-1</f>
        <v>7.8283712784588566E-2</v>
      </c>
    </row>
    <row r="658" spans="2:34">
      <c r="B658" s="275" t="s">
        <v>29</v>
      </c>
      <c r="E658" s="102">
        <v>18841.983535868301</v>
      </c>
      <c r="G658" s="102">
        <f>ROUND(E658*$G$686/$E$686,0)</f>
        <v>79254</v>
      </c>
      <c r="I658" s="381">
        <v>0.28549999999999998</v>
      </c>
      <c r="J658" s="382"/>
      <c r="K658" s="267">
        <f>ROUND(I658*$E658,0)</f>
        <v>5379</v>
      </c>
      <c r="M658" s="267">
        <f>ROUND(I658*$G658,0)</f>
        <v>22627</v>
      </c>
      <c r="O658" s="381">
        <f t="shared" si="170"/>
        <v>0.30790000000000001</v>
      </c>
      <c r="P658" s="382"/>
      <c r="Q658" s="267">
        <f>ROUND(O658*$G658,0)</f>
        <v>24402</v>
      </c>
      <c r="R658" s="267"/>
      <c r="S658" s="267"/>
      <c r="T658" s="267"/>
      <c r="U658" s="267"/>
      <c r="V658" s="267"/>
      <c r="W658" s="267"/>
      <c r="X658" s="267"/>
      <c r="Y658" s="267"/>
      <c r="Z658" s="267"/>
      <c r="AA658" s="267"/>
      <c r="AB658" s="267"/>
      <c r="AC658" s="274"/>
      <c r="AD658" s="301"/>
      <c r="AE658" s="378"/>
      <c r="AF658" s="279">
        <f t="shared" si="171"/>
        <v>7.8458844133100003E-2</v>
      </c>
      <c r="AG658" s="267"/>
      <c r="AH658" s="102"/>
    </row>
    <row r="659" spans="2:34">
      <c r="B659" s="275" t="s">
        <v>30</v>
      </c>
      <c r="E659" s="102">
        <v>0</v>
      </c>
      <c r="G659" s="102">
        <f>ROUND(E659*$G$686/$E$686,0)</f>
        <v>0</v>
      </c>
      <c r="I659" s="99">
        <v>39.840000000000003</v>
      </c>
      <c r="J659" s="276"/>
      <c r="K659" s="267">
        <f>ROUND(I659*$E659,0)</f>
        <v>0</v>
      </c>
      <c r="M659" s="267">
        <f>ROUND(I659*$G659,0)</f>
        <v>0</v>
      </c>
      <c r="O659" s="99">
        <f t="shared" si="170"/>
        <v>42.83</v>
      </c>
      <c r="P659" s="276"/>
      <c r="Q659" s="267">
        <f>ROUND(O659*$G659,0)</f>
        <v>0</v>
      </c>
      <c r="R659" s="267"/>
      <c r="S659" s="267"/>
      <c r="T659" s="267"/>
      <c r="U659" s="267"/>
      <c r="V659" s="267"/>
      <c r="W659" s="267"/>
      <c r="X659" s="267"/>
      <c r="Y659" s="267"/>
      <c r="Z659" s="267"/>
      <c r="AA659" s="267"/>
      <c r="AB659" s="267"/>
      <c r="AC659" s="349"/>
      <c r="AD659" s="301"/>
      <c r="AF659" s="279">
        <f t="shared" si="171"/>
        <v>7.5050200803212785E-2</v>
      </c>
    </row>
    <row r="660" spans="2:34">
      <c r="B660" s="369" t="s">
        <v>33</v>
      </c>
      <c r="E660" s="102"/>
      <c r="G660" s="102"/>
      <c r="AB660" s="267"/>
      <c r="AC660" s="265"/>
      <c r="AD660" s="327"/>
      <c r="AF660" s="378"/>
      <c r="AG660" s="267"/>
      <c r="AH660" s="102"/>
    </row>
    <row r="661" spans="2:34">
      <c r="B661" s="275" t="s">
        <v>25</v>
      </c>
      <c r="E661" s="102">
        <v>1</v>
      </c>
      <c r="G661" s="102">
        <v>1.4400008347830913</v>
      </c>
      <c r="I661" s="99">
        <v>590</v>
      </c>
      <c r="J661" s="276"/>
      <c r="K661" s="267">
        <f>ROUND(I661*$E661,0)</f>
        <v>590</v>
      </c>
      <c r="M661" s="267">
        <f>ROUND(I661*$G661,0)</f>
        <v>850</v>
      </c>
      <c r="O661" s="99">
        <f t="shared" ref="O661:O662" si="172">O618</f>
        <v>634</v>
      </c>
      <c r="P661" s="276"/>
      <c r="Q661" s="267">
        <f>ROUND(O661*$G661,0)</f>
        <v>913</v>
      </c>
      <c r="R661" s="267"/>
      <c r="S661" s="267"/>
      <c r="T661" s="267"/>
      <c r="U661" s="267"/>
      <c r="V661" s="267"/>
      <c r="W661" s="267"/>
      <c r="X661" s="267"/>
      <c r="Y661" s="267"/>
      <c r="Z661" s="267"/>
      <c r="AA661" s="267"/>
      <c r="AB661" s="267"/>
      <c r="AC661" s="265"/>
      <c r="AD661" s="327"/>
      <c r="AF661" s="279">
        <f t="shared" ref="AF661:AF662" si="173">O661/I661-1</f>
        <v>7.4576271186440612E-2</v>
      </c>
      <c r="AG661" s="267"/>
      <c r="AH661" s="102"/>
    </row>
    <row r="662" spans="2:34">
      <c r="B662" s="275" t="s">
        <v>26</v>
      </c>
      <c r="E662" s="102">
        <v>5400</v>
      </c>
      <c r="G662" s="102">
        <f>ROUND(E662*$G$686/$E$686,0)</f>
        <v>22714</v>
      </c>
      <c r="I662" s="99">
        <v>1.9</v>
      </c>
      <c r="J662" s="276"/>
      <c r="K662" s="267">
        <f>ROUND(I662*$E662,0)</f>
        <v>10260</v>
      </c>
      <c r="M662" s="267">
        <f>ROUND(I662*$G662,0)</f>
        <v>43157</v>
      </c>
      <c r="O662" s="99">
        <f t="shared" si="172"/>
        <v>2.04</v>
      </c>
      <c r="P662" s="276"/>
      <c r="Q662" s="267">
        <f>ROUND(O662*$G662,0)</f>
        <v>46337</v>
      </c>
      <c r="R662" s="267"/>
      <c r="S662" s="267"/>
      <c r="T662" s="267"/>
      <c r="U662" s="267"/>
      <c r="V662" s="267"/>
      <c r="W662" s="267"/>
      <c r="X662" s="267"/>
      <c r="Y662" s="267"/>
      <c r="Z662" s="267"/>
      <c r="AA662" s="267"/>
      <c r="AB662" s="267"/>
      <c r="AC662" s="265"/>
      <c r="AD662" s="327"/>
      <c r="AF662" s="279">
        <f t="shared" si="173"/>
        <v>7.3684210526315796E-2</v>
      </c>
      <c r="AG662" s="267"/>
      <c r="AH662" s="102"/>
    </row>
    <row r="663" spans="2:34">
      <c r="B663" s="275" t="s">
        <v>27</v>
      </c>
      <c r="E663" s="102"/>
      <c r="G663" s="102"/>
      <c r="I663" s="300"/>
      <c r="J663" s="299"/>
      <c r="K663" s="267"/>
      <c r="M663" s="267"/>
      <c r="O663" s="300"/>
      <c r="P663" s="299"/>
      <c r="Q663" s="267"/>
      <c r="R663" s="267"/>
      <c r="S663" s="267"/>
      <c r="T663" s="267"/>
      <c r="U663" s="267"/>
      <c r="V663" s="267"/>
      <c r="W663" s="267"/>
      <c r="X663" s="267"/>
      <c r="Y663" s="267"/>
      <c r="Z663" s="267"/>
      <c r="AA663" s="267"/>
      <c r="AB663" s="301"/>
      <c r="AC663" s="265"/>
      <c r="AD663" s="327"/>
      <c r="AH663" s="102"/>
    </row>
    <row r="664" spans="2:34">
      <c r="B664" s="275" t="s">
        <v>28</v>
      </c>
      <c r="E664" s="102">
        <v>11941.991017964099</v>
      </c>
      <c r="G664" s="102">
        <f>ROUND(E664*$G$686/$E$686,0)</f>
        <v>50231</v>
      </c>
      <c r="I664" s="379">
        <v>0.44850000000000001</v>
      </c>
      <c r="J664" s="380"/>
      <c r="K664" s="267">
        <f>ROUND(I664*$E664,0)</f>
        <v>5356</v>
      </c>
      <c r="M664" s="267">
        <f>ROUND(I664*$G664,0)</f>
        <v>22529</v>
      </c>
      <c r="O664" s="379">
        <f t="shared" ref="O664:O666" si="174">O621</f>
        <v>0.48220000000000002</v>
      </c>
      <c r="P664" s="380"/>
      <c r="Q664" s="267">
        <f>ROUND(O664*$G664,0)</f>
        <v>24221</v>
      </c>
      <c r="R664" s="267"/>
      <c r="S664" s="267"/>
      <c r="T664" s="267"/>
      <c r="U664" s="267"/>
      <c r="V664" s="267"/>
      <c r="W664" s="267"/>
      <c r="X664" s="267"/>
      <c r="Y664" s="267"/>
      <c r="Z664" s="267"/>
      <c r="AA664" s="267"/>
      <c r="AB664" s="301"/>
      <c r="AC664" s="99"/>
      <c r="AD664" s="321"/>
      <c r="AF664" s="279">
        <f t="shared" ref="AF664:AF666" si="175">O664/I664-1</f>
        <v>7.513935340022293E-2</v>
      </c>
      <c r="AG664" s="267"/>
      <c r="AH664" s="309"/>
    </row>
    <row r="665" spans="2:34">
      <c r="B665" s="275" t="s">
        <v>29</v>
      </c>
      <c r="E665" s="102">
        <v>0</v>
      </c>
      <c r="G665" s="102">
        <f>ROUND(E665*$G$686/$E$686,0)</f>
        <v>0</v>
      </c>
      <c r="I665" s="381">
        <v>0.2243</v>
      </c>
      <c r="J665" s="382"/>
      <c r="K665" s="267">
        <f>ROUND(I665*$E665,0)</f>
        <v>0</v>
      </c>
      <c r="M665" s="267">
        <f>ROUND(I665*$G665,0)</f>
        <v>0</v>
      </c>
      <c r="O665" s="381">
        <f t="shared" si="174"/>
        <v>0.24110000000000001</v>
      </c>
      <c r="P665" s="382"/>
      <c r="Q665" s="267">
        <f>ROUND(O665*$G665,0)</f>
        <v>0</v>
      </c>
      <c r="R665" s="267"/>
      <c r="S665" s="267"/>
      <c r="T665" s="267"/>
      <c r="U665" s="267"/>
      <c r="V665" s="267"/>
      <c r="W665" s="267"/>
      <c r="X665" s="267"/>
      <c r="Y665" s="267"/>
      <c r="Z665" s="267"/>
      <c r="AA665" s="267"/>
      <c r="AB665" s="301"/>
      <c r="AD665" s="321"/>
      <c r="AF665" s="279">
        <f t="shared" si="175"/>
        <v>7.4899687917967084E-2</v>
      </c>
      <c r="AG665" s="267"/>
      <c r="AH665" s="309"/>
    </row>
    <row r="666" spans="2:34">
      <c r="B666" s="275" t="s">
        <v>30</v>
      </c>
      <c r="E666" s="102">
        <v>0</v>
      </c>
      <c r="G666" s="102">
        <f>ROUND(E666*$G$686/$E$686,0)</f>
        <v>0</v>
      </c>
      <c r="I666" s="99">
        <v>38.36</v>
      </c>
      <c r="J666" s="276"/>
      <c r="K666" s="267">
        <f>ROUND(I666*$E666,0)</f>
        <v>0</v>
      </c>
      <c r="M666" s="267">
        <f>ROUND(I666*$G666,0)</f>
        <v>0</v>
      </c>
      <c r="O666" s="99">
        <f t="shared" si="174"/>
        <v>41.24</v>
      </c>
      <c r="P666" s="276"/>
      <c r="Q666" s="267">
        <f>ROUND(O666*$G666,0)</f>
        <v>0</v>
      </c>
      <c r="R666" s="267"/>
      <c r="S666" s="267"/>
      <c r="T666" s="267"/>
      <c r="U666" s="267"/>
      <c r="V666" s="267"/>
      <c r="W666" s="267"/>
      <c r="X666" s="267"/>
      <c r="Y666" s="267"/>
      <c r="Z666" s="267"/>
      <c r="AA666" s="267"/>
      <c r="AB666" s="301"/>
      <c r="AF666" s="279">
        <f t="shared" si="175"/>
        <v>7.5078206465067909E-2</v>
      </c>
      <c r="AH666" s="309"/>
    </row>
    <row r="667" spans="2:34">
      <c r="B667" s="275" t="s">
        <v>146</v>
      </c>
      <c r="E667" s="357"/>
      <c r="G667" s="357"/>
      <c r="I667" s="322"/>
      <c r="J667" s="330"/>
      <c r="K667" s="308">
        <f>SUM(K647:K666)</f>
        <v>312557</v>
      </c>
      <c r="M667" s="308">
        <f>SUM(M647:M666)</f>
        <v>1278082</v>
      </c>
      <c r="O667" s="322"/>
      <c r="P667" s="330"/>
      <c r="Q667" s="308">
        <f>SUM(Q647:Q666)</f>
        <v>1375782</v>
      </c>
      <c r="R667" s="301"/>
      <c r="S667" s="301"/>
      <c r="T667" s="301"/>
      <c r="U667" s="301"/>
      <c r="V667" s="301"/>
      <c r="W667" s="301"/>
      <c r="X667" s="301"/>
      <c r="Y667" s="301"/>
      <c r="Z667" s="301"/>
      <c r="AA667" s="301"/>
      <c r="AB667" s="267"/>
      <c r="AC667" s="264" t="s">
        <v>315</v>
      </c>
      <c r="AD667" s="315">
        <f>Q667/M667-1</f>
        <v>7.644266956267276E-2</v>
      </c>
    </row>
    <row r="668" spans="2:34">
      <c r="B668" s="369" t="s">
        <v>34</v>
      </c>
      <c r="AB668" s="267"/>
      <c r="AC668" s="383"/>
    </row>
    <row r="669" spans="2:34">
      <c r="B669" s="272" t="s">
        <v>35</v>
      </c>
      <c r="E669" s="102"/>
      <c r="G669" s="102"/>
      <c r="I669" s="300"/>
      <c r="J669" s="299"/>
      <c r="K669" s="267"/>
      <c r="M669" s="267"/>
      <c r="O669" s="300"/>
      <c r="P669" s="299"/>
      <c r="Q669" s="267"/>
      <c r="R669" s="267"/>
      <c r="S669" s="267"/>
      <c r="T669" s="267"/>
      <c r="U669" s="267"/>
      <c r="V669" s="267"/>
      <c r="W669" s="267"/>
      <c r="X669" s="267"/>
      <c r="Y669" s="267"/>
      <c r="Z669" s="267"/>
      <c r="AA669" s="267"/>
      <c r="AB669" s="267"/>
      <c r="AC669" s="383"/>
    </row>
    <row r="670" spans="2:34">
      <c r="B670" s="275" t="s">
        <v>268</v>
      </c>
      <c r="E670" s="102">
        <v>13800</v>
      </c>
      <c r="G670" s="102">
        <f>ROUND(E670*$G$686/$E$686,0)</f>
        <v>58046</v>
      </c>
      <c r="I670" s="300">
        <v>4.22</v>
      </c>
      <c r="J670" s="299"/>
      <c r="K670" s="267">
        <f>ROUND(I670*$E670,0)</f>
        <v>58236</v>
      </c>
      <c r="M670" s="267">
        <f>ROUND(I670*$G670,0)</f>
        <v>244954</v>
      </c>
      <c r="O670" s="300">
        <f t="shared" ref="O670:O676" si="176">O627</f>
        <v>4.42</v>
      </c>
      <c r="P670" s="299"/>
      <c r="Q670" s="267">
        <f>ROUND(O670*$G670,0)</f>
        <v>256563</v>
      </c>
      <c r="R670" s="267"/>
      <c r="S670" s="267"/>
      <c r="T670" s="267"/>
      <c r="U670" s="267"/>
      <c r="V670" s="267"/>
      <c r="W670" s="267"/>
      <c r="X670" s="267"/>
      <c r="Y670" s="267"/>
      <c r="Z670" s="267"/>
      <c r="AA670" s="267"/>
      <c r="AB670" s="267"/>
      <c r="AC670" s="383"/>
      <c r="AF670" s="279">
        <f t="shared" ref="AF670:AF676" si="177">O670/I670-1</f>
        <v>4.7393364928909998E-2</v>
      </c>
    </row>
    <row r="671" spans="2:34">
      <c r="B671" s="275" t="s">
        <v>269</v>
      </c>
      <c r="E671" s="102">
        <v>0</v>
      </c>
      <c r="G671" s="102">
        <f>ROUND(E671*$G$686/$E$686,0)</f>
        <v>0</v>
      </c>
      <c r="I671" s="300">
        <v>13.81</v>
      </c>
      <c r="J671" s="299"/>
      <c r="K671" s="267">
        <f>ROUND(I671*$E671,0)</f>
        <v>0</v>
      </c>
      <c r="M671" s="267">
        <f>ROUND(I671*$G671,0)</f>
        <v>0</v>
      </c>
      <c r="O671" s="300">
        <f t="shared" si="176"/>
        <v>14.46</v>
      </c>
      <c r="P671" s="299"/>
      <c r="Q671" s="267">
        <f>ROUND(O671*$G671,0)</f>
        <v>0</v>
      </c>
      <c r="R671" s="267"/>
      <c r="S671" s="267"/>
      <c r="T671" s="267"/>
      <c r="U671" s="267"/>
      <c r="V671" s="267"/>
      <c r="W671" s="267"/>
      <c r="X671" s="267"/>
      <c r="Y671" s="267"/>
      <c r="Z671" s="267"/>
      <c r="AA671" s="267"/>
      <c r="AB671" s="267"/>
      <c r="AC671" s="383"/>
      <c r="AF671" s="279">
        <f t="shared" si="177"/>
        <v>4.7067342505430876E-2</v>
      </c>
    </row>
    <row r="672" spans="2:34">
      <c r="B672" s="275" t="s">
        <v>270</v>
      </c>
      <c r="E672" s="102">
        <v>13800</v>
      </c>
      <c r="G672" s="102">
        <f>ROUND(E672*$G$686/$E$686,0)</f>
        <v>58046</v>
      </c>
      <c r="I672" s="300">
        <v>9.94</v>
      </c>
      <c r="J672" s="299"/>
      <c r="K672" s="267">
        <f>ROUND(I672*$E672,0)</f>
        <v>137172</v>
      </c>
      <c r="M672" s="267">
        <f>ROUND(I672*$G672,0)</f>
        <v>576977</v>
      </c>
      <c r="O672" s="300">
        <f t="shared" si="176"/>
        <v>10.41</v>
      </c>
      <c r="P672" s="299"/>
      <c r="Q672" s="267">
        <f>ROUND(O672*$G672,0)</f>
        <v>604259</v>
      </c>
      <c r="R672" s="267"/>
      <c r="S672" s="267"/>
      <c r="T672" s="267"/>
      <c r="U672" s="267"/>
      <c r="V672" s="267"/>
      <c r="W672" s="267"/>
      <c r="X672" s="267"/>
      <c r="Y672" s="267"/>
      <c r="Z672" s="267"/>
      <c r="AA672" s="267"/>
      <c r="AB672" s="267"/>
      <c r="AC672" s="383"/>
      <c r="AF672" s="279">
        <f t="shared" si="177"/>
        <v>4.728370221327971E-2</v>
      </c>
    </row>
    <row r="673" spans="2:34">
      <c r="B673" s="275" t="s">
        <v>348</v>
      </c>
      <c r="E673" s="102">
        <v>13800</v>
      </c>
      <c r="G673" s="102">
        <f>ROUND(E673*$G$686/$E$686,0)</f>
        <v>58046</v>
      </c>
      <c r="I673" s="300">
        <v>-1.01</v>
      </c>
      <c r="J673" s="299"/>
      <c r="K673" s="267">
        <f>ROUND(I673*$E673,0)</f>
        <v>-13938</v>
      </c>
      <c r="M673" s="267">
        <f>ROUND(I673*$G673,0)</f>
        <v>-58626</v>
      </c>
      <c r="O673" s="300">
        <f t="shared" si="176"/>
        <v>-1.06</v>
      </c>
      <c r="P673" s="299"/>
      <c r="Q673" s="267">
        <f>ROUND(O673*$G673,0)</f>
        <v>-61529</v>
      </c>
      <c r="R673" s="267"/>
      <c r="S673" s="267"/>
      <c r="T673" s="267"/>
      <c r="U673" s="267"/>
      <c r="V673" s="267"/>
      <c r="W673" s="267"/>
      <c r="X673" s="267"/>
      <c r="Y673" s="267"/>
      <c r="Z673" s="267"/>
      <c r="AA673" s="267"/>
      <c r="AB673" s="267"/>
      <c r="AC673" s="383"/>
      <c r="AF673" s="279">
        <f t="shared" si="177"/>
        <v>4.9504950495049549E-2</v>
      </c>
    </row>
    <row r="674" spans="2:34">
      <c r="B674" s="275" t="s">
        <v>341</v>
      </c>
      <c r="E674" s="102">
        <v>1144667</v>
      </c>
      <c r="G674" s="102">
        <f>ROUND(E674*$G$686/($E$686-$E$685),0)</f>
        <v>4826571</v>
      </c>
      <c r="I674" s="322">
        <v>4.4812000000000003</v>
      </c>
      <c r="J674" s="286" t="s">
        <v>314</v>
      </c>
      <c r="K674" s="267">
        <f>ROUND(I674*$E674/100,0)</f>
        <v>51295</v>
      </c>
      <c r="M674" s="267">
        <f>ROUND(I674*$G674/100,0)</f>
        <v>216288</v>
      </c>
      <c r="O674" s="322">
        <f t="shared" si="176"/>
        <v>4.6916000000000002</v>
      </c>
      <c r="P674" s="286" t="s">
        <v>314</v>
      </c>
      <c r="Q674" s="267">
        <f>ROUND(O674*$G674/100,0)</f>
        <v>226443</v>
      </c>
      <c r="R674" s="267"/>
      <c r="S674" s="267"/>
      <c r="T674" s="267"/>
      <c r="U674" s="267"/>
      <c r="V674" s="267"/>
      <c r="W674" s="267"/>
      <c r="X674" s="267"/>
      <c r="Y674" s="267"/>
      <c r="Z674" s="267"/>
      <c r="AA674" s="267"/>
      <c r="AB674" s="267"/>
      <c r="AC674" s="383"/>
      <c r="AF674" s="279">
        <f t="shared" si="177"/>
        <v>4.695170936356341E-2</v>
      </c>
    </row>
    <row r="675" spans="2:34">
      <c r="B675" s="275" t="s">
        <v>367</v>
      </c>
      <c r="E675" s="102">
        <v>4072632</v>
      </c>
      <c r="G675" s="102">
        <f>ROUND(E675*$G$686/($E$686-$E$685),0)</f>
        <v>17172547</v>
      </c>
      <c r="I675" s="322">
        <v>3.5078</v>
      </c>
      <c r="J675" s="286" t="s">
        <v>314</v>
      </c>
      <c r="K675" s="267">
        <f>ROUND(I675*$E675/100,0)</f>
        <v>142860</v>
      </c>
      <c r="M675" s="267">
        <f>ROUND(I675*$G675/100,0)</f>
        <v>602379</v>
      </c>
      <c r="O675" s="322">
        <f t="shared" si="176"/>
        <v>3.6724999999999999</v>
      </c>
      <c r="P675" s="286" t="s">
        <v>314</v>
      </c>
      <c r="Q675" s="267">
        <f>ROUND(O675*$G675/100,0)</f>
        <v>630662</v>
      </c>
      <c r="R675" s="267"/>
      <c r="S675" s="267"/>
      <c r="T675" s="267"/>
      <c r="U675" s="267"/>
      <c r="V675" s="267"/>
      <c r="W675" s="267"/>
      <c r="X675" s="267"/>
      <c r="Y675" s="267"/>
      <c r="Z675" s="267"/>
      <c r="AA675" s="267"/>
      <c r="AB675" s="267"/>
      <c r="AF675" s="279">
        <f t="shared" si="177"/>
        <v>4.6952505844118697E-2</v>
      </c>
    </row>
    <row r="676" spans="2:34">
      <c r="B676" s="275" t="s">
        <v>271</v>
      </c>
      <c r="E676" s="102">
        <v>5246147</v>
      </c>
      <c r="G676" s="102">
        <f>G686-G674-G675-G681-G682-G683</f>
        <v>22120759.026000001</v>
      </c>
      <c r="I676" s="322">
        <v>3.0226999999999999</v>
      </c>
      <c r="J676" s="286" t="s">
        <v>314</v>
      </c>
      <c r="K676" s="267">
        <f>ROUND(I676*$E676/100,0)</f>
        <v>158575</v>
      </c>
      <c r="M676" s="267">
        <f>ROUND(I676*$G676/100,0)</f>
        <v>668644</v>
      </c>
      <c r="O676" s="322">
        <f t="shared" si="176"/>
        <v>3.1633</v>
      </c>
      <c r="P676" s="286" t="s">
        <v>314</v>
      </c>
      <c r="Q676" s="267">
        <f>ROUND(O676*$G676/100,0)</f>
        <v>699746</v>
      </c>
      <c r="R676" s="267"/>
      <c r="S676" s="267"/>
      <c r="T676" s="267"/>
      <c r="U676" s="267"/>
      <c r="V676" s="267"/>
      <c r="W676" s="267"/>
      <c r="X676" s="267"/>
      <c r="Y676" s="267"/>
      <c r="Z676" s="267"/>
      <c r="AA676" s="267"/>
      <c r="AB676" s="267"/>
      <c r="AC676" s="383"/>
      <c r="AF676" s="279">
        <f t="shared" si="177"/>
        <v>4.651470539583813E-2</v>
      </c>
    </row>
    <row r="677" spans="2:34">
      <c r="B677" s="272" t="s">
        <v>36</v>
      </c>
      <c r="E677" s="102"/>
      <c r="G677" s="102"/>
      <c r="I677" s="300"/>
      <c r="J677" s="299"/>
      <c r="K677" s="267"/>
      <c r="M677" s="267"/>
      <c r="O677" s="300"/>
      <c r="P677" s="299"/>
      <c r="Q677" s="267"/>
      <c r="R677" s="267"/>
      <c r="S677" s="267"/>
      <c r="T677" s="267"/>
      <c r="U677" s="267"/>
      <c r="V677" s="267"/>
      <c r="W677" s="267"/>
      <c r="X677" s="267"/>
      <c r="Y677" s="267"/>
      <c r="Z677" s="267"/>
      <c r="AA677" s="267"/>
      <c r="AB677" s="267"/>
      <c r="AC677" s="383"/>
    </row>
    <row r="678" spans="2:34">
      <c r="B678" s="275" t="s">
        <v>268</v>
      </c>
      <c r="E678" s="102">
        <v>12600</v>
      </c>
      <c r="G678" s="102">
        <f>ROUND(E678*$G$686/$E$686,0)</f>
        <v>52999</v>
      </c>
      <c r="I678" s="300">
        <v>1.94</v>
      </c>
      <c r="J678" s="299"/>
      <c r="K678" s="267">
        <f>ROUND(I678*$E678,0)</f>
        <v>24444</v>
      </c>
      <c r="M678" s="267">
        <f>ROUND(I678*$G678,0)</f>
        <v>102818</v>
      </c>
      <c r="O678" s="300">
        <f t="shared" ref="O678:O683" si="178">O635</f>
        <v>2.0699999999999998</v>
      </c>
      <c r="P678" s="299"/>
      <c r="Q678" s="267">
        <f>ROUND(O678*$G678,0)</f>
        <v>109708</v>
      </c>
      <c r="R678" s="267"/>
      <c r="S678" s="267"/>
      <c r="T678" s="267"/>
      <c r="U678" s="267"/>
      <c r="V678" s="267"/>
      <c r="W678" s="267"/>
      <c r="X678" s="267"/>
      <c r="Y678" s="267"/>
      <c r="Z678" s="267"/>
      <c r="AA678" s="267"/>
      <c r="AB678" s="267"/>
      <c r="AC678" s="383"/>
      <c r="AE678" s="309"/>
      <c r="AF678" s="279">
        <f t="shared" ref="AF678:AF683" si="179">O678/I678-1</f>
        <v>6.7010309278350499E-2</v>
      </c>
    </row>
    <row r="679" spans="2:34">
      <c r="B679" s="275" t="s">
        <v>269</v>
      </c>
      <c r="E679" s="102">
        <v>12600</v>
      </c>
      <c r="G679" s="102">
        <f>ROUND(E679*$G$686/$E$686,0)</f>
        <v>52999</v>
      </c>
      <c r="I679" s="300">
        <v>12.18</v>
      </c>
      <c r="J679" s="299"/>
      <c r="K679" s="267">
        <f>ROUND(I679*$E679,0)</f>
        <v>153468</v>
      </c>
      <c r="M679" s="267">
        <f>ROUND(I679*$G679,0)</f>
        <v>645528</v>
      </c>
      <c r="O679" s="300">
        <f t="shared" si="178"/>
        <v>13</v>
      </c>
      <c r="P679" s="299"/>
      <c r="Q679" s="267">
        <f>ROUND(O679*$G679,0)</f>
        <v>688987</v>
      </c>
      <c r="R679" s="267"/>
      <c r="S679" s="267"/>
      <c r="T679" s="267"/>
      <c r="U679" s="267"/>
      <c r="V679" s="267"/>
      <c r="W679" s="267"/>
      <c r="X679" s="267"/>
      <c r="Y679" s="267"/>
      <c r="Z679" s="267"/>
      <c r="AA679" s="267"/>
      <c r="AB679" s="301"/>
      <c r="AC679" s="383"/>
      <c r="AF679" s="279">
        <f t="shared" si="179"/>
        <v>6.7323481116584594E-2</v>
      </c>
    </row>
    <row r="680" spans="2:34">
      <c r="B680" s="275" t="s">
        <v>270</v>
      </c>
      <c r="E680" s="102">
        <v>0</v>
      </c>
      <c r="G680" s="102">
        <f>ROUND(E680*$G$686/$E$686,0)</f>
        <v>0</v>
      </c>
      <c r="I680" s="300">
        <v>8.26</v>
      </c>
      <c r="J680" s="299"/>
      <c r="K680" s="267">
        <f>ROUND(I680*$E680,0)</f>
        <v>0</v>
      </c>
      <c r="M680" s="267">
        <f>ROUND(I680*$G680,0)</f>
        <v>0</v>
      </c>
      <c r="O680" s="300">
        <f t="shared" si="178"/>
        <v>8.81</v>
      </c>
      <c r="P680" s="299"/>
      <c r="Q680" s="267">
        <f>ROUND(O680*$G680,0)</f>
        <v>0</v>
      </c>
      <c r="R680" s="267"/>
      <c r="S680" s="267"/>
      <c r="T680" s="267"/>
      <c r="U680" s="267"/>
      <c r="V680" s="267"/>
      <c r="W680" s="267"/>
      <c r="X680" s="267"/>
      <c r="Y680" s="267"/>
      <c r="Z680" s="267"/>
      <c r="AA680" s="267"/>
      <c r="AB680" s="301"/>
      <c r="AC680" s="383"/>
      <c r="AF680" s="279">
        <f t="shared" si="179"/>
        <v>6.6585956416465031E-2</v>
      </c>
      <c r="AG680" s="309"/>
    </row>
    <row r="681" spans="2:34">
      <c r="B681" s="275" t="s">
        <v>276</v>
      </c>
      <c r="E681" s="102">
        <v>1143583</v>
      </c>
      <c r="G681" s="102">
        <f>ROUND(E681*$G$686/($E$686-$E$685),0)</f>
        <v>4822000</v>
      </c>
      <c r="I681" s="332">
        <v>4.0587999999999997</v>
      </c>
      <c r="J681" s="286" t="s">
        <v>314</v>
      </c>
      <c r="K681" s="267">
        <f>ROUND(I681*$E681/100,0)</f>
        <v>46416</v>
      </c>
      <c r="M681" s="267">
        <f>ROUND(I681*$G681/100,0)</f>
        <v>195715</v>
      </c>
      <c r="O681" s="332">
        <f t="shared" si="178"/>
        <v>4.3304999999999998</v>
      </c>
      <c r="P681" s="286" t="s">
        <v>314</v>
      </c>
      <c r="Q681" s="267">
        <f>ROUND(O681*$G681/100,0)</f>
        <v>208817</v>
      </c>
      <c r="R681" s="267"/>
      <c r="S681" s="267"/>
      <c r="T681" s="267"/>
      <c r="U681" s="267"/>
      <c r="V681" s="267"/>
      <c r="W681" s="267"/>
      <c r="X681" s="267"/>
      <c r="Y681" s="267"/>
      <c r="Z681" s="267"/>
      <c r="AA681" s="267"/>
      <c r="AB681" s="301"/>
      <c r="AC681" s="383"/>
      <c r="AF681" s="279">
        <f t="shared" si="179"/>
        <v>6.6940967773726268E-2</v>
      </c>
    </row>
    <row r="682" spans="2:34">
      <c r="B682" s="275" t="s">
        <v>277</v>
      </c>
      <c r="E682" s="102">
        <v>0</v>
      </c>
      <c r="G682" s="102">
        <f>ROUND(E682*$G$686/($E$686-$E$685),0)</f>
        <v>0</v>
      </c>
      <c r="I682" s="332">
        <v>3.052</v>
      </c>
      <c r="J682" s="286" t="s">
        <v>314</v>
      </c>
      <c r="K682" s="267">
        <f>ROUND(I682*$E682/100,0)</f>
        <v>0</v>
      </c>
      <c r="M682" s="267">
        <f>ROUND(I682*$G682/100,0)</f>
        <v>0</v>
      </c>
      <c r="O682" s="332">
        <f t="shared" si="178"/>
        <v>3.2563</v>
      </c>
      <c r="P682" s="286" t="s">
        <v>314</v>
      </c>
      <c r="Q682" s="267">
        <f>ROUND(O682*$G682/100,0)</f>
        <v>0</v>
      </c>
      <c r="R682" s="267"/>
      <c r="S682" s="267"/>
      <c r="T682" s="267"/>
      <c r="U682" s="267"/>
      <c r="V682" s="267"/>
      <c r="W682" s="267"/>
      <c r="X682" s="267"/>
      <c r="Y682" s="267"/>
      <c r="Z682" s="267"/>
      <c r="AA682" s="267"/>
      <c r="AB682" s="301"/>
      <c r="AF682" s="279">
        <f t="shared" si="179"/>
        <v>6.6939711664482315E-2</v>
      </c>
      <c r="AH682" s="309"/>
    </row>
    <row r="683" spans="2:34">
      <c r="B683" s="275" t="s">
        <v>271</v>
      </c>
      <c r="E683" s="367">
        <v>2395215</v>
      </c>
      <c r="G683" s="367">
        <f>ROUND(E683*$G$686/($E$686-$E$685),0)</f>
        <v>10099597</v>
      </c>
      <c r="I683" s="384">
        <v>2.5488</v>
      </c>
      <c r="J683" s="286" t="s">
        <v>314</v>
      </c>
      <c r="K683" s="339">
        <f>ROUND(I683*$E683/100,0)</f>
        <v>61049</v>
      </c>
      <c r="M683" s="339">
        <f>ROUND(I683*$G683/100,0)</f>
        <v>257419</v>
      </c>
      <c r="O683" s="384">
        <f t="shared" si="178"/>
        <v>2.7195</v>
      </c>
      <c r="P683" s="286" t="s">
        <v>314</v>
      </c>
      <c r="Q683" s="339">
        <f>ROUND(O683*$G683/100,0)</f>
        <v>274659</v>
      </c>
      <c r="R683" s="301"/>
      <c r="S683" s="301"/>
      <c r="T683" s="301"/>
      <c r="U683" s="301"/>
      <c r="V683" s="301"/>
      <c r="W683" s="301"/>
      <c r="X683" s="301"/>
      <c r="Y683" s="301"/>
      <c r="Z683" s="301"/>
      <c r="AA683" s="301"/>
      <c r="AE683" s="378"/>
      <c r="AF683" s="279">
        <f t="shared" si="179"/>
        <v>6.697269303201514E-2</v>
      </c>
    </row>
    <row r="684" spans="2:34">
      <c r="B684" s="275" t="s">
        <v>146</v>
      </c>
      <c r="E684" s="280"/>
      <c r="G684" s="280"/>
      <c r="I684" s="385"/>
      <c r="J684" s="286"/>
      <c r="K684" s="301">
        <f>SUM(K670:K683)</f>
        <v>819577</v>
      </c>
      <c r="M684" s="301">
        <f>SUM(M670:M683)</f>
        <v>3452096</v>
      </c>
      <c r="O684" s="385"/>
      <c r="P684" s="286"/>
      <c r="Q684" s="301">
        <f>SUM(Q670:Q683)</f>
        <v>3638315</v>
      </c>
      <c r="R684" s="301"/>
      <c r="S684" s="301"/>
      <c r="T684" s="301"/>
      <c r="U684" s="301"/>
      <c r="V684" s="301"/>
      <c r="W684" s="301"/>
      <c r="X684" s="301"/>
      <c r="Y684" s="301"/>
      <c r="Z684" s="301"/>
      <c r="AA684" s="301"/>
      <c r="AC684" s="264" t="s">
        <v>315</v>
      </c>
      <c r="AD684" s="315">
        <f>Q684/M684-1</f>
        <v>5.3943748957155258E-2</v>
      </c>
      <c r="AE684" s="378"/>
      <c r="AF684" s="279"/>
    </row>
    <row r="685" spans="2:34">
      <c r="B685" s="264" t="s">
        <v>264</v>
      </c>
      <c r="E685" s="357">
        <v>34307</v>
      </c>
      <c r="G685" s="357">
        <v>0</v>
      </c>
      <c r="I685" s="322"/>
      <c r="J685" s="330"/>
      <c r="K685" s="308">
        <v>1080</v>
      </c>
      <c r="M685" s="308">
        <v>0</v>
      </c>
      <c r="O685" s="322"/>
      <c r="P685" s="330"/>
      <c r="Q685" s="308">
        <v>0</v>
      </c>
      <c r="R685" s="301"/>
      <c r="S685" s="301"/>
      <c r="T685" s="301"/>
      <c r="U685" s="301"/>
      <c r="V685" s="301"/>
      <c r="W685" s="301"/>
      <c r="X685" s="301"/>
      <c r="Y685" s="301"/>
      <c r="Z685" s="301"/>
      <c r="AA685" s="301"/>
    </row>
    <row r="686" spans="2:34" ht="16.5" thickBot="1">
      <c r="B686" s="275" t="s">
        <v>37</v>
      </c>
      <c r="E686" s="325">
        <f>E685+E674+E675+E676+E681+E682+E683</f>
        <v>14036551</v>
      </c>
      <c r="G686" s="325">
        <v>59041474.026000001</v>
      </c>
      <c r="I686" s="318"/>
      <c r="K686" s="319">
        <f>K667+K684+K685</f>
        <v>1133214</v>
      </c>
      <c r="M686" s="319">
        <f>M667+M684+M685</f>
        <v>4730178</v>
      </c>
      <c r="O686" s="318"/>
      <c r="Q686" s="319">
        <f>Q667+Q684+Q685</f>
        <v>5014097</v>
      </c>
      <c r="R686" s="301"/>
      <c r="S686" s="301"/>
      <c r="T686" s="301"/>
      <c r="U686" s="301"/>
      <c r="V686" s="301"/>
      <c r="W686" s="301"/>
      <c r="X686" s="301"/>
      <c r="Y686" s="301"/>
      <c r="Z686" s="301"/>
      <c r="AA686" s="301"/>
      <c r="AC686" s="264" t="s">
        <v>315</v>
      </c>
      <c r="AD686" s="315">
        <f>Q686/M686-1</f>
        <v>6.0022899772482097E-2</v>
      </c>
    </row>
    <row r="687" spans="2:34" ht="16.5" thickTop="1">
      <c r="AB687" s="267"/>
      <c r="AE687" s="378"/>
      <c r="AF687" s="378"/>
      <c r="AG687" s="267"/>
      <c r="AH687" s="102"/>
    </row>
    <row r="688" spans="2:34">
      <c r="B688" s="272" t="s">
        <v>39</v>
      </c>
      <c r="E688" s="102"/>
      <c r="G688" s="102"/>
      <c r="I688" s="322"/>
      <c r="J688" s="330"/>
      <c r="O688" s="322"/>
      <c r="P688" s="330"/>
      <c r="AB688" s="267"/>
      <c r="AC688" s="309"/>
      <c r="AD688" s="309"/>
    </row>
    <row r="689" spans="2:34">
      <c r="B689" s="369" t="s">
        <v>161</v>
      </c>
      <c r="E689" s="102"/>
      <c r="G689" s="102"/>
      <c r="AB689" s="267"/>
      <c r="AC689" s="99"/>
      <c r="AD689" s="321"/>
      <c r="AF689" s="378"/>
      <c r="AG689" s="267"/>
      <c r="AH689" s="102"/>
    </row>
    <row r="690" spans="2:34">
      <c r="B690" s="275" t="s">
        <v>25</v>
      </c>
      <c r="E690" s="102">
        <v>0</v>
      </c>
      <c r="G690" s="102"/>
      <c r="I690" s="99">
        <v>116</v>
      </c>
      <c r="J690" s="276"/>
      <c r="K690" s="267">
        <f>ROUND(I690*$E690,0)</f>
        <v>0</v>
      </c>
      <c r="M690" s="267">
        <f>ROUND(I690*$G690,0)</f>
        <v>0</v>
      </c>
      <c r="O690" s="99">
        <f>O604</f>
        <v>125</v>
      </c>
      <c r="P690" s="276"/>
      <c r="Q690" s="267">
        <f>ROUND(O690*$G690,0)</f>
        <v>0</v>
      </c>
      <c r="R690" s="267"/>
      <c r="S690" s="267"/>
      <c r="T690" s="267"/>
      <c r="U690" s="267"/>
      <c r="V690" s="267"/>
      <c r="W690" s="267"/>
      <c r="X690" s="267"/>
      <c r="Y690" s="267"/>
      <c r="Z690" s="267"/>
      <c r="AA690" s="267"/>
      <c r="AB690" s="267"/>
      <c r="AE690" s="378"/>
      <c r="AF690" s="279">
        <f t="shared" ref="AF690:AF691" si="180">O690/I690-1</f>
        <v>7.7586206896551824E-2</v>
      </c>
    </row>
    <row r="691" spans="2:34">
      <c r="B691" s="275" t="s">
        <v>26</v>
      </c>
      <c r="E691" s="102">
        <v>0</v>
      </c>
      <c r="G691" s="102"/>
      <c r="I691" s="99">
        <v>4.26</v>
      </c>
      <c r="J691" s="276"/>
      <c r="K691" s="267">
        <f>ROUND(I691*$E691,0)</f>
        <v>0</v>
      </c>
      <c r="M691" s="267">
        <f>ROUND(I691*$G691,0)</f>
        <v>0</v>
      </c>
      <c r="O691" s="99">
        <f>O605</f>
        <v>4.58</v>
      </c>
      <c r="P691" s="276"/>
      <c r="Q691" s="267">
        <f>ROUND(O691*$G691,0)</f>
        <v>0</v>
      </c>
      <c r="R691" s="267"/>
      <c r="S691" s="267"/>
      <c r="T691" s="267"/>
      <c r="U691" s="267"/>
      <c r="V691" s="267"/>
      <c r="W691" s="267"/>
      <c r="X691" s="267"/>
      <c r="Y691" s="267"/>
      <c r="Z691" s="267"/>
      <c r="AA691" s="267"/>
      <c r="AB691" s="267"/>
      <c r="AC691" s="379"/>
      <c r="AD691" s="321"/>
      <c r="AF691" s="279">
        <f t="shared" si="180"/>
        <v>7.5117370892018753E-2</v>
      </c>
      <c r="AH691" s="102"/>
    </row>
    <row r="692" spans="2:34">
      <c r="B692" s="275" t="s">
        <v>27</v>
      </c>
      <c r="E692" s="102"/>
      <c r="G692" s="102"/>
      <c r="I692" s="300"/>
      <c r="J692" s="299"/>
      <c r="K692" s="267"/>
      <c r="M692" s="267"/>
      <c r="O692" s="300"/>
      <c r="P692" s="299"/>
      <c r="Q692" s="267"/>
      <c r="R692" s="267"/>
      <c r="S692" s="267"/>
      <c r="T692" s="267"/>
      <c r="U692" s="267"/>
      <c r="V692" s="267"/>
      <c r="W692" s="267"/>
      <c r="X692" s="267"/>
      <c r="Y692" s="267"/>
      <c r="Z692" s="267"/>
      <c r="AA692" s="267"/>
      <c r="AC692" s="99"/>
      <c r="AE692" s="378"/>
      <c r="AF692" s="378"/>
      <c r="AG692" s="267"/>
    </row>
    <row r="693" spans="2:34">
      <c r="B693" s="275" t="s">
        <v>28</v>
      </c>
      <c r="E693" s="102">
        <v>0</v>
      </c>
      <c r="G693" s="102"/>
      <c r="I693" s="379">
        <v>0.58679999999999999</v>
      </c>
      <c r="J693" s="380"/>
      <c r="K693" s="267">
        <f>ROUND(I693*$E693,0)</f>
        <v>0</v>
      </c>
      <c r="M693" s="267">
        <f>ROUND(I693*$G693,0)</f>
        <v>0</v>
      </c>
      <c r="O693" s="379">
        <f t="shared" ref="O693:O695" si="181">O607</f>
        <v>0.63080000000000003</v>
      </c>
      <c r="P693" s="380"/>
      <c r="Q693" s="267">
        <f>ROUND(O693*$G693,0)</f>
        <v>0</v>
      </c>
      <c r="R693" s="267"/>
      <c r="S693" s="267"/>
      <c r="T693" s="267"/>
      <c r="U693" s="267"/>
      <c r="V693" s="267"/>
      <c r="W693" s="267"/>
      <c r="X693" s="267"/>
      <c r="Y693" s="267"/>
      <c r="Z693" s="267"/>
      <c r="AA693" s="267"/>
      <c r="AB693" s="267"/>
      <c r="AC693" s="99"/>
      <c r="AD693" s="321"/>
      <c r="AE693" s="378"/>
      <c r="AF693" s="279">
        <f t="shared" ref="AF693:AF695" si="182">O693/I693-1</f>
        <v>7.4982958418541301E-2</v>
      </c>
    </row>
    <row r="694" spans="2:34">
      <c r="B694" s="275" t="s">
        <v>29</v>
      </c>
      <c r="E694" s="102">
        <v>0</v>
      </c>
      <c r="G694" s="102"/>
      <c r="I694" s="381">
        <v>0.29339999999999999</v>
      </c>
      <c r="J694" s="382"/>
      <c r="K694" s="267">
        <f>ROUND(I694*$E694,0)</f>
        <v>0</v>
      </c>
      <c r="M694" s="267">
        <f>ROUND(I694*$G694,0)</f>
        <v>0</v>
      </c>
      <c r="O694" s="381">
        <f t="shared" si="181"/>
        <v>0.31540000000000001</v>
      </c>
      <c r="P694" s="382"/>
      <c r="Q694" s="267">
        <f>ROUND(O694*$G694,0)</f>
        <v>0</v>
      </c>
      <c r="R694" s="267"/>
      <c r="S694" s="267"/>
      <c r="T694" s="267"/>
      <c r="U694" s="267"/>
      <c r="V694" s="267"/>
      <c r="W694" s="267"/>
      <c r="X694" s="267"/>
      <c r="Y694" s="267"/>
      <c r="Z694" s="267"/>
      <c r="AA694" s="267"/>
      <c r="AB694" s="267"/>
      <c r="AE694" s="378"/>
      <c r="AF694" s="279">
        <f t="shared" si="182"/>
        <v>7.4982958418541301E-2</v>
      </c>
      <c r="AG694" s="267"/>
      <c r="AH694" s="102"/>
    </row>
    <row r="695" spans="2:34">
      <c r="B695" s="275" t="s">
        <v>30</v>
      </c>
      <c r="E695" s="102">
        <v>0</v>
      </c>
      <c r="G695" s="102"/>
      <c r="I695" s="99">
        <v>55.28</v>
      </c>
      <c r="J695" s="276"/>
      <c r="K695" s="267">
        <f>ROUND(I695*$E695,0)</f>
        <v>0</v>
      </c>
      <c r="M695" s="267">
        <f>ROUND(I695*$G695,0)</f>
        <v>0</v>
      </c>
      <c r="O695" s="99">
        <f t="shared" si="181"/>
        <v>59.43</v>
      </c>
      <c r="P695" s="276"/>
      <c r="Q695" s="267">
        <f>ROUND(O695*$G695,0)</f>
        <v>0</v>
      </c>
      <c r="R695" s="267"/>
      <c r="S695" s="267"/>
      <c r="T695" s="267"/>
      <c r="U695" s="267"/>
      <c r="V695" s="267"/>
      <c r="W695" s="267"/>
      <c r="X695" s="267"/>
      <c r="Y695" s="267"/>
      <c r="Z695" s="267"/>
      <c r="AA695" s="267"/>
      <c r="AB695" s="267"/>
      <c r="AF695" s="279">
        <f t="shared" si="182"/>
        <v>7.5072358900144742E-2</v>
      </c>
      <c r="AG695" s="267"/>
    </row>
    <row r="696" spans="2:34">
      <c r="B696" s="369" t="s">
        <v>32</v>
      </c>
      <c r="E696" s="102"/>
      <c r="G696" s="102"/>
      <c r="AB696" s="267"/>
      <c r="AC696" s="99"/>
      <c r="AD696" s="321"/>
      <c r="AF696" s="378"/>
      <c r="AG696" s="267"/>
      <c r="AH696" s="102"/>
    </row>
    <row r="697" spans="2:34">
      <c r="B697" s="275" t="s">
        <v>25</v>
      </c>
      <c r="E697" s="102">
        <v>0</v>
      </c>
      <c r="G697" s="102"/>
      <c r="I697" s="99">
        <v>527</v>
      </c>
      <c r="J697" s="276"/>
      <c r="K697" s="267">
        <f>ROUND(I697*$E697,0)</f>
        <v>0</v>
      </c>
      <c r="M697" s="267">
        <f>ROUND(I697*$G697,0)</f>
        <v>0</v>
      </c>
      <c r="O697" s="99">
        <f t="shared" ref="O697:O698" si="183">O611</f>
        <v>567</v>
      </c>
      <c r="P697" s="276"/>
      <c r="Q697" s="267">
        <f>ROUND(O697*$G697,0)</f>
        <v>0</v>
      </c>
      <c r="R697" s="267"/>
      <c r="S697" s="267"/>
      <c r="T697" s="267"/>
      <c r="U697" s="267"/>
      <c r="V697" s="267"/>
      <c r="W697" s="267"/>
      <c r="X697" s="267"/>
      <c r="Y697" s="267"/>
      <c r="Z697" s="267"/>
      <c r="AA697" s="267"/>
      <c r="AB697" s="267"/>
      <c r="AE697" s="378"/>
      <c r="AF697" s="279">
        <f t="shared" ref="AF697:AF698" si="184">O697/I697-1</f>
        <v>7.5901328273244806E-2</v>
      </c>
      <c r="AH697" s="102"/>
    </row>
    <row r="698" spans="2:34">
      <c r="B698" s="275" t="s">
        <v>26</v>
      </c>
      <c r="E698" s="102">
        <v>0</v>
      </c>
      <c r="G698" s="102"/>
      <c r="I698" s="99">
        <v>3.35</v>
      </c>
      <c r="J698" s="276"/>
      <c r="K698" s="267">
        <f>ROUND(I698*$E698,0)</f>
        <v>0</v>
      </c>
      <c r="M698" s="267">
        <f>ROUND(I698*$G698,0)</f>
        <v>0</v>
      </c>
      <c r="O698" s="99">
        <f t="shared" si="183"/>
        <v>3.6</v>
      </c>
      <c r="P698" s="276"/>
      <c r="Q698" s="267">
        <f>ROUND(O698*$G698,0)</f>
        <v>0</v>
      </c>
      <c r="R698" s="267"/>
      <c r="S698" s="267"/>
      <c r="T698" s="267"/>
      <c r="U698" s="267"/>
      <c r="V698" s="267"/>
      <c r="W698" s="267"/>
      <c r="X698" s="267"/>
      <c r="Y698" s="267"/>
      <c r="Z698" s="267"/>
      <c r="AA698" s="267"/>
      <c r="AB698" s="267"/>
      <c r="AC698" s="379"/>
      <c r="AD698" s="321"/>
      <c r="AF698" s="279">
        <f t="shared" si="184"/>
        <v>7.4626865671641784E-2</v>
      </c>
      <c r="AH698" s="102"/>
    </row>
    <row r="699" spans="2:34">
      <c r="B699" s="275" t="s">
        <v>27</v>
      </c>
      <c r="E699" s="102"/>
      <c r="G699" s="102"/>
      <c r="I699" s="99"/>
      <c r="J699" s="276"/>
      <c r="K699" s="267"/>
      <c r="M699" s="267"/>
      <c r="O699" s="99"/>
      <c r="P699" s="276"/>
      <c r="Q699" s="267"/>
      <c r="R699" s="267"/>
      <c r="S699" s="267"/>
      <c r="T699" s="267"/>
      <c r="U699" s="267"/>
      <c r="V699" s="267"/>
      <c r="W699" s="267"/>
      <c r="X699" s="267"/>
      <c r="Y699" s="267"/>
      <c r="Z699" s="267"/>
      <c r="AA699" s="267"/>
      <c r="AC699" s="99"/>
      <c r="AE699" s="378"/>
      <c r="AF699" s="378"/>
      <c r="AG699" s="267"/>
    </row>
    <row r="700" spans="2:34">
      <c r="B700" s="275" t="s">
        <v>28</v>
      </c>
      <c r="E700" s="102">
        <v>0</v>
      </c>
      <c r="G700" s="102"/>
      <c r="I700" s="379">
        <v>0.57099999999999995</v>
      </c>
      <c r="J700" s="380"/>
      <c r="K700" s="267">
        <f>ROUND(I700*$E700,0)</f>
        <v>0</v>
      </c>
      <c r="M700" s="267">
        <f>ROUND(I700*$G700,0)</f>
        <v>0</v>
      </c>
      <c r="O700" s="379">
        <f t="shared" ref="O700:O702" si="185">O614</f>
        <v>0.61570000000000003</v>
      </c>
      <c r="P700" s="380"/>
      <c r="Q700" s="267">
        <f>ROUND(O700*$G700,0)</f>
        <v>0</v>
      </c>
      <c r="R700" s="267"/>
      <c r="S700" s="267"/>
      <c r="T700" s="267"/>
      <c r="U700" s="267"/>
      <c r="V700" s="267"/>
      <c r="W700" s="267"/>
      <c r="X700" s="267"/>
      <c r="Y700" s="267"/>
      <c r="Z700" s="267"/>
      <c r="AA700" s="267"/>
      <c r="AB700" s="267"/>
      <c r="AC700" s="99"/>
      <c r="AD700" s="321"/>
      <c r="AF700" s="279">
        <f t="shared" ref="AF700:AF702" si="186">O700/I700-1</f>
        <v>7.8283712784588566E-2</v>
      </c>
    </row>
    <row r="701" spans="2:34">
      <c r="B701" s="275" t="s">
        <v>29</v>
      </c>
      <c r="E701" s="102">
        <v>0</v>
      </c>
      <c r="G701" s="102"/>
      <c r="I701" s="381">
        <v>0.28549999999999998</v>
      </c>
      <c r="J701" s="382"/>
      <c r="K701" s="267">
        <f>ROUND(I701*$E701,0)</f>
        <v>0</v>
      </c>
      <c r="M701" s="267">
        <f>ROUND(I701*$G701,0)</f>
        <v>0</v>
      </c>
      <c r="O701" s="381">
        <f t="shared" si="185"/>
        <v>0.30790000000000001</v>
      </c>
      <c r="P701" s="382"/>
      <c r="Q701" s="267">
        <f>ROUND(O701*$G701,0)</f>
        <v>0</v>
      </c>
      <c r="R701" s="267"/>
      <c r="S701" s="267"/>
      <c r="T701" s="267"/>
      <c r="U701" s="267"/>
      <c r="V701" s="267"/>
      <c r="W701" s="267"/>
      <c r="X701" s="267"/>
      <c r="Y701" s="267"/>
      <c r="Z701" s="267"/>
      <c r="AA701" s="267"/>
      <c r="AB701" s="267"/>
      <c r="AE701" s="378"/>
      <c r="AF701" s="279">
        <f t="shared" si="186"/>
        <v>7.8458844133100003E-2</v>
      </c>
      <c r="AG701" s="267"/>
      <c r="AH701" s="102"/>
    </row>
    <row r="702" spans="2:34">
      <c r="B702" s="275" t="s">
        <v>30</v>
      </c>
      <c r="E702" s="102">
        <v>0</v>
      </c>
      <c r="G702" s="102"/>
      <c r="I702" s="99">
        <v>39.840000000000003</v>
      </c>
      <c r="J702" s="276"/>
      <c r="K702" s="267">
        <f>ROUND(I702*$E702,0)</f>
        <v>0</v>
      </c>
      <c r="M702" s="267">
        <f>ROUND(I702*$G702,0)</f>
        <v>0</v>
      </c>
      <c r="O702" s="99">
        <f t="shared" si="185"/>
        <v>42.83</v>
      </c>
      <c r="P702" s="276"/>
      <c r="Q702" s="267">
        <f>ROUND(O702*$G702,0)</f>
        <v>0</v>
      </c>
      <c r="R702" s="267"/>
      <c r="S702" s="267"/>
      <c r="T702" s="267"/>
      <c r="U702" s="267"/>
      <c r="V702" s="267"/>
      <c r="W702" s="267"/>
      <c r="X702" s="267"/>
      <c r="Y702" s="267"/>
      <c r="Z702" s="267"/>
      <c r="AA702" s="267"/>
      <c r="AB702" s="267"/>
      <c r="AF702" s="279">
        <f t="shared" si="186"/>
        <v>7.5050200803212785E-2</v>
      </c>
    </row>
    <row r="703" spans="2:34">
      <c r="B703" s="369" t="s">
        <v>33</v>
      </c>
      <c r="E703" s="102"/>
      <c r="G703" s="102"/>
      <c r="AB703" s="267"/>
      <c r="AC703" s="99"/>
      <c r="AD703" s="321"/>
      <c r="AF703" s="378"/>
      <c r="AG703" s="267"/>
      <c r="AH703" s="102"/>
    </row>
    <row r="704" spans="2:34">
      <c r="B704" s="275" t="s">
        <v>25</v>
      </c>
      <c r="E704" s="102">
        <v>12</v>
      </c>
      <c r="G704" s="102">
        <v>12</v>
      </c>
      <c r="I704" s="99">
        <v>590</v>
      </c>
      <c r="J704" s="276"/>
      <c r="K704" s="267">
        <f>ROUND(I704*$E704,0)</f>
        <v>7080</v>
      </c>
      <c r="M704" s="267">
        <f>ROUND(I704*$G704,0)</f>
        <v>7080</v>
      </c>
      <c r="O704" s="99">
        <f t="shared" ref="O704:O705" si="187">O618</f>
        <v>634</v>
      </c>
      <c r="P704" s="276"/>
      <c r="Q704" s="267">
        <f>ROUND(O704*$G704,0)</f>
        <v>7608</v>
      </c>
      <c r="R704" s="267"/>
      <c r="S704" s="267"/>
      <c r="T704" s="267"/>
      <c r="U704" s="267"/>
      <c r="V704" s="267"/>
      <c r="W704" s="267"/>
      <c r="X704" s="267"/>
      <c r="Y704" s="267"/>
      <c r="Z704" s="267"/>
      <c r="AA704" s="267"/>
      <c r="AB704" s="267"/>
      <c r="AF704" s="279">
        <f t="shared" ref="AF704:AF705" si="188">O704/I704-1</f>
        <v>7.4576271186440612E-2</v>
      </c>
      <c r="AG704" s="267"/>
      <c r="AH704" s="102"/>
    </row>
    <row r="705" spans="2:34">
      <c r="B705" s="275" t="s">
        <v>26</v>
      </c>
      <c r="E705" s="102">
        <v>219000</v>
      </c>
      <c r="G705" s="102">
        <f>ROUND(E705*$G$729/$E$729,0)</f>
        <v>48520</v>
      </c>
      <c r="I705" s="99">
        <v>1.9</v>
      </c>
      <c r="J705" s="276"/>
      <c r="K705" s="267">
        <f>ROUND(I705*$E705,0)</f>
        <v>416100</v>
      </c>
      <c r="M705" s="267">
        <f>ROUND(I705*$G705,0)</f>
        <v>92188</v>
      </c>
      <c r="O705" s="99">
        <f t="shared" si="187"/>
        <v>2.04</v>
      </c>
      <c r="P705" s="276"/>
      <c r="Q705" s="267">
        <f>ROUND(O705*$G705,0)</f>
        <v>98981</v>
      </c>
      <c r="R705" s="267"/>
      <c r="S705" s="267"/>
      <c r="T705" s="267"/>
      <c r="U705" s="267"/>
      <c r="V705" s="267"/>
      <c r="W705" s="267"/>
      <c r="X705" s="267"/>
      <c r="Y705" s="267"/>
      <c r="Z705" s="267"/>
      <c r="AA705" s="267"/>
      <c r="AB705" s="267"/>
      <c r="AC705" s="379"/>
      <c r="AD705" s="321"/>
      <c r="AF705" s="279">
        <f t="shared" si="188"/>
        <v>7.3684210526315796E-2</v>
      </c>
      <c r="AG705" s="267"/>
      <c r="AH705" s="102"/>
    </row>
    <row r="706" spans="2:34">
      <c r="B706" s="275" t="s">
        <v>27</v>
      </c>
      <c r="E706" s="102"/>
      <c r="G706" s="102"/>
      <c r="I706" s="300"/>
      <c r="J706" s="299"/>
      <c r="K706" s="267"/>
      <c r="M706" s="267"/>
      <c r="O706" s="300"/>
      <c r="P706" s="299"/>
      <c r="Q706" s="267"/>
      <c r="R706" s="267"/>
      <c r="S706" s="267"/>
      <c r="T706" s="267"/>
      <c r="U706" s="267"/>
      <c r="V706" s="267"/>
      <c r="W706" s="267"/>
      <c r="X706" s="267"/>
      <c r="Y706" s="267"/>
      <c r="Z706" s="267"/>
      <c r="AA706" s="267"/>
      <c r="AB706" s="301"/>
      <c r="AC706" s="99"/>
      <c r="AH706" s="102"/>
    </row>
    <row r="707" spans="2:34">
      <c r="B707" s="275" t="s">
        <v>28</v>
      </c>
      <c r="E707" s="102">
        <v>181698.00399201599</v>
      </c>
      <c r="G707" s="102">
        <f t="shared" ref="G707:G709" si="189">ROUND(E707*$G$729/$E$729,0)</f>
        <v>40256</v>
      </c>
      <c r="I707" s="379">
        <v>0.44850000000000001</v>
      </c>
      <c r="J707" s="380"/>
      <c r="K707" s="267">
        <f>ROUND(I707*$E707,0)</f>
        <v>81492</v>
      </c>
      <c r="M707" s="267">
        <f>ROUND(I707*$G707,0)</f>
        <v>18055</v>
      </c>
      <c r="O707" s="379">
        <f t="shared" ref="O707:O709" si="190">O621</f>
        <v>0.48220000000000002</v>
      </c>
      <c r="P707" s="380"/>
      <c r="Q707" s="267">
        <f>ROUND(O707*$G707,0)</f>
        <v>19411</v>
      </c>
      <c r="R707" s="267"/>
      <c r="S707" s="267"/>
      <c r="T707" s="267"/>
      <c r="U707" s="267"/>
      <c r="V707" s="267"/>
      <c r="W707" s="267"/>
      <c r="X707" s="267"/>
      <c r="Y707" s="267"/>
      <c r="Z707" s="267"/>
      <c r="AA707" s="267"/>
      <c r="AB707" s="301"/>
      <c r="AC707" s="99"/>
      <c r="AD707" s="321"/>
      <c r="AF707" s="279">
        <f t="shared" ref="AF707:AF709" si="191">O707/I707-1</f>
        <v>7.513935340022293E-2</v>
      </c>
      <c r="AG707" s="267"/>
      <c r="AH707" s="309"/>
    </row>
    <row r="708" spans="2:34">
      <c r="B708" s="275" t="s">
        <v>29</v>
      </c>
      <c r="E708" s="102">
        <v>28679.9900199601</v>
      </c>
      <c r="G708" s="102">
        <f t="shared" si="189"/>
        <v>6354</v>
      </c>
      <c r="I708" s="381">
        <v>0.2243</v>
      </c>
      <c r="J708" s="382"/>
      <c r="K708" s="267">
        <f>ROUND(I708*$E708,0)</f>
        <v>6433</v>
      </c>
      <c r="M708" s="267">
        <f>ROUND(I708*$G708,0)</f>
        <v>1425</v>
      </c>
      <c r="O708" s="381">
        <f t="shared" si="190"/>
        <v>0.24110000000000001</v>
      </c>
      <c r="P708" s="382"/>
      <c r="Q708" s="267">
        <f>ROUND(O708*$G708,0)</f>
        <v>1532</v>
      </c>
      <c r="R708" s="267"/>
      <c r="S708" s="267"/>
      <c r="T708" s="267"/>
      <c r="U708" s="267"/>
      <c r="V708" s="267"/>
      <c r="W708" s="267"/>
      <c r="X708" s="267"/>
      <c r="Y708" s="267"/>
      <c r="Z708" s="267"/>
      <c r="AA708" s="267"/>
      <c r="AB708" s="301"/>
      <c r="AD708" s="321"/>
      <c r="AF708" s="279">
        <f t="shared" si="191"/>
        <v>7.4899687917967084E-2</v>
      </c>
      <c r="AG708" s="267"/>
      <c r="AH708" s="309"/>
    </row>
    <row r="709" spans="2:34">
      <c r="B709" s="275" t="s">
        <v>30</v>
      </c>
      <c r="E709" s="102">
        <v>0</v>
      </c>
      <c r="G709" s="102">
        <f t="shared" si="189"/>
        <v>0</v>
      </c>
      <c r="I709" s="99">
        <v>38.36</v>
      </c>
      <c r="J709" s="276"/>
      <c r="K709" s="267">
        <f>ROUND(I709*$E709,0)</f>
        <v>0</v>
      </c>
      <c r="M709" s="267">
        <f>ROUND(I709*$G709,0)</f>
        <v>0</v>
      </c>
      <c r="O709" s="99">
        <f t="shared" si="190"/>
        <v>41.24</v>
      </c>
      <c r="P709" s="276"/>
      <c r="Q709" s="267">
        <f>ROUND(O709*$G709,0)</f>
        <v>0</v>
      </c>
      <c r="R709" s="267"/>
      <c r="S709" s="267"/>
      <c r="T709" s="267"/>
      <c r="U709" s="267"/>
      <c r="V709" s="267"/>
      <c r="W709" s="267"/>
      <c r="X709" s="267"/>
      <c r="Y709" s="267"/>
      <c r="Z709" s="267"/>
      <c r="AA709" s="267"/>
      <c r="AB709" s="301"/>
      <c r="AF709" s="279">
        <f t="shared" si="191"/>
        <v>7.5078206465067909E-2</v>
      </c>
      <c r="AH709" s="309"/>
    </row>
    <row r="710" spans="2:34">
      <c r="B710" s="275" t="s">
        <v>146</v>
      </c>
      <c r="E710" s="357"/>
      <c r="G710" s="357"/>
      <c r="I710" s="322"/>
      <c r="J710" s="330"/>
      <c r="K710" s="308">
        <f>SUM(K690:K709)</f>
        <v>511105</v>
      </c>
      <c r="M710" s="308">
        <f t="shared" ref="M710:O710" si="192">SUM(M690:M709)</f>
        <v>118748</v>
      </c>
      <c r="N710" s="308">
        <f t="shared" si="192"/>
        <v>0</v>
      </c>
      <c r="O710" s="308">
        <f t="shared" si="192"/>
        <v>1482.3130999999998</v>
      </c>
      <c r="P710" s="308"/>
      <c r="Q710" s="308">
        <f>SUM(Q690:Q709)</f>
        <v>127532</v>
      </c>
      <c r="R710" s="301"/>
      <c r="S710" s="301"/>
      <c r="T710" s="301"/>
      <c r="U710" s="301"/>
      <c r="V710" s="301"/>
      <c r="W710" s="301"/>
      <c r="X710" s="301"/>
      <c r="Y710" s="301"/>
      <c r="Z710" s="301"/>
      <c r="AA710" s="301"/>
      <c r="AB710" s="267"/>
      <c r="AC710" s="264" t="s">
        <v>315</v>
      </c>
      <c r="AD710" s="315">
        <f>Q710/M710-1</f>
        <v>7.3971772156162574E-2</v>
      </c>
    </row>
    <row r="711" spans="2:34">
      <c r="B711" s="369" t="s">
        <v>34</v>
      </c>
      <c r="AB711" s="267"/>
    </row>
    <row r="712" spans="2:34">
      <c r="B712" s="272" t="s">
        <v>35</v>
      </c>
      <c r="E712" s="102"/>
      <c r="G712" s="102"/>
      <c r="I712" s="300"/>
      <c r="J712" s="299"/>
      <c r="K712" s="267"/>
      <c r="M712" s="267"/>
      <c r="O712" s="300"/>
      <c r="P712" s="299"/>
      <c r="Q712" s="267"/>
      <c r="R712" s="267"/>
      <c r="S712" s="267"/>
      <c r="T712" s="267"/>
      <c r="U712" s="267"/>
      <c r="V712" s="267"/>
      <c r="W712" s="267"/>
      <c r="X712" s="267"/>
      <c r="Y712" s="267"/>
      <c r="Z712" s="267"/>
      <c r="AA712" s="267"/>
      <c r="AB712" s="267"/>
    </row>
    <row r="713" spans="2:34">
      <c r="B713" s="275" t="s">
        <v>268</v>
      </c>
      <c r="E713" s="102">
        <v>0</v>
      </c>
      <c r="G713" s="102"/>
      <c r="I713" s="300">
        <v>4.22</v>
      </c>
      <c r="J713" s="299"/>
      <c r="K713" s="267">
        <f>ROUND(I713*$E713,0)</f>
        <v>0</v>
      </c>
      <c r="M713" s="267">
        <f>ROUND(I713*$G713,0)</f>
        <v>0</v>
      </c>
      <c r="O713" s="300">
        <f>O627</f>
        <v>4.42</v>
      </c>
      <c r="P713" s="299"/>
      <c r="Q713" s="267">
        <f>ROUND(O713*$G713,0)</f>
        <v>0</v>
      </c>
      <c r="R713" s="267"/>
      <c r="S713" s="267"/>
      <c r="T713" s="267"/>
      <c r="U713" s="267"/>
      <c r="V713" s="267"/>
      <c r="W713" s="267"/>
      <c r="X713" s="267"/>
      <c r="Y713" s="267"/>
      <c r="Z713" s="267"/>
      <c r="AA713" s="267"/>
      <c r="AB713" s="267"/>
      <c r="AF713" s="279">
        <f>O713/I713-1</f>
        <v>4.7393364928909998E-2</v>
      </c>
    </row>
    <row r="714" spans="2:34">
      <c r="B714" s="275" t="s">
        <v>269</v>
      </c>
      <c r="E714" s="102">
        <v>0</v>
      </c>
      <c r="G714" s="102"/>
      <c r="I714" s="300">
        <v>13.81</v>
      </c>
      <c r="J714" s="299"/>
      <c r="K714" s="267">
        <f>ROUND(I714*$E714,0)</f>
        <v>0</v>
      </c>
      <c r="M714" s="267">
        <f>ROUND(I714*$G714,0)</f>
        <v>0</v>
      </c>
      <c r="O714" s="300">
        <f t="shared" ref="O714:O719" si="193">O628</f>
        <v>14.46</v>
      </c>
      <c r="P714" s="299"/>
      <c r="Q714" s="267">
        <f>ROUND(O714*$G714,0)</f>
        <v>0</v>
      </c>
      <c r="R714" s="267"/>
      <c r="S714" s="267"/>
      <c r="T714" s="267"/>
      <c r="U714" s="267"/>
      <c r="V714" s="267"/>
      <c r="W714" s="267"/>
      <c r="X714" s="267"/>
      <c r="Y714" s="267"/>
      <c r="Z714" s="267"/>
      <c r="AA714" s="267"/>
      <c r="AB714" s="267"/>
      <c r="AF714" s="279">
        <f t="shared" ref="AF714:AF719" si="194">O714/I714-1</f>
        <v>4.7067342505430876E-2</v>
      </c>
    </row>
    <row r="715" spans="2:34">
      <c r="B715" s="275" t="s">
        <v>270</v>
      </c>
      <c r="E715" s="102">
        <v>0</v>
      </c>
      <c r="G715" s="102"/>
      <c r="I715" s="300">
        <v>9.94</v>
      </c>
      <c r="J715" s="299"/>
      <c r="K715" s="267">
        <f>ROUND(I715*$E715,0)</f>
        <v>0</v>
      </c>
      <c r="M715" s="267">
        <f>ROUND(I715*$G715,0)</f>
        <v>0</v>
      </c>
      <c r="O715" s="300">
        <f t="shared" si="193"/>
        <v>10.41</v>
      </c>
      <c r="P715" s="299"/>
      <c r="Q715" s="267">
        <f>ROUND(O715*$G715,0)</f>
        <v>0</v>
      </c>
      <c r="R715" s="267"/>
      <c r="S715" s="267"/>
      <c r="T715" s="267"/>
      <c r="U715" s="267"/>
      <c r="V715" s="267"/>
      <c r="W715" s="267"/>
      <c r="X715" s="267"/>
      <c r="Y715" s="267"/>
      <c r="Z715" s="267"/>
      <c r="AA715" s="267"/>
      <c r="AB715" s="267"/>
      <c r="AF715" s="279">
        <f t="shared" si="194"/>
        <v>4.728370221327971E-2</v>
      </c>
    </row>
    <row r="716" spans="2:34">
      <c r="B716" s="275" t="s">
        <v>348</v>
      </c>
      <c r="E716" s="102">
        <v>0</v>
      </c>
      <c r="G716" s="102"/>
      <c r="I716" s="300">
        <v>-1.01</v>
      </c>
      <c r="J716" s="299"/>
      <c r="K716" s="267">
        <f>ROUND(I716*$E716,0)</f>
        <v>0</v>
      </c>
      <c r="M716" s="267">
        <f>ROUND(I716*$G716,0)</f>
        <v>0</v>
      </c>
      <c r="O716" s="300">
        <f t="shared" si="193"/>
        <v>-1.06</v>
      </c>
      <c r="P716" s="299"/>
      <c r="Q716" s="267">
        <f>ROUND(O716*$G716,0)</f>
        <v>0</v>
      </c>
      <c r="R716" s="267"/>
      <c r="S716" s="267"/>
      <c r="T716" s="267"/>
      <c r="U716" s="267"/>
      <c r="V716" s="267"/>
      <c r="W716" s="267"/>
      <c r="X716" s="267"/>
      <c r="Y716" s="267"/>
      <c r="Z716" s="267"/>
      <c r="AA716" s="267"/>
      <c r="AB716" s="267"/>
      <c r="AF716" s="279">
        <f t="shared" si="194"/>
        <v>4.9504950495049549E-2</v>
      </c>
    </row>
    <row r="717" spans="2:34">
      <c r="B717" s="275" t="s">
        <v>341</v>
      </c>
      <c r="E717" s="102">
        <v>0</v>
      </c>
      <c r="G717" s="102"/>
      <c r="I717" s="322">
        <v>4.4812000000000003</v>
      </c>
      <c r="J717" s="286" t="s">
        <v>314</v>
      </c>
      <c r="K717" s="267">
        <f>ROUND(I717*$E717/100,0)</f>
        <v>0</v>
      </c>
      <c r="M717" s="267">
        <f>ROUND(I717*$G717/100,0)</f>
        <v>0</v>
      </c>
      <c r="O717" s="322">
        <f t="shared" si="193"/>
        <v>4.6916000000000002</v>
      </c>
      <c r="P717" s="286" t="s">
        <v>314</v>
      </c>
      <c r="Q717" s="267">
        <f>ROUND(O717*$G717/100,0)</f>
        <v>0</v>
      </c>
      <c r="R717" s="267"/>
      <c r="S717" s="267"/>
      <c r="T717" s="267"/>
      <c r="U717" s="267"/>
      <c r="V717" s="267"/>
      <c r="W717" s="267"/>
      <c r="X717" s="267"/>
      <c r="Y717" s="267"/>
      <c r="Z717" s="267"/>
      <c r="AA717" s="267"/>
      <c r="AB717" s="267"/>
      <c r="AD717" s="309"/>
      <c r="AF717" s="279">
        <f t="shared" si="194"/>
        <v>4.695170936356341E-2</v>
      </c>
    </row>
    <row r="718" spans="2:34">
      <c r="B718" s="275" t="s">
        <v>367</v>
      </c>
      <c r="E718" s="102">
        <v>0</v>
      </c>
      <c r="G718" s="102"/>
      <c r="I718" s="322">
        <v>3.5078</v>
      </c>
      <c r="J718" s="286" t="s">
        <v>314</v>
      </c>
      <c r="K718" s="267">
        <f>ROUND(I718*$E718/100,0)</f>
        <v>0</v>
      </c>
      <c r="M718" s="267">
        <f>ROUND(I718*$G718/100,0)</f>
        <v>0</v>
      </c>
      <c r="O718" s="322">
        <f t="shared" si="193"/>
        <v>3.6724999999999999</v>
      </c>
      <c r="P718" s="286" t="s">
        <v>314</v>
      </c>
      <c r="Q718" s="267">
        <f>ROUND(O718*$G718/100,0)</f>
        <v>0</v>
      </c>
      <c r="R718" s="267"/>
      <c r="S718" s="267"/>
      <c r="T718" s="267"/>
      <c r="U718" s="267"/>
      <c r="V718" s="267"/>
      <c r="W718" s="267"/>
      <c r="X718" s="267"/>
      <c r="Y718" s="267"/>
      <c r="Z718" s="267"/>
      <c r="AA718" s="267"/>
      <c r="AB718" s="267"/>
      <c r="AF718" s="279">
        <f t="shared" si="194"/>
        <v>4.6952505844118697E-2</v>
      </c>
    </row>
    <row r="719" spans="2:34">
      <c r="B719" s="275" t="s">
        <v>271</v>
      </c>
      <c r="E719" s="102">
        <v>0</v>
      </c>
      <c r="G719" s="102"/>
      <c r="I719" s="322">
        <v>3.0226999999999999</v>
      </c>
      <c r="J719" s="286" t="s">
        <v>314</v>
      </c>
      <c r="K719" s="267">
        <f>ROUND(I719*$E719/100,0)</f>
        <v>0</v>
      </c>
      <c r="M719" s="267">
        <f>ROUND(I719*$G719/100,0)</f>
        <v>0</v>
      </c>
      <c r="O719" s="322">
        <f t="shared" si="193"/>
        <v>3.1633</v>
      </c>
      <c r="P719" s="286" t="s">
        <v>314</v>
      </c>
      <c r="Q719" s="267">
        <f>ROUND(O719*$G719/100,0)</f>
        <v>0</v>
      </c>
      <c r="R719" s="267"/>
      <c r="S719" s="267"/>
      <c r="T719" s="267"/>
      <c r="U719" s="267"/>
      <c r="V719" s="267"/>
      <c r="W719" s="267"/>
      <c r="X719" s="267"/>
      <c r="Y719" s="267"/>
      <c r="Z719" s="267"/>
      <c r="AA719" s="267"/>
      <c r="AB719" s="267"/>
      <c r="AF719" s="279">
        <f t="shared" si="194"/>
        <v>4.651470539583813E-2</v>
      </c>
    </row>
    <row r="720" spans="2:34">
      <c r="B720" s="272" t="s">
        <v>36</v>
      </c>
      <c r="E720" s="102"/>
      <c r="G720" s="102"/>
      <c r="I720" s="322"/>
      <c r="J720" s="286"/>
      <c r="K720" s="267"/>
      <c r="M720" s="267"/>
      <c r="O720" s="322"/>
      <c r="P720" s="286"/>
      <c r="Q720" s="267"/>
      <c r="R720" s="267"/>
      <c r="S720" s="267"/>
      <c r="T720" s="267"/>
      <c r="U720" s="267"/>
      <c r="V720" s="267"/>
      <c r="W720" s="267"/>
      <c r="X720" s="267"/>
      <c r="Y720" s="267"/>
      <c r="Z720" s="267"/>
      <c r="AA720" s="267"/>
      <c r="AB720" s="267"/>
    </row>
    <row r="721" spans="2:34">
      <c r="B721" s="275" t="s">
        <v>268</v>
      </c>
      <c r="E721" s="102">
        <v>0</v>
      </c>
      <c r="G721" s="102">
        <f>ROUND(E721*$G$729/$E$729,0)</f>
        <v>0</v>
      </c>
      <c r="I721" s="300">
        <v>1.94</v>
      </c>
      <c r="J721" s="299"/>
      <c r="K721" s="267">
        <f>ROUND(I721*$E721,0)</f>
        <v>0</v>
      </c>
      <c r="M721" s="267">
        <f>ROUND(I721*$G721,0)</f>
        <v>0</v>
      </c>
      <c r="O721" s="300">
        <f t="shared" ref="O721:O726" si="195">O635</f>
        <v>2.0699999999999998</v>
      </c>
      <c r="P721" s="299"/>
      <c r="Q721" s="267">
        <f>ROUND(O721*$G721,0)</f>
        <v>0</v>
      </c>
      <c r="R721" s="267"/>
      <c r="S721" s="267"/>
      <c r="T721" s="267"/>
      <c r="U721" s="267"/>
      <c r="V721" s="267"/>
      <c r="W721" s="267"/>
      <c r="X721" s="267"/>
      <c r="Y721" s="267"/>
      <c r="Z721" s="267"/>
      <c r="AA721" s="267"/>
      <c r="AB721" s="267"/>
      <c r="AE721" s="309"/>
      <c r="AF721" s="279">
        <f t="shared" ref="AF721:AF726" si="196">O721/I721-1</f>
        <v>6.7010309278350499E-2</v>
      </c>
    </row>
    <row r="722" spans="2:34">
      <c r="B722" s="275" t="s">
        <v>269</v>
      </c>
      <c r="E722" s="102">
        <v>0</v>
      </c>
      <c r="G722" s="102">
        <f>ROUND(E722*$G$729/$E$729,0)</f>
        <v>0</v>
      </c>
      <c r="I722" s="300">
        <v>12.18</v>
      </c>
      <c r="J722" s="299"/>
      <c r="K722" s="267">
        <f>ROUND(I722*$E722,0)</f>
        <v>0</v>
      </c>
      <c r="M722" s="267">
        <f>ROUND(I722*$G722,0)</f>
        <v>0</v>
      </c>
      <c r="O722" s="300">
        <f t="shared" si="195"/>
        <v>13</v>
      </c>
      <c r="P722" s="299"/>
      <c r="Q722" s="267">
        <f>ROUND(O722*$G722,0)</f>
        <v>0</v>
      </c>
      <c r="R722" s="267"/>
      <c r="S722" s="267"/>
      <c r="T722" s="267"/>
      <c r="U722" s="267"/>
      <c r="V722" s="267"/>
      <c r="W722" s="267"/>
      <c r="X722" s="267"/>
      <c r="Y722" s="267"/>
      <c r="Z722" s="267"/>
      <c r="AA722" s="267"/>
      <c r="AB722" s="301"/>
      <c r="AF722" s="279">
        <f t="shared" si="196"/>
        <v>6.7323481116584594E-2</v>
      </c>
    </row>
    <row r="723" spans="2:34">
      <c r="B723" s="275" t="s">
        <v>270</v>
      </c>
      <c r="E723" s="102">
        <v>0</v>
      </c>
      <c r="G723" s="102">
        <f>ROUND(E723*$G$729/$E$729,0)</f>
        <v>0</v>
      </c>
      <c r="I723" s="300">
        <v>8.26</v>
      </c>
      <c r="J723" s="299"/>
      <c r="K723" s="267">
        <f>ROUND(I723*$E723,0)</f>
        <v>0</v>
      </c>
      <c r="M723" s="267">
        <f>ROUND(I723*$G723,0)</f>
        <v>0</v>
      </c>
      <c r="O723" s="300">
        <f t="shared" si="195"/>
        <v>8.81</v>
      </c>
      <c r="P723" s="299"/>
      <c r="Q723" s="267">
        <f>ROUND(O723*$G723,0)</f>
        <v>0</v>
      </c>
      <c r="R723" s="267"/>
      <c r="S723" s="267"/>
      <c r="T723" s="267"/>
      <c r="U723" s="267"/>
      <c r="V723" s="267"/>
      <c r="W723" s="267"/>
      <c r="X723" s="267"/>
      <c r="Y723" s="267"/>
      <c r="Z723" s="267"/>
      <c r="AA723" s="267"/>
      <c r="AB723" s="301"/>
      <c r="AF723" s="279">
        <f t="shared" si="196"/>
        <v>6.6585956416465031E-2</v>
      </c>
      <c r="AG723" s="309"/>
    </row>
    <row r="724" spans="2:34">
      <c r="B724" s="275" t="s">
        <v>276</v>
      </c>
      <c r="E724" s="102">
        <v>370000</v>
      </c>
      <c r="G724" s="102">
        <f>ROUND(E724*$G$729/$E$729,0)</f>
        <v>81975</v>
      </c>
      <c r="I724" s="332">
        <v>4.0587999999999997</v>
      </c>
      <c r="J724" s="286" t="s">
        <v>314</v>
      </c>
      <c r="K724" s="267">
        <f>ROUND(I724*$E724/100,0)</f>
        <v>15018</v>
      </c>
      <c r="M724" s="267">
        <f>ROUND(I724*$G724/100,0)</f>
        <v>3327</v>
      </c>
      <c r="O724" s="332">
        <f t="shared" si="195"/>
        <v>4.3304999999999998</v>
      </c>
      <c r="P724" s="286" t="s">
        <v>314</v>
      </c>
      <c r="Q724" s="267">
        <f>ROUND(O724*$G724/100,0)</f>
        <v>3550</v>
      </c>
      <c r="R724" s="267"/>
      <c r="S724" s="267"/>
      <c r="T724" s="267"/>
      <c r="U724" s="267"/>
      <c r="V724" s="267"/>
      <c r="W724" s="267"/>
      <c r="X724" s="267"/>
      <c r="Y724" s="267"/>
      <c r="Z724" s="267"/>
      <c r="AA724" s="267"/>
      <c r="AB724" s="301"/>
      <c r="AF724" s="279">
        <f t="shared" si="196"/>
        <v>6.6940967773726268E-2</v>
      </c>
    </row>
    <row r="725" spans="2:34">
      <c r="B725" s="275" t="s">
        <v>277</v>
      </c>
      <c r="E725" s="102">
        <v>963000</v>
      </c>
      <c r="G725" s="102">
        <f>ROUND(E725*$G$729/$E$729,0)</f>
        <v>213357</v>
      </c>
      <c r="I725" s="332">
        <v>3.052</v>
      </c>
      <c r="J725" s="286" t="s">
        <v>314</v>
      </c>
      <c r="K725" s="267">
        <f>ROUND(I725*$E725/100,0)</f>
        <v>29391</v>
      </c>
      <c r="M725" s="267">
        <f>ROUND(I725*$G725/100,0)</f>
        <v>6512</v>
      </c>
      <c r="O725" s="332">
        <f t="shared" si="195"/>
        <v>3.2563</v>
      </c>
      <c r="P725" s="286" t="s">
        <v>314</v>
      </c>
      <c r="Q725" s="267">
        <f>ROUND(O725*$G725/100,0)</f>
        <v>6948</v>
      </c>
      <c r="R725" s="267"/>
      <c r="S725" s="267"/>
      <c r="T725" s="267"/>
      <c r="U725" s="267"/>
      <c r="V725" s="267"/>
      <c r="W725" s="267"/>
      <c r="X725" s="267"/>
      <c r="Y725" s="267"/>
      <c r="Z725" s="267"/>
      <c r="AA725" s="267"/>
      <c r="AB725" s="301"/>
      <c r="AF725" s="279">
        <f t="shared" si="196"/>
        <v>6.6939711664482315E-2</v>
      </c>
      <c r="AH725" s="309"/>
    </row>
    <row r="726" spans="2:34">
      <c r="B726" s="275" t="s">
        <v>271</v>
      </c>
      <c r="E726" s="367">
        <v>1984000</v>
      </c>
      <c r="G726" s="367">
        <f>G729-SUM(G717:G719,G724:G725)</f>
        <v>442033</v>
      </c>
      <c r="I726" s="384">
        <v>2.5488</v>
      </c>
      <c r="J726" s="286" t="s">
        <v>314</v>
      </c>
      <c r="K726" s="339">
        <f>ROUND(I726*$E726/100,0)</f>
        <v>50568</v>
      </c>
      <c r="M726" s="339">
        <f>ROUND(I726*$G726/100,0)</f>
        <v>11267</v>
      </c>
      <c r="O726" s="384">
        <f t="shared" si="195"/>
        <v>2.7195</v>
      </c>
      <c r="P726" s="286" t="s">
        <v>314</v>
      </c>
      <c r="Q726" s="339">
        <f>ROUND(O726*$G726/100,0)</f>
        <v>12021</v>
      </c>
      <c r="R726" s="301"/>
      <c r="S726" s="301"/>
      <c r="T726" s="301"/>
      <c r="U726" s="301"/>
      <c r="V726" s="301"/>
      <c r="W726" s="301"/>
      <c r="X726" s="301"/>
      <c r="Y726" s="301"/>
      <c r="Z726" s="301"/>
      <c r="AA726" s="301"/>
      <c r="AF726" s="279">
        <f t="shared" si="196"/>
        <v>6.697269303201514E-2</v>
      </c>
    </row>
    <row r="727" spans="2:34">
      <c r="B727" s="275" t="s">
        <v>146</v>
      </c>
      <c r="E727" s="280"/>
      <c r="G727" s="280"/>
      <c r="I727" s="385"/>
      <c r="J727" s="286"/>
      <c r="K727" s="301">
        <f>SUM(K713:K726)</f>
        <v>94977</v>
      </c>
      <c r="M727" s="301">
        <f>SUM(M713:M726)</f>
        <v>21106</v>
      </c>
      <c r="O727" s="385"/>
      <c r="P727" s="286"/>
      <c r="Q727" s="301">
        <f>SUM(Q713:Q726)</f>
        <v>22519</v>
      </c>
      <c r="R727" s="301"/>
      <c r="S727" s="301"/>
      <c r="T727" s="301"/>
      <c r="U727" s="301"/>
      <c r="V727" s="301"/>
      <c r="W727" s="301"/>
      <c r="X727" s="301"/>
      <c r="Y727" s="301"/>
      <c r="Z727" s="301"/>
      <c r="AA727" s="301"/>
      <c r="AC727" s="264" t="s">
        <v>315</v>
      </c>
      <c r="AD727" s="315">
        <f t="shared" ref="AD727:AD729" si="197">Q727/M727-1</f>
        <v>6.6947787359044719E-2</v>
      </c>
      <c r="AF727" s="279"/>
    </row>
    <row r="728" spans="2:34">
      <c r="B728" s="264" t="s">
        <v>264</v>
      </c>
      <c r="E728" s="357">
        <v>11139</v>
      </c>
      <c r="G728" s="357">
        <v>0</v>
      </c>
      <c r="I728" s="322"/>
      <c r="J728" s="330"/>
      <c r="K728" s="308">
        <v>1330</v>
      </c>
      <c r="M728" s="308">
        <v>0</v>
      </c>
      <c r="O728" s="322"/>
      <c r="P728" s="330"/>
      <c r="Q728" s="308">
        <v>0</v>
      </c>
      <c r="R728" s="301"/>
      <c r="S728" s="301"/>
      <c r="T728" s="301"/>
      <c r="U728" s="301"/>
      <c r="V728" s="301"/>
      <c r="W728" s="301"/>
      <c r="X728" s="301"/>
      <c r="Y728" s="301"/>
      <c r="Z728" s="301"/>
      <c r="AA728" s="301"/>
    </row>
    <row r="729" spans="2:34" ht="16.5" thickBot="1">
      <c r="B729" s="275" t="s">
        <v>37</v>
      </c>
      <c r="E729" s="325">
        <f>E728+E717+E718+E719+E724+E725+E726</f>
        <v>3328139</v>
      </c>
      <c r="G729" s="325">
        <v>737365</v>
      </c>
      <c r="I729" s="318"/>
      <c r="K729" s="319">
        <f>K710+K727+K728</f>
        <v>607412</v>
      </c>
      <c r="M729" s="319">
        <f>M710+M727+M728</f>
        <v>139854</v>
      </c>
      <c r="O729" s="318"/>
      <c r="Q729" s="319">
        <f>Q710+Q727+Q728</f>
        <v>150051</v>
      </c>
      <c r="R729" s="301"/>
      <c r="S729" s="301"/>
      <c r="T729" s="301"/>
      <c r="U729" s="301"/>
      <c r="V729" s="301"/>
      <c r="W729" s="301"/>
      <c r="X729" s="301"/>
      <c r="Y729" s="301"/>
      <c r="Z729" s="301"/>
      <c r="AA729" s="301"/>
      <c r="AC729" s="264" t="s">
        <v>315</v>
      </c>
      <c r="AD729" s="315">
        <f t="shared" si="197"/>
        <v>7.291175082586121E-2</v>
      </c>
    </row>
    <row r="730" spans="2:34" ht="16.5" thickTop="1">
      <c r="AB730" s="386"/>
    </row>
    <row r="731" spans="2:34">
      <c r="B731" s="272" t="s">
        <v>419</v>
      </c>
      <c r="E731" s="102"/>
      <c r="G731" s="102"/>
      <c r="AB731" s="386"/>
    </row>
    <row r="732" spans="2:34">
      <c r="B732" s="275" t="s">
        <v>345</v>
      </c>
      <c r="E732" s="102">
        <v>12</v>
      </c>
      <c r="G732" s="102">
        <v>12</v>
      </c>
      <c r="I732" s="322"/>
      <c r="J732" s="330"/>
      <c r="K732" s="386">
        <v>2412.7199999999998</v>
      </c>
      <c r="M732" s="386">
        <f>K732*$G$732/$E$732</f>
        <v>2412.7199999999998</v>
      </c>
      <c r="O732" s="322"/>
      <c r="P732" s="330"/>
      <c r="Q732" s="386">
        <f t="shared" ref="Q732:Q736" si="198">M732</f>
        <v>2412.7199999999998</v>
      </c>
      <c r="R732" s="386"/>
      <c r="S732" s="386"/>
      <c r="T732" s="386"/>
      <c r="U732" s="386"/>
      <c r="V732" s="386"/>
      <c r="W732" s="386"/>
      <c r="X732" s="386"/>
      <c r="Y732" s="386"/>
      <c r="Z732" s="386"/>
      <c r="AA732" s="386"/>
      <c r="AB732" s="386"/>
    </row>
    <row r="733" spans="2:34">
      <c r="B733" s="275" t="s">
        <v>40</v>
      </c>
      <c r="E733" s="102">
        <v>800080</v>
      </c>
      <c r="G733" s="102">
        <f>ROUND(E733*$G$737/$E$737,0)</f>
        <v>879806</v>
      </c>
      <c r="I733" s="322"/>
      <c r="J733" s="330"/>
      <c r="K733" s="386">
        <v>3821875.2000000002</v>
      </c>
      <c r="M733" s="386">
        <f>K733*$G$737/$E$737</f>
        <v>4202717.5536203282</v>
      </c>
      <c r="O733" s="322"/>
      <c r="P733" s="330"/>
      <c r="Q733" s="386">
        <f t="shared" si="198"/>
        <v>4202717.5536203282</v>
      </c>
      <c r="R733" s="386"/>
      <c r="S733" s="386"/>
      <c r="T733" s="386"/>
      <c r="U733" s="386"/>
      <c r="V733" s="386"/>
      <c r="W733" s="386"/>
      <c r="X733" s="386"/>
      <c r="Y733" s="386"/>
      <c r="Z733" s="386"/>
      <c r="AA733" s="386"/>
      <c r="AB733" s="267"/>
      <c r="AC733" s="265"/>
      <c r="AD733" s="274"/>
    </row>
    <row r="734" spans="2:34">
      <c r="B734" s="275" t="s">
        <v>41</v>
      </c>
      <c r="E734" s="102">
        <v>1177320</v>
      </c>
      <c r="G734" s="102">
        <f>ROUND(E734*$G$737/$E$737,0)</f>
        <v>1294638</v>
      </c>
      <c r="I734" s="322"/>
      <c r="J734" s="330"/>
      <c r="K734" s="386">
        <v>4618641.5999999996</v>
      </c>
      <c r="M734" s="386">
        <f>K734*$G$737/$E$737</f>
        <v>5078880.159718737</v>
      </c>
      <c r="O734" s="322"/>
      <c r="P734" s="330"/>
      <c r="Q734" s="386">
        <f t="shared" si="198"/>
        <v>5078880.159718737</v>
      </c>
      <c r="R734" s="386"/>
      <c r="S734" s="386"/>
      <c r="T734" s="386"/>
      <c r="U734" s="386"/>
      <c r="V734" s="386"/>
      <c r="W734" s="386"/>
      <c r="X734" s="386"/>
      <c r="Y734" s="386"/>
      <c r="Z734" s="386"/>
      <c r="AA734" s="386"/>
      <c r="AB734" s="301"/>
      <c r="AC734" s="327"/>
      <c r="AD734" s="301"/>
    </row>
    <row r="735" spans="2:34">
      <c r="B735" s="275" t="s">
        <v>42</v>
      </c>
      <c r="E735" s="102">
        <v>210480966</v>
      </c>
      <c r="G735" s="102">
        <f>ROUND(E735*$G$737/$E$737,0)</f>
        <v>231454981</v>
      </c>
      <c r="I735" s="387"/>
      <c r="J735" s="388"/>
      <c r="K735" s="386">
        <v>6780420.1500000004</v>
      </c>
      <c r="M735" s="386">
        <f>K735*$G$737/$E$737</f>
        <v>7456075.6942890193</v>
      </c>
      <c r="O735" s="387"/>
      <c r="P735" s="388"/>
      <c r="Q735" s="386">
        <f t="shared" si="198"/>
        <v>7456075.6942890193</v>
      </c>
      <c r="R735" s="386"/>
      <c r="S735" s="386"/>
      <c r="T735" s="386"/>
      <c r="U735" s="386"/>
      <c r="V735" s="386"/>
      <c r="W735" s="386"/>
      <c r="X735" s="386"/>
      <c r="Y735" s="386"/>
      <c r="Z735" s="386"/>
      <c r="AA735" s="386"/>
      <c r="AB735" s="301"/>
      <c r="AC735" s="280"/>
      <c r="AD735" s="301"/>
      <c r="AE735" s="309"/>
    </row>
    <row r="736" spans="2:34">
      <c r="B736" s="275" t="s">
        <v>43</v>
      </c>
      <c r="E736" s="367">
        <v>284196034</v>
      </c>
      <c r="G736" s="103">
        <f>G737-G735</f>
        <v>312515610</v>
      </c>
      <c r="K736" s="389">
        <v>6806495.0299999993</v>
      </c>
      <c r="M736" s="308">
        <f>K736*$G$737/$E$737</f>
        <v>7484748.8848433672</v>
      </c>
      <c r="Q736" s="308">
        <f t="shared" si="198"/>
        <v>7484748.8848433672</v>
      </c>
      <c r="R736" s="301"/>
      <c r="S736" s="301"/>
      <c r="T736" s="301"/>
      <c r="U736" s="301"/>
      <c r="V736" s="301"/>
      <c r="W736" s="301"/>
      <c r="X736" s="301"/>
      <c r="Y736" s="301"/>
      <c r="Z736" s="301"/>
      <c r="AA736" s="301"/>
      <c r="AB736" s="322"/>
      <c r="AC736" s="280"/>
      <c r="AD736" s="301"/>
      <c r="AE736" s="309"/>
    </row>
    <row r="737" spans="2:34" ht="16.5" thickBot="1">
      <c r="B737" s="275" t="s">
        <v>334</v>
      </c>
      <c r="E737" s="325">
        <f>SUM(E735:E736)</f>
        <v>494677000</v>
      </c>
      <c r="G737" s="325">
        <v>543970591</v>
      </c>
      <c r="I737" s="390"/>
      <c r="J737" s="330"/>
      <c r="K737" s="319">
        <f>SUM(K732:K736)</f>
        <v>22029844.699999999</v>
      </c>
      <c r="M737" s="319">
        <f>SUM(M732:M736)</f>
        <v>24224835.012471452</v>
      </c>
      <c r="O737" s="390"/>
      <c r="P737" s="330"/>
      <c r="Q737" s="319">
        <f>SUM(Q732:Q736)</f>
        <v>24224835.012471452</v>
      </c>
      <c r="R737" s="301"/>
      <c r="S737" s="301"/>
      <c r="T737" s="301"/>
      <c r="U737" s="301"/>
      <c r="V737" s="301"/>
      <c r="W737" s="301"/>
      <c r="X737" s="301"/>
      <c r="Y737" s="301"/>
      <c r="Z737" s="301"/>
      <c r="AA737" s="301"/>
      <c r="AB737" s="267"/>
      <c r="AF737" s="309"/>
      <c r="AG737" s="309"/>
    </row>
    <row r="738" spans="2:34" ht="16.5" thickTop="1">
      <c r="E738" s="102"/>
      <c r="G738" s="102"/>
      <c r="K738" s="322"/>
      <c r="M738" s="322"/>
      <c r="Q738" s="322"/>
      <c r="R738" s="322"/>
      <c r="S738" s="322"/>
      <c r="T738" s="322"/>
      <c r="U738" s="322"/>
      <c r="V738" s="322"/>
      <c r="W738" s="322"/>
      <c r="X738" s="322"/>
      <c r="Y738" s="322"/>
      <c r="Z738" s="322"/>
      <c r="AA738" s="322"/>
      <c r="AB738" s="267"/>
    </row>
    <row r="739" spans="2:34">
      <c r="B739" s="262" t="s">
        <v>420</v>
      </c>
      <c r="C739" s="265"/>
      <c r="D739" s="265"/>
      <c r="E739" s="102"/>
      <c r="G739" s="102"/>
      <c r="I739" s="322"/>
      <c r="J739" s="330"/>
      <c r="O739" s="322"/>
      <c r="P739" s="330"/>
      <c r="AB739" s="301"/>
    </row>
    <row r="740" spans="2:34">
      <c r="B740" s="303" t="s">
        <v>345</v>
      </c>
      <c r="C740" s="265"/>
      <c r="D740" s="265"/>
      <c r="E740" s="102">
        <v>12</v>
      </c>
      <c r="G740" s="102">
        <v>12</v>
      </c>
      <c r="AB740" s="301"/>
      <c r="AC740" s="265"/>
      <c r="AD740" s="274"/>
    </row>
    <row r="741" spans="2:34">
      <c r="B741" s="303" t="s">
        <v>44</v>
      </c>
      <c r="C741" s="265"/>
      <c r="D741" s="265"/>
      <c r="E741" s="367">
        <v>840599614</v>
      </c>
      <c r="G741" s="102">
        <v>717800151.75</v>
      </c>
      <c r="I741" s="391"/>
      <c r="J741" s="392"/>
      <c r="K741" s="339">
        <v>31556109.50956</v>
      </c>
      <c r="M741" s="267">
        <f>K741*$G741/$E741</f>
        <v>26946217.696695004</v>
      </c>
      <c r="O741" s="391"/>
      <c r="P741" s="392"/>
      <c r="Q741" s="339">
        <f>M741</f>
        <v>26946217.696695004</v>
      </c>
      <c r="R741" s="301"/>
      <c r="S741" s="301"/>
      <c r="T741" s="301"/>
      <c r="U741" s="301"/>
      <c r="V741" s="301"/>
      <c r="W741" s="301"/>
      <c r="X741" s="301"/>
      <c r="Y741" s="301"/>
      <c r="Z741" s="301"/>
      <c r="AA741" s="301"/>
      <c r="AC741" s="280"/>
      <c r="AD741" s="301"/>
    </row>
    <row r="742" spans="2:34" ht="16.5" thickBot="1">
      <c r="B742" s="275" t="s">
        <v>334</v>
      </c>
      <c r="C742" s="265"/>
      <c r="D742" s="265"/>
      <c r="E742" s="393">
        <f>E741</f>
        <v>840599614</v>
      </c>
      <c r="G742" s="393">
        <f>SUM(G741:G741)</f>
        <v>717800151.75</v>
      </c>
      <c r="I742" s="394"/>
      <c r="J742" s="330"/>
      <c r="K742" s="312">
        <f>SUM(K741:K741)</f>
        <v>31556109.50956</v>
      </c>
      <c r="M742" s="395">
        <f>SUM(M741:M741)</f>
        <v>26946217.696695004</v>
      </c>
      <c r="O742" s="394"/>
      <c r="P742" s="330"/>
      <c r="Q742" s="312">
        <f>SUM(Q741:Q741)</f>
        <v>26946217.696695004</v>
      </c>
      <c r="R742" s="301"/>
      <c r="S742" s="301"/>
      <c r="T742" s="301"/>
      <c r="U742" s="301"/>
      <c r="V742" s="301"/>
      <c r="W742" s="301"/>
      <c r="X742" s="301"/>
      <c r="Y742" s="301"/>
      <c r="Z742" s="301"/>
      <c r="AA742" s="301"/>
      <c r="AB742" s="386"/>
      <c r="AC742" s="309"/>
      <c r="AD742" s="309"/>
    </row>
    <row r="743" spans="2:34" ht="16.5" thickTop="1">
      <c r="B743" s="303"/>
      <c r="C743" s="265"/>
      <c r="D743" s="265"/>
      <c r="E743" s="280"/>
      <c r="G743" s="280"/>
      <c r="I743" s="368"/>
      <c r="J743" s="368"/>
      <c r="K743" s="301"/>
      <c r="M743" s="301"/>
      <c r="O743" s="368"/>
      <c r="P743" s="368"/>
      <c r="Q743" s="301"/>
      <c r="R743" s="301"/>
      <c r="S743" s="301"/>
      <c r="T743" s="301"/>
      <c r="U743" s="301"/>
      <c r="V743" s="301"/>
      <c r="W743" s="301"/>
      <c r="X743" s="301"/>
      <c r="Y743" s="301"/>
      <c r="Z743" s="301"/>
      <c r="AA743" s="301"/>
      <c r="AB743" s="386"/>
      <c r="AC743" s="274"/>
      <c r="AD743" s="301"/>
    </row>
    <row r="744" spans="2:34">
      <c r="B744" s="272" t="s">
        <v>45</v>
      </c>
      <c r="E744" s="102"/>
      <c r="G744" s="102"/>
      <c r="I744" s="322"/>
      <c r="J744" s="330"/>
      <c r="O744" s="322"/>
      <c r="P744" s="330"/>
      <c r="AB744" s="386"/>
    </row>
    <row r="745" spans="2:34">
      <c r="B745" s="275" t="s">
        <v>345</v>
      </c>
      <c r="E745" s="102">
        <f>E761</f>
        <v>12</v>
      </c>
      <c r="G745" s="102">
        <f>G761</f>
        <v>12</v>
      </c>
      <c r="I745" s="99">
        <v>590</v>
      </c>
      <c r="J745" s="330"/>
      <c r="K745" s="267">
        <f>ROUND(I745*$E745,0)</f>
        <v>7080</v>
      </c>
      <c r="M745" s="267">
        <f>ROUND(I745*$G745,0)</f>
        <v>7080</v>
      </c>
      <c r="O745" s="99">
        <f>O618</f>
        <v>634</v>
      </c>
      <c r="P745" s="330"/>
      <c r="Q745" s="267">
        <f>ROUND(O745*$G745,0)</f>
        <v>7608</v>
      </c>
      <c r="R745" s="267"/>
      <c r="S745" s="267"/>
      <c r="T745" s="267"/>
      <c r="U745" s="267"/>
      <c r="V745" s="267"/>
      <c r="W745" s="267"/>
      <c r="X745" s="267"/>
      <c r="Y745" s="267"/>
      <c r="Z745" s="267"/>
      <c r="AA745" s="267"/>
      <c r="AB745" s="386"/>
      <c r="AC745" s="377"/>
      <c r="AF745" s="279">
        <f t="shared" ref="AF745:AF746" si="199">O745/I745-1</f>
        <v>7.4576271186440612E-2</v>
      </c>
    </row>
    <row r="746" spans="2:34">
      <c r="B746" s="275" t="s">
        <v>46</v>
      </c>
      <c r="E746" s="102">
        <f>E762</f>
        <v>621080</v>
      </c>
      <c r="G746" s="102">
        <f>G762</f>
        <v>693457</v>
      </c>
      <c r="I746" s="99">
        <v>1.9</v>
      </c>
      <c r="J746" s="330"/>
      <c r="K746" s="267">
        <f>ROUND(I746*$E746,0)</f>
        <v>1180052</v>
      </c>
      <c r="M746" s="267">
        <f>ROUND(I746*$G746,0)</f>
        <v>1317568</v>
      </c>
      <c r="O746" s="99">
        <f>O619</f>
        <v>2.04</v>
      </c>
      <c r="P746" s="330"/>
      <c r="Q746" s="267">
        <f>ROUND(O746*$G746,0)</f>
        <v>1414652</v>
      </c>
      <c r="R746" s="267"/>
      <c r="S746" s="267"/>
      <c r="T746" s="267"/>
      <c r="U746" s="267"/>
      <c r="V746" s="267"/>
      <c r="W746" s="267"/>
      <c r="X746" s="267"/>
      <c r="Y746" s="267"/>
      <c r="Z746" s="267"/>
      <c r="AA746" s="267"/>
      <c r="AB746" s="301"/>
      <c r="AD746" s="279"/>
      <c r="AF746" s="279">
        <f t="shared" si="199"/>
        <v>7.3684210526315796E-2</v>
      </c>
    </row>
    <row r="747" spans="2:34">
      <c r="B747" s="275" t="s">
        <v>47</v>
      </c>
      <c r="E747" s="102"/>
      <c r="G747" s="102"/>
      <c r="I747" s="300"/>
      <c r="J747" s="396"/>
      <c r="K747" s="386"/>
      <c r="M747" s="386"/>
      <c r="O747" s="300"/>
      <c r="P747" s="396"/>
      <c r="Q747" s="386"/>
      <c r="R747" s="386"/>
      <c r="S747" s="386"/>
      <c r="T747" s="386"/>
      <c r="U747" s="386"/>
      <c r="V747" s="386"/>
      <c r="W747" s="386"/>
      <c r="X747" s="386"/>
      <c r="Y747" s="386"/>
      <c r="Z747" s="386"/>
      <c r="AA747" s="386"/>
      <c r="AB747" s="301"/>
      <c r="AD747" s="279"/>
    </row>
    <row r="748" spans="2:34">
      <c r="B748" s="275" t="s">
        <v>28</v>
      </c>
      <c r="E748" s="102">
        <f t="shared" ref="E748:G750" si="200">E764</f>
        <v>5619400</v>
      </c>
      <c r="G748" s="102">
        <f t="shared" si="200"/>
        <v>6274249</v>
      </c>
      <c r="I748" s="379">
        <v>0.44850000000000001</v>
      </c>
      <c r="J748" s="380"/>
      <c r="K748" s="267">
        <f t="shared" ref="K748:K750" si="201">ROUND(I748*$E748,0)</f>
        <v>2520301</v>
      </c>
      <c r="M748" s="267">
        <f t="shared" ref="M748:M750" si="202">ROUND(I748*$G748,0)</f>
        <v>2814001</v>
      </c>
      <c r="O748" s="379">
        <f t="shared" ref="O748:O750" si="203">O621</f>
        <v>0.48220000000000002</v>
      </c>
      <c r="P748" s="330"/>
      <c r="Q748" s="267">
        <f t="shared" ref="Q748:Q750" si="204">ROUND(O748*$G748,0)</f>
        <v>3025443</v>
      </c>
      <c r="R748" s="267"/>
      <c r="S748" s="267"/>
      <c r="T748" s="267"/>
      <c r="U748" s="267"/>
      <c r="V748" s="267"/>
      <c r="W748" s="267"/>
      <c r="X748" s="267"/>
      <c r="Y748" s="267"/>
      <c r="Z748" s="267"/>
      <c r="AA748" s="267"/>
      <c r="AB748" s="301"/>
      <c r="AC748" s="99"/>
      <c r="AD748" s="279"/>
      <c r="AF748" s="279">
        <f t="shared" ref="AF748:AF750" si="205">O748/I748-1</f>
        <v>7.513935340022293E-2</v>
      </c>
      <c r="AG748" s="267"/>
      <c r="AH748" s="309"/>
    </row>
    <row r="749" spans="2:34">
      <c r="B749" s="275" t="s">
        <v>29</v>
      </c>
      <c r="E749" s="102">
        <f t="shared" si="200"/>
        <v>0</v>
      </c>
      <c r="G749" s="102">
        <f t="shared" si="200"/>
        <v>0</v>
      </c>
      <c r="I749" s="381">
        <v>0.2243</v>
      </c>
      <c r="J749" s="382"/>
      <c r="K749" s="267">
        <f t="shared" si="201"/>
        <v>0</v>
      </c>
      <c r="M749" s="267">
        <f t="shared" si="202"/>
        <v>0</v>
      </c>
      <c r="O749" s="381">
        <f t="shared" si="203"/>
        <v>0.24110000000000001</v>
      </c>
      <c r="P749" s="330"/>
      <c r="Q749" s="267">
        <f t="shared" si="204"/>
        <v>0</v>
      </c>
      <c r="R749" s="267"/>
      <c r="S749" s="267"/>
      <c r="T749" s="267"/>
      <c r="U749" s="267"/>
      <c r="V749" s="267"/>
      <c r="W749" s="267"/>
      <c r="X749" s="267"/>
      <c r="Y749" s="267"/>
      <c r="Z749" s="267"/>
      <c r="AA749" s="267"/>
      <c r="AB749" s="301"/>
      <c r="AC749" s="377"/>
      <c r="AD749" s="321"/>
      <c r="AF749" s="279">
        <f t="shared" si="205"/>
        <v>7.4899687917967084E-2</v>
      </c>
      <c r="AG749" s="267"/>
      <c r="AH749" s="309"/>
    </row>
    <row r="750" spans="2:34">
      <c r="B750" s="275" t="s">
        <v>48</v>
      </c>
      <c r="E750" s="102">
        <f t="shared" si="200"/>
        <v>0</v>
      </c>
      <c r="G750" s="102">
        <f t="shared" si="200"/>
        <v>0</v>
      </c>
      <c r="I750" s="99">
        <v>38.36</v>
      </c>
      <c r="J750" s="276"/>
      <c r="K750" s="267">
        <f t="shared" si="201"/>
        <v>0</v>
      </c>
      <c r="M750" s="267">
        <f t="shared" si="202"/>
        <v>0</v>
      </c>
      <c r="O750" s="99">
        <f t="shared" si="203"/>
        <v>41.24</v>
      </c>
      <c r="P750" s="330"/>
      <c r="Q750" s="267">
        <f t="shared" si="204"/>
        <v>0</v>
      </c>
      <c r="R750" s="267"/>
      <c r="S750" s="267"/>
      <c r="T750" s="267"/>
      <c r="U750" s="267"/>
      <c r="V750" s="267"/>
      <c r="W750" s="267"/>
      <c r="X750" s="267"/>
      <c r="Y750" s="267"/>
      <c r="Z750" s="267"/>
      <c r="AA750" s="267"/>
      <c r="AB750" s="301"/>
      <c r="AD750" s="279"/>
      <c r="AF750" s="279">
        <f t="shared" si="205"/>
        <v>7.5078206465067909E-2</v>
      </c>
      <c r="AH750" s="309"/>
    </row>
    <row r="751" spans="2:34">
      <c r="B751" s="275" t="s">
        <v>49</v>
      </c>
      <c r="E751" s="102"/>
      <c r="G751" s="102"/>
      <c r="I751" s="345"/>
      <c r="J751" s="396"/>
      <c r="K751" s="386"/>
      <c r="M751" s="386"/>
      <c r="O751" s="345"/>
      <c r="P751" s="396"/>
      <c r="Q751" s="386"/>
      <c r="R751" s="386"/>
      <c r="S751" s="386"/>
      <c r="T751" s="386"/>
      <c r="U751" s="386"/>
      <c r="V751" s="386"/>
      <c r="W751" s="386"/>
      <c r="X751" s="386"/>
      <c r="Y751" s="386"/>
      <c r="Z751" s="386"/>
      <c r="AA751" s="386"/>
      <c r="AD751" s="279"/>
    </row>
    <row r="752" spans="2:34">
      <c r="B752" s="275" t="s">
        <v>50</v>
      </c>
      <c r="E752" s="102">
        <f>E768+E779</f>
        <v>318738</v>
      </c>
      <c r="G752" s="102">
        <f>G768+G779</f>
        <v>334617</v>
      </c>
      <c r="I752" s="300">
        <v>12.18</v>
      </c>
      <c r="J752" s="299"/>
      <c r="K752" s="267">
        <f>ROUND($I752*E752,0)</f>
        <v>3882229</v>
      </c>
      <c r="M752" s="267">
        <f>ROUND($I752*G752,0)</f>
        <v>4075635</v>
      </c>
      <c r="O752" s="300">
        <f>O275</f>
        <v>13</v>
      </c>
      <c r="P752" s="299"/>
      <c r="Q752" s="267">
        <f>ROUND(O752*$G752,0)</f>
        <v>4350021</v>
      </c>
      <c r="R752" s="267"/>
      <c r="S752" s="267"/>
      <c r="T752" s="267"/>
      <c r="U752" s="267"/>
      <c r="V752" s="267"/>
      <c r="W752" s="267"/>
      <c r="X752" s="267"/>
      <c r="Y752" s="267"/>
      <c r="Z752" s="267"/>
      <c r="AA752" s="267"/>
      <c r="AB752" s="267"/>
      <c r="AC752" s="99"/>
      <c r="AD752" s="279"/>
      <c r="AE752" s="309"/>
      <c r="AF752" s="279">
        <f t="shared" ref="AF752:AF753" si="206">O752/I752-1</f>
        <v>6.7323481116584594E-2</v>
      </c>
    </row>
    <row r="753" spans="2:34">
      <c r="B753" s="275" t="s">
        <v>51</v>
      </c>
      <c r="E753" s="102">
        <f>E769+E780</f>
        <v>1365564</v>
      </c>
      <c r="G753" s="102">
        <f>G769+G780</f>
        <v>1495903</v>
      </c>
      <c r="I753" s="300">
        <v>8.26</v>
      </c>
      <c r="J753" s="299"/>
      <c r="K753" s="267">
        <f>ROUND($I753*E753,0)</f>
        <v>11279559</v>
      </c>
      <c r="M753" s="267">
        <f>ROUND($I753*G753,0)</f>
        <v>12356159</v>
      </c>
      <c r="O753" s="300">
        <f>O276</f>
        <v>8.81</v>
      </c>
      <c r="P753" s="299"/>
      <c r="Q753" s="267">
        <f>ROUND(O753*$G753,0)</f>
        <v>13178905</v>
      </c>
      <c r="R753" s="267"/>
      <c r="S753" s="267"/>
      <c r="T753" s="267"/>
      <c r="U753" s="267"/>
      <c r="V753" s="267"/>
      <c r="W753" s="267"/>
      <c r="X753" s="267"/>
      <c r="Y753" s="267"/>
      <c r="Z753" s="267"/>
      <c r="AA753" s="267"/>
      <c r="AB753" s="301"/>
      <c r="AF753" s="279">
        <f t="shared" si="206"/>
        <v>6.6585956416465031E-2</v>
      </c>
    </row>
    <row r="754" spans="2:34">
      <c r="B754" s="275" t="s">
        <v>52</v>
      </c>
      <c r="E754" s="280"/>
      <c r="G754" s="280"/>
      <c r="I754" s="396"/>
      <c r="J754" s="396"/>
      <c r="K754" s="397"/>
      <c r="M754" s="301"/>
      <c r="O754" s="396"/>
      <c r="P754" s="396"/>
      <c r="Q754" s="301"/>
      <c r="R754" s="301"/>
      <c r="S754" s="301"/>
      <c r="T754" s="301"/>
      <c r="U754" s="301"/>
      <c r="V754" s="301"/>
      <c r="W754" s="301"/>
      <c r="X754" s="301"/>
      <c r="Y754" s="301"/>
      <c r="Z754" s="301"/>
      <c r="AA754" s="301"/>
      <c r="AB754" s="386"/>
    </row>
    <row r="755" spans="2:34">
      <c r="B755" s="275" t="s">
        <v>53</v>
      </c>
      <c r="E755" s="102">
        <f>E771+E781</f>
        <v>78037998</v>
      </c>
      <c r="G755" s="102">
        <f>G771+G781</f>
        <v>83697066</v>
      </c>
      <c r="I755" s="332">
        <v>4.0587999999999997</v>
      </c>
      <c r="J755" s="286" t="s">
        <v>314</v>
      </c>
      <c r="K755" s="267">
        <f>ROUND(I755*$E755/100,0)</f>
        <v>3167406</v>
      </c>
      <c r="M755" s="267">
        <f>ROUND(I755*$G755/100,0)</f>
        <v>3397097</v>
      </c>
      <c r="O755" s="332">
        <f>O277</f>
        <v>4.3304999999999998</v>
      </c>
      <c r="P755" s="286" t="s">
        <v>314</v>
      </c>
      <c r="Q755" s="267">
        <f>ROUND(O755*$G755/100,0)</f>
        <v>3624501</v>
      </c>
      <c r="R755" s="267"/>
      <c r="S755" s="267"/>
      <c r="T755" s="267"/>
      <c r="U755" s="267"/>
      <c r="V755" s="267"/>
      <c r="W755" s="267"/>
      <c r="X755" s="267"/>
      <c r="Y755" s="267"/>
      <c r="Z755" s="267"/>
      <c r="AA755" s="267"/>
      <c r="AB755" s="301"/>
      <c r="AF755" s="279">
        <f t="shared" ref="AF755:AF757" si="207">O755/I755-1</f>
        <v>6.6940967773726268E-2</v>
      </c>
      <c r="AG755" s="309"/>
    </row>
    <row r="756" spans="2:34">
      <c r="B756" s="275" t="s">
        <v>54</v>
      </c>
      <c r="E756" s="102">
        <f>E772+E782</f>
        <v>411000979</v>
      </c>
      <c r="G756" s="102">
        <f>G772+G782</f>
        <v>449581129</v>
      </c>
      <c r="I756" s="332">
        <v>3.052</v>
      </c>
      <c r="J756" s="286" t="s">
        <v>314</v>
      </c>
      <c r="K756" s="267">
        <f t="shared" ref="K756:K757" si="208">ROUND(I756*$E756/100,0)</f>
        <v>12543750</v>
      </c>
      <c r="M756" s="267">
        <f t="shared" ref="M756:M757" si="209">ROUND(I756*$G756/100,0)</f>
        <v>13721216</v>
      </c>
      <c r="O756" s="332">
        <f>O278</f>
        <v>3.2563</v>
      </c>
      <c r="P756" s="286" t="s">
        <v>314</v>
      </c>
      <c r="Q756" s="267">
        <f t="shared" ref="Q756:Q757" si="210">ROUND(O756*$G756/100,0)</f>
        <v>14639710</v>
      </c>
      <c r="R756" s="267"/>
      <c r="S756" s="267"/>
      <c r="T756" s="267"/>
      <c r="U756" s="267"/>
      <c r="V756" s="267"/>
      <c r="W756" s="267"/>
      <c r="X756" s="267"/>
      <c r="Y756" s="267"/>
      <c r="Z756" s="267"/>
      <c r="AA756" s="267"/>
      <c r="AB756" s="301"/>
      <c r="AF756" s="279">
        <f t="shared" si="207"/>
        <v>6.6939711664482315E-2</v>
      </c>
    </row>
    <row r="757" spans="2:34">
      <c r="B757" s="275" t="s">
        <v>55</v>
      </c>
      <c r="E757" s="367">
        <f>E773+E783</f>
        <v>771920093</v>
      </c>
      <c r="G757" s="367">
        <f>G773+G783</f>
        <v>838320905</v>
      </c>
      <c r="I757" s="384">
        <v>2.5488</v>
      </c>
      <c r="J757" s="286" t="s">
        <v>314</v>
      </c>
      <c r="K757" s="339">
        <f t="shared" si="208"/>
        <v>19674699</v>
      </c>
      <c r="M757" s="339">
        <f t="shared" si="209"/>
        <v>21367123</v>
      </c>
      <c r="O757" s="384">
        <f>O279</f>
        <v>2.7195</v>
      </c>
      <c r="P757" s="286" t="s">
        <v>314</v>
      </c>
      <c r="Q757" s="339">
        <f t="shared" si="210"/>
        <v>22798137</v>
      </c>
      <c r="R757" s="301"/>
      <c r="S757" s="301"/>
      <c r="T757" s="301"/>
      <c r="U757" s="301"/>
      <c r="V757" s="301"/>
      <c r="W757" s="301"/>
      <c r="X757" s="301"/>
      <c r="Y757" s="301"/>
      <c r="Z757" s="301"/>
      <c r="AA757" s="301"/>
      <c r="AB757" s="301"/>
      <c r="AF757" s="279">
        <f t="shared" si="207"/>
        <v>6.697269303201514E-2</v>
      </c>
      <c r="AH757" s="309"/>
    </row>
    <row r="758" spans="2:34" ht="16.5" thickBot="1">
      <c r="B758" s="275" t="s">
        <v>56</v>
      </c>
      <c r="E758" s="325">
        <f>SUM(E755:E757)</f>
        <v>1260959070</v>
      </c>
      <c r="G758" s="325">
        <f>SUM(G755:G757)</f>
        <v>1371599100</v>
      </c>
      <c r="I758" s="390"/>
      <c r="J758" s="330"/>
      <c r="K758" s="319">
        <f>SUM(K745:K757)</f>
        <v>54255076</v>
      </c>
      <c r="M758" s="319">
        <f>SUM(M745:M757)</f>
        <v>59055879</v>
      </c>
      <c r="O758" s="390"/>
      <c r="P758" s="330"/>
      <c r="Q758" s="319">
        <f>SUM(Q745:Q757)</f>
        <v>63038977</v>
      </c>
      <c r="R758" s="301"/>
      <c r="S758" s="301"/>
      <c r="T758" s="301"/>
      <c r="U758" s="301"/>
      <c r="V758" s="301"/>
      <c r="W758" s="301"/>
      <c r="X758" s="301"/>
      <c r="Y758" s="301"/>
      <c r="Z758" s="301"/>
      <c r="AA758" s="301"/>
      <c r="AB758" s="386"/>
      <c r="AC758" s="264" t="s">
        <v>315</v>
      </c>
      <c r="AD758" s="315">
        <f>Q758/M758-1</f>
        <v>6.7446257128777942E-2</v>
      </c>
    </row>
    <row r="759" spans="2:34" ht="16.5" thickTop="1">
      <c r="E759" s="102"/>
      <c r="G759" s="102"/>
      <c r="I759" s="322"/>
      <c r="J759" s="330"/>
      <c r="O759" s="322"/>
      <c r="P759" s="330"/>
      <c r="AB759" s="386"/>
    </row>
    <row r="760" spans="2:34">
      <c r="B760" s="272" t="s">
        <v>57</v>
      </c>
      <c r="E760" s="102"/>
      <c r="G760" s="102"/>
      <c r="I760" s="322"/>
      <c r="J760" s="330"/>
      <c r="O760" s="322"/>
      <c r="P760" s="330"/>
      <c r="AB760" s="386"/>
    </row>
    <row r="761" spans="2:34">
      <c r="B761" s="275" t="s">
        <v>345</v>
      </c>
      <c r="E761" s="102">
        <v>12</v>
      </c>
      <c r="G761" s="102">
        <v>12</v>
      </c>
      <c r="I761" s="99">
        <v>590</v>
      </c>
      <c r="J761" s="330"/>
      <c r="K761" s="267">
        <f>ROUND(I761*$E761,0)</f>
        <v>7080</v>
      </c>
      <c r="M761" s="267">
        <f>ROUND(I761*$G761,0)</f>
        <v>7080</v>
      </c>
      <c r="O761" s="99">
        <f>O704</f>
        <v>634</v>
      </c>
      <c r="P761" s="330"/>
      <c r="Q761" s="267">
        <f>ROUND(O761*$G761,0)</f>
        <v>7608</v>
      </c>
      <c r="R761" s="267"/>
      <c r="S761" s="267"/>
      <c r="T761" s="267"/>
      <c r="U761" s="267"/>
      <c r="V761" s="267"/>
      <c r="W761" s="267"/>
      <c r="X761" s="267"/>
      <c r="Y761" s="267"/>
      <c r="Z761" s="267"/>
      <c r="AA761" s="267"/>
      <c r="AB761" s="386"/>
      <c r="AC761" s="377"/>
      <c r="AF761" s="279">
        <f t="shared" ref="AF761:AF762" si="211">O761/I761-1</f>
        <v>7.4576271186440612E-2</v>
      </c>
    </row>
    <row r="762" spans="2:34">
      <c r="B762" s="275" t="s">
        <v>46</v>
      </c>
      <c r="E762" s="102">
        <v>621080</v>
      </c>
      <c r="G762" s="102">
        <f>ROUND(E762*$G$774/$E$774,0)</f>
        <v>693457</v>
      </c>
      <c r="I762" s="99">
        <v>1.9</v>
      </c>
      <c r="J762" s="330"/>
      <c r="K762" s="267">
        <f>ROUND(I762*$E762,0)</f>
        <v>1180052</v>
      </c>
      <c r="M762" s="267">
        <f>ROUND(I762*$G762,0)</f>
        <v>1317568</v>
      </c>
      <c r="O762" s="99">
        <f>O705</f>
        <v>2.04</v>
      </c>
      <c r="P762" s="330"/>
      <c r="Q762" s="267">
        <f>ROUND(O762*$G762,0)</f>
        <v>1414652</v>
      </c>
      <c r="R762" s="267"/>
      <c r="S762" s="267"/>
      <c r="T762" s="267"/>
      <c r="U762" s="267"/>
      <c r="V762" s="267"/>
      <c r="W762" s="267"/>
      <c r="X762" s="267"/>
      <c r="Y762" s="267"/>
      <c r="Z762" s="267"/>
      <c r="AA762" s="267"/>
      <c r="AB762" s="301"/>
      <c r="AD762" s="279"/>
      <c r="AF762" s="279">
        <f t="shared" si="211"/>
        <v>7.3684210526315796E-2</v>
      </c>
    </row>
    <row r="763" spans="2:34">
      <c r="B763" s="275" t="s">
        <v>47</v>
      </c>
      <c r="E763" s="102"/>
      <c r="G763" s="102"/>
      <c r="I763" s="300"/>
      <c r="J763" s="396"/>
      <c r="K763" s="386"/>
      <c r="M763" s="386"/>
      <c r="O763" s="300"/>
      <c r="P763" s="396"/>
      <c r="Q763" s="386"/>
      <c r="R763" s="386"/>
      <c r="S763" s="386"/>
      <c r="T763" s="386"/>
      <c r="U763" s="386"/>
      <c r="V763" s="386"/>
      <c r="W763" s="386"/>
      <c r="X763" s="386"/>
      <c r="Y763" s="386"/>
      <c r="Z763" s="386"/>
      <c r="AA763" s="386"/>
      <c r="AB763" s="301"/>
      <c r="AD763" s="279"/>
    </row>
    <row r="764" spans="2:34">
      <c r="B764" s="275" t="s">
        <v>28</v>
      </c>
      <c r="E764" s="102">
        <v>5619400</v>
      </c>
      <c r="G764" s="102">
        <f>ROUND(E764*$G$774/$E$774,0)</f>
        <v>6274249</v>
      </c>
      <c r="I764" s="379">
        <v>0.44850000000000001</v>
      </c>
      <c r="J764" s="380"/>
      <c r="K764" s="267">
        <f t="shared" ref="K764:K766" si="212">ROUND(I764*$E764,0)</f>
        <v>2520301</v>
      </c>
      <c r="M764" s="267">
        <f t="shared" ref="M764:M766" si="213">ROUND(I764*$G764,0)</f>
        <v>2814001</v>
      </c>
      <c r="O764" s="379">
        <f>O707</f>
        <v>0.48220000000000002</v>
      </c>
      <c r="P764" s="330"/>
      <c r="Q764" s="267">
        <f t="shared" ref="Q764:Q766" si="214">ROUND(O764*$G764,0)</f>
        <v>3025443</v>
      </c>
      <c r="R764" s="267"/>
      <c r="S764" s="267"/>
      <c r="T764" s="267"/>
      <c r="U764" s="267"/>
      <c r="V764" s="267"/>
      <c r="W764" s="267"/>
      <c r="X764" s="267"/>
      <c r="Y764" s="267"/>
      <c r="Z764" s="267"/>
      <c r="AA764" s="267"/>
      <c r="AB764" s="301"/>
      <c r="AC764" s="99"/>
      <c r="AD764" s="279"/>
      <c r="AF764" s="279">
        <f t="shared" ref="AF764:AF766" si="215">O764/I764-1</f>
        <v>7.513935340022293E-2</v>
      </c>
      <c r="AG764" s="267"/>
      <c r="AH764" s="309"/>
    </row>
    <row r="765" spans="2:34">
      <c r="B765" s="275" t="s">
        <v>29</v>
      </c>
      <c r="E765" s="102">
        <v>0</v>
      </c>
      <c r="G765" s="102">
        <f>ROUND(E765*$G$774/$E$774,0)</f>
        <v>0</v>
      </c>
      <c r="I765" s="381">
        <v>0.2243</v>
      </c>
      <c r="J765" s="382"/>
      <c r="K765" s="267">
        <f t="shared" si="212"/>
        <v>0</v>
      </c>
      <c r="M765" s="267">
        <f t="shared" si="213"/>
        <v>0</v>
      </c>
      <c r="O765" s="381">
        <f t="shared" ref="O765:O766" si="216">O708</f>
        <v>0.24110000000000001</v>
      </c>
      <c r="P765" s="330"/>
      <c r="Q765" s="267">
        <f t="shared" si="214"/>
        <v>0</v>
      </c>
      <c r="R765" s="267"/>
      <c r="S765" s="267"/>
      <c r="T765" s="267"/>
      <c r="U765" s="267"/>
      <c r="V765" s="267"/>
      <c r="W765" s="267"/>
      <c r="X765" s="267"/>
      <c r="Y765" s="267"/>
      <c r="Z765" s="267"/>
      <c r="AA765" s="267"/>
      <c r="AB765" s="301"/>
      <c r="AC765" s="377"/>
      <c r="AD765" s="321"/>
      <c r="AF765" s="279">
        <f t="shared" si="215"/>
        <v>7.4899687917967084E-2</v>
      </c>
      <c r="AG765" s="267"/>
      <c r="AH765" s="309"/>
    </row>
    <row r="766" spans="2:34">
      <c r="B766" s="275" t="s">
        <v>48</v>
      </c>
      <c r="E766" s="102">
        <v>0</v>
      </c>
      <c r="G766" s="102">
        <f>ROUND(E766*$G$774/$E$774,0)</f>
        <v>0</v>
      </c>
      <c r="I766" s="99">
        <v>38.36</v>
      </c>
      <c r="J766" s="276"/>
      <c r="K766" s="267">
        <f t="shared" si="212"/>
        <v>0</v>
      </c>
      <c r="M766" s="267">
        <f t="shared" si="213"/>
        <v>0</v>
      </c>
      <c r="O766" s="99">
        <f t="shared" si="216"/>
        <v>41.24</v>
      </c>
      <c r="P766" s="330"/>
      <c r="Q766" s="267">
        <f t="shared" si="214"/>
        <v>0</v>
      </c>
      <c r="R766" s="267"/>
      <c r="S766" s="267"/>
      <c r="T766" s="267"/>
      <c r="U766" s="267"/>
      <c r="V766" s="267"/>
      <c r="W766" s="267"/>
      <c r="X766" s="267"/>
      <c r="Y766" s="267"/>
      <c r="Z766" s="267"/>
      <c r="AA766" s="267"/>
      <c r="AB766" s="301"/>
      <c r="AD766" s="279"/>
      <c r="AF766" s="279">
        <f t="shared" si="215"/>
        <v>7.5078206465067909E-2</v>
      </c>
      <c r="AH766" s="309"/>
    </row>
    <row r="767" spans="2:34">
      <c r="B767" s="275" t="s">
        <v>49</v>
      </c>
      <c r="E767" s="102"/>
      <c r="G767" s="102"/>
      <c r="I767" s="345"/>
      <c r="J767" s="396"/>
      <c r="K767" s="386"/>
      <c r="M767" s="386"/>
      <c r="O767" s="345"/>
      <c r="P767" s="396"/>
      <c r="Q767" s="386"/>
      <c r="R767" s="386"/>
      <c r="S767" s="386"/>
      <c r="T767" s="386"/>
      <c r="U767" s="386"/>
      <c r="V767" s="386"/>
      <c r="W767" s="386"/>
      <c r="X767" s="386"/>
      <c r="Y767" s="386"/>
      <c r="Z767" s="386"/>
      <c r="AA767" s="386"/>
      <c r="AD767" s="279"/>
    </row>
    <row r="768" spans="2:34">
      <c r="B768" s="275" t="s">
        <v>50</v>
      </c>
      <c r="E768" s="102">
        <v>170120</v>
      </c>
      <c r="G768" s="102">
        <f t="shared" ref="G768:G769" si="217">ROUND(E768*$G$774/$E$774,0)</f>
        <v>189945</v>
      </c>
      <c r="I768" s="300">
        <v>12.18</v>
      </c>
      <c r="J768" s="299"/>
      <c r="K768" s="267">
        <f>ROUND($I768*E768,0)</f>
        <v>2072062</v>
      </c>
      <c r="M768" s="267">
        <f>ROUND($I768*G768,0)</f>
        <v>2313530</v>
      </c>
      <c r="O768" s="300">
        <f>O275</f>
        <v>13</v>
      </c>
      <c r="P768" s="299"/>
      <c r="Q768" s="267">
        <f>ROUND(O768*$G768,0)</f>
        <v>2469285</v>
      </c>
      <c r="R768" s="267"/>
      <c r="S768" s="267"/>
      <c r="T768" s="267"/>
      <c r="U768" s="267"/>
      <c r="V768" s="267"/>
      <c r="W768" s="267"/>
      <c r="X768" s="267"/>
      <c r="Y768" s="267"/>
      <c r="Z768" s="267"/>
      <c r="AA768" s="267"/>
      <c r="AB768" s="267"/>
      <c r="AC768" s="99"/>
      <c r="AD768" s="279"/>
      <c r="AE768" s="309"/>
      <c r="AF768" s="279">
        <f t="shared" ref="AF768:AF769" si="218">O768/I768-1</f>
        <v>6.7323481116584594E-2</v>
      </c>
    </row>
    <row r="769" spans="2:34">
      <c r="B769" s="275" t="s">
        <v>51</v>
      </c>
      <c r="E769" s="102">
        <v>1164320</v>
      </c>
      <c r="G769" s="102">
        <f t="shared" si="217"/>
        <v>1300002</v>
      </c>
      <c r="I769" s="300">
        <v>8.26</v>
      </c>
      <c r="J769" s="299"/>
      <c r="K769" s="267">
        <f>ROUND($I769*E769,0)</f>
        <v>9617283</v>
      </c>
      <c r="M769" s="267">
        <f>ROUND($I769*G769,0)</f>
        <v>10738017</v>
      </c>
      <c r="O769" s="300">
        <f>O276</f>
        <v>8.81</v>
      </c>
      <c r="P769" s="299"/>
      <c r="Q769" s="267">
        <f>ROUND(O769*$G769,0)</f>
        <v>11453018</v>
      </c>
      <c r="R769" s="267"/>
      <c r="S769" s="267"/>
      <c r="T769" s="267"/>
      <c r="U769" s="267"/>
      <c r="V769" s="267"/>
      <c r="W769" s="267"/>
      <c r="X769" s="267"/>
      <c r="Y769" s="267"/>
      <c r="Z769" s="267"/>
      <c r="AA769" s="267"/>
      <c r="AB769" s="301"/>
      <c r="AF769" s="279">
        <f t="shared" si="218"/>
        <v>6.6585956416465031E-2</v>
      </c>
    </row>
    <row r="770" spans="2:34">
      <c r="B770" s="275" t="s">
        <v>52</v>
      </c>
      <c r="E770" s="280"/>
      <c r="G770" s="280"/>
      <c r="I770" s="396"/>
      <c r="J770" s="396"/>
      <c r="K770" s="397"/>
      <c r="M770" s="301"/>
      <c r="O770" s="396"/>
      <c r="P770" s="396"/>
      <c r="Q770" s="301"/>
      <c r="R770" s="301"/>
      <c r="S770" s="301"/>
      <c r="T770" s="301"/>
      <c r="U770" s="301"/>
      <c r="V770" s="301"/>
      <c r="W770" s="301"/>
      <c r="X770" s="301"/>
      <c r="Y770" s="301"/>
      <c r="Z770" s="301"/>
      <c r="AA770" s="301"/>
      <c r="AB770" s="386"/>
    </row>
    <row r="771" spans="2:34">
      <c r="B771" s="275" t="s">
        <v>53</v>
      </c>
      <c r="E771" s="102">
        <v>54031198</v>
      </c>
      <c r="G771" s="102">
        <f>ROUND(E771*$G$774/$E$774,0)</f>
        <v>60327644</v>
      </c>
      <c r="I771" s="332">
        <v>4.0587999999999997</v>
      </c>
      <c r="J771" s="286" t="s">
        <v>314</v>
      </c>
      <c r="K771" s="267">
        <f>ROUND(I771*$E771/100,0)</f>
        <v>2193018</v>
      </c>
      <c r="M771" s="267">
        <f>ROUND(I771*$G771/100,0)</f>
        <v>2448578</v>
      </c>
      <c r="O771" s="332">
        <f>O277</f>
        <v>4.3304999999999998</v>
      </c>
      <c r="P771" s="286" t="s">
        <v>314</v>
      </c>
      <c r="Q771" s="267">
        <f>ROUND(O771*$G771/100,0)</f>
        <v>2612489</v>
      </c>
      <c r="R771" s="267"/>
      <c r="S771" s="267"/>
      <c r="T771" s="267"/>
      <c r="U771" s="267"/>
      <c r="V771" s="267"/>
      <c r="W771" s="267"/>
      <c r="X771" s="267"/>
      <c r="Y771" s="267"/>
      <c r="Z771" s="267"/>
      <c r="AA771" s="267"/>
      <c r="AB771" s="301"/>
      <c r="AF771" s="279">
        <f t="shared" ref="AF771:AF773" si="219">O771/I771-1</f>
        <v>6.6940967773726268E-2</v>
      </c>
      <c r="AG771" s="309"/>
    </row>
    <row r="772" spans="2:34">
      <c r="B772" s="275" t="s">
        <v>54</v>
      </c>
      <c r="E772" s="102">
        <v>345897379</v>
      </c>
      <c r="G772" s="102">
        <f t="shared" ref="G772" si="220">ROUND(E772*$G$774/$E$774,0)</f>
        <v>386206023</v>
      </c>
      <c r="I772" s="332">
        <v>3.052</v>
      </c>
      <c r="J772" s="286" t="s">
        <v>314</v>
      </c>
      <c r="K772" s="267">
        <f t="shared" ref="K772:K773" si="221">ROUND(I772*$E772/100,0)</f>
        <v>10556788</v>
      </c>
      <c r="M772" s="267">
        <f t="shared" ref="M772:M773" si="222">ROUND(I772*$G772/100,0)</f>
        <v>11787008</v>
      </c>
      <c r="O772" s="332">
        <f t="shared" ref="O772:O773" si="223">O278</f>
        <v>3.2563</v>
      </c>
      <c r="P772" s="286" t="s">
        <v>314</v>
      </c>
      <c r="Q772" s="267">
        <f t="shared" ref="Q772:Q773" si="224">ROUND(O772*$G772/100,0)</f>
        <v>12576027</v>
      </c>
      <c r="R772" s="267"/>
      <c r="S772" s="267"/>
      <c r="T772" s="267"/>
      <c r="U772" s="267"/>
      <c r="V772" s="267"/>
      <c r="W772" s="267"/>
      <c r="X772" s="267"/>
      <c r="Y772" s="267"/>
      <c r="Z772" s="267"/>
      <c r="AA772" s="267"/>
      <c r="AB772" s="301"/>
      <c r="AF772" s="279">
        <f t="shared" si="219"/>
        <v>6.6939711664482315E-2</v>
      </c>
    </row>
    <row r="773" spans="2:34">
      <c r="B773" s="275" t="s">
        <v>55</v>
      </c>
      <c r="E773" s="367">
        <v>607304493</v>
      </c>
      <c r="G773" s="367">
        <f>G774-G771-G772</f>
        <v>678075833</v>
      </c>
      <c r="I773" s="384">
        <v>2.5488</v>
      </c>
      <c r="J773" s="286" t="s">
        <v>314</v>
      </c>
      <c r="K773" s="339">
        <f t="shared" si="221"/>
        <v>15478977</v>
      </c>
      <c r="M773" s="339">
        <f t="shared" si="222"/>
        <v>17282797</v>
      </c>
      <c r="O773" s="384">
        <f t="shared" si="223"/>
        <v>2.7195</v>
      </c>
      <c r="P773" s="286" t="s">
        <v>314</v>
      </c>
      <c r="Q773" s="339">
        <f t="shared" si="224"/>
        <v>18440272</v>
      </c>
      <c r="R773" s="301"/>
      <c r="S773" s="301"/>
      <c r="T773" s="301"/>
      <c r="U773" s="301"/>
      <c r="V773" s="301"/>
      <c r="W773" s="301"/>
      <c r="X773" s="301"/>
      <c r="Y773" s="301"/>
      <c r="Z773" s="301"/>
      <c r="AA773" s="301"/>
      <c r="AB773" s="301"/>
      <c r="AF773" s="279">
        <f t="shared" si="219"/>
        <v>6.697269303201514E-2</v>
      </c>
      <c r="AH773" s="309"/>
    </row>
    <row r="774" spans="2:34" ht="16.5" thickBot="1">
      <c r="B774" s="275" t="s">
        <v>56</v>
      </c>
      <c r="E774" s="325">
        <f>SUM(E771:E773)</f>
        <v>1007233070</v>
      </c>
      <c r="G774" s="325">
        <v>1124609500</v>
      </c>
      <c r="I774" s="390"/>
      <c r="J774" s="330"/>
      <c r="K774" s="319">
        <f>SUM(K761:K773)</f>
        <v>43625561</v>
      </c>
      <c r="M774" s="319">
        <f>SUM(M761:M773)</f>
        <v>48708579</v>
      </c>
      <c r="O774" s="390"/>
      <c r="P774" s="330"/>
      <c r="Q774" s="319">
        <f>SUM(Q761:Q773)</f>
        <v>51998794</v>
      </c>
      <c r="R774" s="301"/>
      <c r="S774" s="301"/>
      <c r="T774" s="301"/>
      <c r="U774" s="301"/>
      <c r="V774" s="301"/>
      <c r="W774" s="301"/>
      <c r="X774" s="301"/>
      <c r="Y774" s="301"/>
      <c r="Z774" s="301"/>
      <c r="AA774" s="301"/>
      <c r="AB774" s="386"/>
      <c r="AC774" s="264" t="s">
        <v>315</v>
      </c>
      <c r="AD774" s="315">
        <f>Q774/M774-1</f>
        <v>6.7548983516846128E-2</v>
      </c>
    </row>
    <row r="775" spans="2:34" ht="16.5" thickTop="1">
      <c r="E775" s="102"/>
      <c r="G775" s="102"/>
      <c r="I775" s="322"/>
      <c r="J775" s="330"/>
      <c r="O775" s="322"/>
      <c r="P775" s="330"/>
      <c r="AB775" s="386"/>
    </row>
    <row r="776" spans="2:34">
      <c r="B776" s="272" t="s">
        <v>58</v>
      </c>
      <c r="E776" s="102"/>
      <c r="G776" s="102"/>
      <c r="I776" s="322"/>
      <c r="J776" s="330"/>
      <c r="O776" s="322"/>
      <c r="P776" s="330"/>
      <c r="AB776" s="301"/>
    </row>
    <row r="777" spans="2:34">
      <c r="B777" s="275" t="s">
        <v>345</v>
      </c>
      <c r="E777" s="264">
        <v>12</v>
      </c>
      <c r="G777" s="264">
        <v>12</v>
      </c>
      <c r="I777" s="99"/>
      <c r="J777" s="299"/>
      <c r="K777" s="267"/>
      <c r="M777" s="267"/>
      <c r="O777" s="99"/>
      <c r="P777" s="299"/>
      <c r="Q777" s="267"/>
      <c r="R777" s="267"/>
      <c r="S777" s="267"/>
      <c r="T777" s="267"/>
      <c r="U777" s="267"/>
      <c r="V777" s="267"/>
      <c r="W777" s="267"/>
      <c r="X777" s="267"/>
      <c r="Y777" s="267"/>
      <c r="Z777" s="267"/>
      <c r="AA777" s="267"/>
      <c r="AB777" s="301"/>
      <c r="AF777" s="279"/>
    </row>
    <row r="778" spans="2:34">
      <c r="B778" s="275" t="s">
        <v>268</v>
      </c>
      <c r="E778" s="102">
        <v>379554</v>
      </c>
      <c r="G778" s="102">
        <f>ROUND(E778*$G$784/$E$784,0)</f>
        <v>369477</v>
      </c>
      <c r="I778" s="300">
        <v>1.94</v>
      </c>
      <c r="J778" s="299"/>
      <c r="K778" s="267"/>
      <c r="M778" s="267"/>
      <c r="O778" s="300"/>
      <c r="P778" s="299"/>
      <c r="Q778" s="267"/>
      <c r="R778" s="267"/>
      <c r="S778" s="267"/>
      <c r="T778" s="267"/>
      <c r="U778" s="267"/>
      <c r="V778" s="267"/>
      <c r="W778" s="267"/>
      <c r="X778" s="267"/>
      <c r="Y778" s="267"/>
      <c r="Z778" s="267"/>
      <c r="AA778" s="267"/>
      <c r="AB778" s="267"/>
      <c r="AC778" s="267"/>
      <c r="AD778" s="267"/>
      <c r="AF778" s="279">
        <f t="shared" ref="AF778:AF783" si="225">O778/I778-1</f>
        <v>-1</v>
      </c>
    </row>
    <row r="779" spans="2:34">
      <c r="B779" s="275" t="s">
        <v>269</v>
      </c>
      <c r="E779" s="102">
        <v>148618</v>
      </c>
      <c r="G779" s="102">
        <f t="shared" ref="G779:G782" si="226">ROUND(E779*$G$784/$E$784,0)</f>
        <v>144672</v>
      </c>
      <c r="I779" s="300">
        <v>12.18</v>
      </c>
      <c r="J779" s="299"/>
      <c r="K779" s="267">
        <f>ROUND($I779*E779,0)</f>
        <v>1810167</v>
      </c>
      <c r="M779" s="267">
        <f>ROUND($I779*G779,0)</f>
        <v>1762105</v>
      </c>
      <c r="O779" s="300">
        <f t="shared" ref="O779:O783" si="227">O275</f>
        <v>13</v>
      </c>
      <c r="P779" s="299"/>
      <c r="Q779" s="267">
        <f>ROUND(O779*$G779,0)</f>
        <v>1880736</v>
      </c>
      <c r="R779" s="267"/>
      <c r="S779" s="267"/>
      <c r="T779" s="267"/>
      <c r="U779" s="267"/>
      <c r="V779" s="267"/>
      <c r="W779" s="267"/>
      <c r="X779" s="267"/>
      <c r="Y779" s="267"/>
      <c r="Z779" s="267"/>
      <c r="AA779" s="267"/>
      <c r="AB779" s="267"/>
      <c r="AE779" s="309"/>
      <c r="AF779" s="279">
        <f t="shared" si="225"/>
        <v>6.7323481116584594E-2</v>
      </c>
    </row>
    <row r="780" spans="2:34">
      <c r="B780" s="275" t="s">
        <v>270</v>
      </c>
      <c r="E780" s="102">
        <v>201244</v>
      </c>
      <c r="G780" s="102">
        <f t="shared" si="226"/>
        <v>195901</v>
      </c>
      <c r="I780" s="300">
        <v>8.26</v>
      </c>
      <c r="J780" s="299"/>
      <c r="K780" s="267">
        <f>ROUND($I780*E780,0)</f>
        <v>1662275</v>
      </c>
      <c r="M780" s="267">
        <f>ROUND($I780*G780,0)</f>
        <v>1618142</v>
      </c>
      <c r="O780" s="300">
        <f t="shared" si="227"/>
        <v>8.81</v>
      </c>
      <c r="P780" s="299"/>
      <c r="Q780" s="267">
        <f>ROUND(O780*$G780,0)</f>
        <v>1725888</v>
      </c>
      <c r="R780" s="267"/>
      <c r="S780" s="267"/>
      <c r="T780" s="267"/>
      <c r="U780" s="267"/>
      <c r="V780" s="267"/>
      <c r="W780" s="267"/>
      <c r="X780" s="267"/>
      <c r="Y780" s="267"/>
      <c r="Z780" s="267"/>
      <c r="AA780" s="267"/>
      <c r="AB780" s="301"/>
      <c r="AF780" s="279">
        <f t="shared" si="225"/>
        <v>6.6585956416465031E-2</v>
      </c>
    </row>
    <row r="781" spans="2:34">
      <c r="B781" s="275" t="s">
        <v>276</v>
      </c>
      <c r="E781" s="102">
        <v>24006800</v>
      </c>
      <c r="G781" s="102">
        <f t="shared" si="226"/>
        <v>23369422</v>
      </c>
      <c r="I781" s="332">
        <v>4.0587999999999997</v>
      </c>
      <c r="J781" s="286" t="s">
        <v>314</v>
      </c>
      <c r="K781" s="267">
        <f>ROUND($I781*E781/100,0)</f>
        <v>974388</v>
      </c>
      <c r="M781" s="267">
        <f>ROUND($I781*G781/100,0)</f>
        <v>948518</v>
      </c>
      <c r="O781" s="332">
        <f t="shared" si="227"/>
        <v>4.3304999999999998</v>
      </c>
      <c r="P781" s="286" t="s">
        <v>314</v>
      </c>
      <c r="Q781" s="267">
        <f>ROUND(O781*$G781/100,0)</f>
        <v>1012013</v>
      </c>
      <c r="R781" s="267"/>
      <c r="S781" s="267"/>
      <c r="T781" s="267"/>
      <c r="U781" s="267"/>
      <c r="V781" s="267"/>
      <c r="W781" s="267"/>
      <c r="X781" s="267"/>
      <c r="Y781" s="267"/>
      <c r="Z781" s="267"/>
      <c r="AA781" s="267"/>
      <c r="AB781" s="301"/>
      <c r="AF781" s="279">
        <f t="shared" si="225"/>
        <v>6.6940967773726268E-2</v>
      </c>
      <c r="AG781" s="309"/>
    </row>
    <row r="782" spans="2:34">
      <c r="B782" s="275" t="s">
        <v>277</v>
      </c>
      <c r="E782" s="102">
        <v>65103600</v>
      </c>
      <c r="G782" s="102">
        <f t="shared" si="226"/>
        <v>63375106</v>
      </c>
      <c r="I782" s="332">
        <v>3.052</v>
      </c>
      <c r="J782" s="286" t="s">
        <v>314</v>
      </c>
      <c r="K782" s="267">
        <f>ROUND($I782*E782/100,0)</f>
        <v>1986962</v>
      </c>
      <c r="M782" s="267">
        <f>ROUND($I782*G782/100,0)</f>
        <v>1934208</v>
      </c>
      <c r="O782" s="332">
        <f t="shared" si="227"/>
        <v>3.2563</v>
      </c>
      <c r="P782" s="286" t="s">
        <v>314</v>
      </c>
      <c r="Q782" s="267">
        <f>ROUND(O782*$G782/100,0)</f>
        <v>2063684</v>
      </c>
      <c r="R782" s="267"/>
      <c r="S782" s="267"/>
      <c r="T782" s="267"/>
      <c r="U782" s="267"/>
      <c r="V782" s="267"/>
      <c r="W782" s="267"/>
      <c r="X782" s="267"/>
      <c r="Y782" s="267"/>
      <c r="Z782" s="267"/>
      <c r="AA782" s="267"/>
      <c r="AB782" s="301"/>
      <c r="AF782" s="279">
        <f t="shared" si="225"/>
        <v>6.6939711664482315E-2</v>
      </c>
    </row>
    <row r="783" spans="2:34">
      <c r="B783" s="275" t="s">
        <v>271</v>
      </c>
      <c r="E783" s="367">
        <v>164615600</v>
      </c>
      <c r="G783" s="367">
        <f>G784-G781-G782</f>
        <v>160245072</v>
      </c>
      <c r="I783" s="384">
        <v>2.5488</v>
      </c>
      <c r="J783" s="286" t="s">
        <v>314</v>
      </c>
      <c r="K783" s="339">
        <f>ROUND($I783*E783/100,0)</f>
        <v>4195722</v>
      </c>
      <c r="M783" s="339">
        <f>ROUND($I783*G783/100,0)</f>
        <v>4084326</v>
      </c>
      <c r="O783" s="384">
        <f t="shared" si="227"/>
        <v>2.7195</v>
      </c>
      <c r="P783" s="286" t="s">
        <v>314</v>
      </c>
      <c r="Q783" s="339">
        <f>ROUND(O783*$G783/100,0)</f>
        <v>4357865</v>
      </c>
      <c r="R783" s="301"/>
      <c r="S783" s="301"/>
      <c r="T783" s="301"/>
      <c r="U783" s="301"/>
      <c r="V783" s="301"/>
      <c r="W783" s="301"/>
      <c r="X783" s="301"/>
      <c r="Y783" s="301"/>
      <c r="Z783" s="301"/>
      <c r="AA783" s="301"/>
      <c r="AB783" s="301"/>
      <c r="AF783" s="279">
        <f t="shared" si="225"/>
        <v>6.697269303201514E-2</v>
      </c>
      <c r="AH783" s="309"/>
    </row>
    <row r="784" spans="2:34" ht="16.5" thickBot="1">
      <c r="B784" s="275" t="s">
        <v>334</v>
      </c>
      <c r="E784" s="325">
        <f>SUM(E781:E783)</f>
        <v>253726000</v>
      </c>
      <c r="G784" s="325">
        <v>246989600</v>
      </c>
      <c r="I784" s="318"/>
      <c r="K784" s="319">
        <f>SUM(K777:K783)</f>
        <v>10629514</v>
      </c>
      <c r="M784" s="319">
        <f>SUM(M777:M783)</f>
        <v>10347299</v>
      </c>
      <c r="O784" s="318"/>
      <c r="Q784" s="319">
        <f>SUM(Q777:Q783)</f>
        <v>11040186</v>
      </c>
      <c r="R784" s="301"/>
      <c r="S784" s="301"/>
      <c r="T784" s="301"/>
      <c r="U784" s="301"/>
      <c r="V784" s="301"/>
      <c r="W784" s="301"/>
      <c r="X784" s="301"/>
      <c r="Y784" s="301"/>
      <c r="Z784" s="301"/>
      <c r="AA784" s="301"/>
      <c r="AB784" s="267"/>
      <c r="AC784" s="264" t="s">
        <v>315</v>
      </c>
      <c r="AD784" s="315">
        <f>Q784/M784-1</f>
        <v>6.6963078963891975E-2</v>
      </c>
    </row>
    <row r="785" spans="2:32" ht="16.5" thickTop="1">
      <c r="E785" s="102"/>
      <c r="G785" s="102"/>
      <c r="AB785" s="267"/>
    </row>
    <row r="786" spans="2:32">
      <c r="B786" s="272" t="s">
        <v>59</v>
      </c>
      <c r="E786" s="102"/>
      <c r="G786" s="102"/>
      <c r="I786" s="322"/>
      <c r="J786" s="330"/>
      <c r="O786" s="322"/>
      <c r="P786" s="330"/>
      <c r="AB786" s="267"/>
    </row>
    <row r="787" spans="2:32">
      <c r="B787" s="303" t="s">
        <v>60</v>
      </c>
      <c r="C787" s="265"/>
      <c r="D787" s="265"/>
      <c r="E787" s="102">
        <v>1</v>
      </c>
      <c r="G787" s="102">
        <v>1</v>
      </c>
      <c r="I787" s="99"/>
      <c r="J787" s="276"/>
      <c r="K787" s="267"/>
      <c r="M787" s="267"/>
      <c r="O787" s="99"/>
      <c r="P787" s="276"/>
      <c r="Q787" s="267"/>
      <c r="R787" s="267"/>
      <c r="S787" s="267"/>
      <c r="T787" s="267"/>
      <c r="U787" s="267"/>
      <c r="V787" s="267"/>
      <c r="W787" s="267"/>
      <c r="X787" s="267"/>
      <c r="Y787" s="267"/>
      <c r="Z787" s="267"/>
      <c r="AA787" s="267"/>
      <c r="AB787" s="301"/>
      <c r="AF787" s="279"/>
    </row>
    <row r="788" spans="2:32">
      <c r="B788" s="303" t="s">
        <v>61</v>
      </c>
      <c r="C788" s="265"/>
      <c r="D788" s="265"/>
      <c r="E788" s="102">
        <v>971.99790718477004</v>
      </c>
      <c r="G788" s="102">
        <f>ROUND(E788*G787/E787,0)</f>
        <v>972</v>
      </c>
      <c r="I788" s="379">
        <v>17.775099999999998</v>
      </c>
      <c r="J788" s="380"/>
      <c r="K788" s="267">
        <f>ROUND(I788*$E788,0)</f>
        <v>17277</v>
      </c>
      <c r="M788" s="267">
        <f>ROUND(I788*$G788,0)</f>
        <v>17277</v>
      </c>
      <c r="O788" s="379">
        <v>17.775099999999998</v>
      </c>
      <c r="P788" s="380"/>
      <c r="Q788" s="267">
        <f>ROUND(O788*$G788,0)</f>
        <v>17277</v>
      </c>
      <c r="R788" s="267"/>
      <c r="S788" s="267"/>
      <c r="T788" s="267"/>
      <c r="U788" s="267"/>
      <c r="V788" s="267"/>
      <c r="W788" s="267"/>
      <c r="X788" s="267"/>
      <c r="Y788" s="267"/>
      <c r="Z788" s="267"/>
      <c r="AA788" s="267"/>
      <c r="AB788" s="301"/>
      <c r="AF788" s="279">
        <f t="shared" ref="AF788" si="228">O788/I788-1</f>
        <v>0</v>
      </c>
    </row>
    <row r="789" spans="2:32">
      <c r="B789" s="303" t="s">
        <v>349</v>
      </c>
      <c r="C789" s="265"/>
      <c r="D789" s="265"/>
      <c r="E789" s="102">
        <v>140939.69654179199</v>
      </c>
      <c r="G789" s="102">
        <f>G791</f>
        <v>135421</v>
      </c>
      <c r="I789" s="314"/>
      <c r="J789" s="286"/>
      <c r="K789" s="267"/>
      <c r="M789" s="267"/>
      <c r="O789" s="314"/>
      <c r="P789" s="286"/>
      <c r="Q789" s="267"/>
      <c r="R789" s="267"/>
      <c r="S789" s="267"/>
      <c r="T789" s="267"/>
      <c r="U789" s="267"/>
      <c r="V789" s="267"/>
      <c r="W789" s="267"/>
      <c r="X789" s="267"/>
      <c r="Y789" s="267"/>
      <c r="Z789" s="267"/>
      <c r="AA789" s="267"/>
      <c r="AF789" s="279"/>
    </row>
    <row r="790" spans="2:32">
      <c r="B790" s="264" t="s">
        <v>264</v>
      </c>
      <c r="E790" s="357">
        <v>0</v>
      </c>
      <c r="G790" s="357">
        <v>0</v>
      </c>
      <c r="I790" s="322"/>
      <c r="J790" s="330"/>
      <c r="K790" s="308">
        <v>0</v>
      </c>
      <c r="M790" s="308">
        <v>0</v>
      </c>
      <c r="O790" s="322"/>
      <c r="P790" s="330"/>
      <c r="Q790" s="308">
        <v>0</v>
      </c>
      <c r="R790" s="301"/>
      <c r="S790" s="301"/>
      <c r="T790" s="301"/>
      <c r="U790" s="301"/>
      <c r="V790" s="301"/>
      <c r="W790" s="301"/>
      <c r="X790" s="301"/>
      <c r="Y790" s="301"/>
      <c r="Z790" s="301"/>
      <c r="AA790" s="301"/>
      <c r="AB790" s="267"/>
    </row>
    <row r="791" spans="2:32" ht="16.5" thickBot="1">
      <c r="B791" s="303" t="s">
        <v>334</v>
      </c>
      <c r="C791" s="265"/>
      <c r="D791" s="265"/>
      <c r="E791" s="325">
        <f>E790+E789</f>
        <v>140939.69654179199</v>
      </c>
      <c r="G791" s="325">
        <v>135421</v>
      </c>
      <c r="I791" s="390"/>
      <c r="J791" s="330"/>
      <c r="K791" s="319">
        <f>SUM(K787:K790)</f>
        <v>17277</v>
      </c>
      <c r="M791" s="319">
        <f>SUM(M787:M790)</f>
        <v>17277</v>
      </c>
      <c r="O791" s="390"/>
      <c r="P791" s="330"/>
      <c r="Q791" s="319">
        <f>SUM(Q787:Q790)</f>
        <v>17277</v>
      </c>
      <c r="R791" s="301"/>
      <c r="S791" s="301"/>
      <c r="T791" s="301"/>
      <c r="U791" s="301"/>
      <c r="V791" s="301"/>
      <c r="W791" s="301"/>
      <c r="X791" s="301"/>
      <c r="Y791" s="301"/>
      <c r="Z791" s="301"/>
      <c r="AA791" s="301"/>
      <c r="AB791" s="267"/>
    </row>
    <row r="792" spans="2:32" ht="16.5" thickTop="1">
      <c r="B792" s="303"/>
      <c r="C792" s="265"/>
      <c r="D792" s="265"/>
      <c r="E792" s="280"/>
      <c r="G792" s="280"/>
      <c r="I792" s="330"/>
      <c r="J792" s="330"/>
      <c r="K792" s="301"/>
      <c r="M792" s="301"/>
      <c r="O792" s="330"/>
      <c r="P792" s="330"/>
      <c r="Q792" s="301"/>
      <c r="R792" s="301"/>
      <c r="S792" s="301"/>
      <c r="T792" s="301"/>
      <c r="U792" s="301"/>
      <c r="V792" s="301"/>
      <c r="W792" s="301"/>
      <c r="X792" s="301"/>
      <c r="Y792" s="301"/>
      <c r="Z792" s="301"/>
      <c r="AA792" s="301"/>
      <c r="AB792" s="301"/>
    </row>
    <row r="793" spans="2:32">
      <c r="B793" s="272" t="s">
        <v>62</v>
      </c>
      <c r="E793" s="102"/>
      <c r="G793" s="102"/>
      <c r="AB793" s="301"/>
    </row>
    <row r="794" spans="2:32">
      <c r="B794" s="275" t="s">
        <v>63</v>
      </c>
      <c r="E794" s="102">
        <v>60.169724770642198</v>
      </c>
      <c r="G794" s="102">
        <f>ROUND(E794*($G$797/$E$797),0)</f>
        <v>62</v>
      </c>
      <c r="I794" s="99">
        <v>2.1800000000000002</v>
      </c>
      <c r="J794" s="276"/>
      <c r="K794" s="267">
        <f>ROUND(I794*$E794,0)</f>
        <v>131</v>
      </c>
      <c r="M794" s="267">
        <f>ROUND(I794*$G794,0)</f>
        <v>135</v>
      </c>
      <c r="O794" s="99">
        <v>2.1800000000000002</v>
      </c>
      <c r="P794" s="276"/>
      <c r="Q794" s="267">
        <f>ROUND(O794*$G794,0)</f>
        <v>135</v>
      </c>
      <c r="R794" s="267"/>
      <c r="S794" s="267"/>
      <c r="T794" s="267"/>
      <c r="U794" s="267"/>
      <c r="V794" s="267"/>
      <c r="W794" s="267"/>
      <c r="X794" s="267"/>
      <c r="Y794" s="267"/>
      <c r="Z794" s="267"/>
      <c r="AA794" s="267"/>
      <c r="AB794" s="265"/>
      <c r="AF794" s="279">
        <f t="shared" ref="AF794:AF795" si="229">O794/I794-1</f>
        <v>0</v>
      </c>
    </row>
    <row r="795" spans="2:32">
      <c r="B795" s="275" t="s">
        <v>64</v>
      </c>
      <c r="E795" s="367">
        <v>206.835026077409</v>
      </c>
      <c r="G795" s="367">
        <f>ROUND(E795*($G$797/$E$797),0)</f>
        <v>213</v>
      </c>
      <c r="I795" s="398">
        <v>2.1858</v>
      </c>
      <c r="J795" s="286"/>
      <c r="K795" s="339">
        <f>ROUND(I795*$E795,0)</f>
        <v>452</v>
      </c>
      <c r="M795" s="339">
        <f>ROUND(I795*$G795,0)</f>
        <v>466</v>
      </c>
      <c r="O795" s="398">
        <v>2.1858</v>
      </c>
      <c r="P795" s="286"/>
      <c r="Q795" s="339">
        <f>ROUND(O795*$G795,0)</f>
        <v>466</v>
      </c>
      <c r="R795" s="301"/>
      <c r="S795" s="301"/>
      <c r="T795" s="301"/>
      <c r="U795" s="301"/>
      <c r="V795" s="301"/>
      <c r="W795" s="301"/>
      <c r="X795" s="301"/>
      <c r="Y795" s="301"/>
      <c r="Z795" s="301"/>
      <c r="AA795" s="301"/>
      <c r="AF795" s="279">
        <f t="shared" si="229"/>
        <v>0</v>
      </c>
    </row>
    <row r="796" spans="2:32">
      <c r="B796" s="275" t="s">
        <v>212</v>
      </c>
      <c r="E796" s="103">
        <f>SUM(E794:E795)</f>
        <v>267.00475084805117</v>
      </c>
      <c r="G796" s="103">
        <f>SUM(G794:G795)</f>
        <v>275</v>
      </c>
      <c r="I796" s="352"/>
      <c r="K796" s="308">
        <f>SUM(K794:K795)</f>
        <v>583</v>
      </c>
      <c r="M796" s="308">
        <f>SUM(M794:M795)</f>
        <v>601</v>
      </c>
      <c r="O796" s="352"/>
      <c r="Q796" s="308">
        <f>SUM(Q794:Q795)</f>
        <v>601</v>
      </c>
      <c r="R796" s="301"/>
      <c r="S796" s="301"/>
      <c r="T796" s="301"/>
      <c r="U796" s="301"/>
      <c r="V796" s="301"/>
      <c r="W796" s="301"/>
      <c r="X796" s="301"/>
      <c r="Y796" s="301"/>
      <c r="Z796" s="301"/>
      <c r="AA796" s="301"/>
      <c r="AB796" s="359"/>
    </row>
    <row r="797" spans="2:32" ht="16.5" thickBot="1">
      <c r="B797" s="275" t="s">
        <v>65</v>
      </c>
      <c r="E797" s="356">
        <v>7743.1377745934697</v>
      </c>
      <c r="G797" s="356">
        <v>7972.13</v>
      </c>
      <c r="I797" s="318"/>
      <c r="K797" s="318"/>
      <c r="M797" s="318"/>
      <c r="O797" s="318"/>
      <c r="Q797" s="318"/>
      <c r="R797" s="265"/>
      <c r="S797" s="265"/>
      <c r="T797" s="265"/>
      <c r="U797" s="265"/>
      <c r="V797" s="265"/>
      <c r="W797" s="265"/>
      <c r="X797" s="265"/>
      <c r="Y797" s="265"/>
      <c r="Z797" s="265"/>
      <c r="AA797" s="265"/>
    </row>
    <row r="798" spans="2:32" ht="16.5" thickTop="1">
      <c r="B798" s="275" t="s">
        <v>380</v>
      </c>
      <c r="E798" s="270">
        <v>5</v>
      </c>
      <c r="G798" s="270">
        <v>5</v>
      </c>
    </row>
    <row r="799" spans="2:32">
      <c r="B799" s="275" t="s">
        <v>264</v>
      </c>
      <c r="E799" s="357">
        <v>0</v>
      </c>
      <c r="G799" s="357">
        <v>0</v>
      </c>
      <c r="I799" s="352"/>
      <c r="K799" s="308">
        <v>0</v>
      </c>
      <c r="M799" s="308"/>
      <c r="O799" s="352"/>
      <c r="Q799" s="308">
        <v>0</v>
      </c>
      <c r="R799" s="301"/>
      <c r="S799" s="301"/>
      <c r="T799" s="301"/>
      <c r="U799" s="301"/>
      <c r="V799" s="301"/>
      <c r="W799" s="301"/>
      <c r="X799" s="301"/>
      <c r="Y799" s="301"/>
      <c r="Z799" s="301"/>
      <c r="AA799" s="301"/>
      <c r="AB799" s="267"/>
    </row>
    <row r="800" spans="2:32" ht="16.5" thickBot="1">
      <c r="B800" s="275" t="s">
        <v>213</v>
      </c>
      <c r="E800" s="356">
        <f>E799+E797</f>
        <v>7743.1377745934697</v>
      </c>
      <c r="G800" s="356">
        <f>G799+G797</f>
        <v>7972.13</v>
      </c>
      <c r="I800" s="358"/>
      <c r="J800" s="359"/>
      <c r="K800" s="358">
        <f>K799+K796</f>
        <v>583</v>
      </c>
      <c r="M800" s="358">
        <f>M799+M796</f>
        <v>601</v>
      </c>
      <c r="O800" s="358"/>
      <c r="P800" s="359"/>
      <c r="Q800" s="358">
        <f>Q799+Q796</f>
        <v>601</v>
      </c>
      <c r="R800" s="359"/>
      <c r="S800" s="359"/>
      <c r="T800" s="359"/>
      <c r="U800" s="359"/>
      <c r="V800" s="359"/>
      <c r="W800" s="359"/>
      <c r="X800" s="359"/>
      <c r="Y800" s="359"/>
      <c r="Z800" s="359"/>
      <c r="AA800" s="359"/>
      <c r="AB800" s="267"/>
    </row>
    <row r="801" spans="2:33" ht="16.5" thickTop="1">
      <c r="E801" s="102"/>
      <c r="G801" s="102"/>
      <c r="AB801" s="267"/>
    </row>
    <row r="802" spans="2:33">
      <c r="B802" s="262" t="s">
        <v>66</v>
      </c>
      <c r="C802" s="265"/>
      <c r="D802" s="265"/>
      <c r="I802" s="322"/>
      <c r="J802" s="330"/>
      <c r="O802" s="322"/>
      <c r="P802" s="330"/>
      <c r="AB802" s="267"/>
    </row>
    <row r="803" spans="2:33">
      <c r="B803" s="303" t="s">
        <v>67</v>
      </c>
      <c r="C803" s="265"/>
      <c r="D803" s="265"/>
      <c r="E803" s="399"/>
      <c r="G803" s="399"/>
      <c r="I803" s="322"/>
      <c r="J803" s="330"/>
      <c r="K803" s="267">
        <v>36561</v>
      </c>
      <c r="M803" s="267">
        <f t="shared" ref="M803:M808" si="230">K803</f>
        <v>36561</v>
      </c>
      <c r="O803" s="322"/>
      <c r="P803" s="330"/>
      <c r="Q803" s="267">
        <f t="shared" ref="Q803:Q808" si="231">M803</f>
        <v>36561</v>
      </c>
      <c r="R803" s="267"/>
      <c r="S803" s="267"/>
      <c r="T803" s="267"/>
      <c r="U803" s="267"/>
      <c r="V803" s="267"/>
      <c r="W803" s="267"/>
      <c r="X803" s="267"/>
      <c r="Y803" s="267"/>
      <c r="Z803" s="267"/>
      <c r="AA803" s="267"/>
      <c r="AB803" s="267"/>
    </row>
    <row r="804" spans="2:33">
      <c r="B804" s="303" t="s">
        <v>68</v>
      </c>
      <c r="C804" s="265"/>
      <c r="D804" s="265"/>
      <c r="E804" s="399"/>
      <c r="G804" s="399"/>
      <c r="I804" s="322"/>
      <c r="J804" s="330"/>
      <c r="K804" s="267">
        <v>3441281.67</v>
      </c>
      <c r="M804" s="267">
        <f t="shared" si="230"/>
        <v>3441281.67</v>
      </c>
      <c r="O804" s="322"/>
      <c r="P804" s="330"/>
      <c r="Q804" s="267">
        <f t="shared" si="231"/>
        <v>3441281.67</v>
      </c>
      <c r="R804" s="267"/>
      <c r="S804" s="267"/>
      <c r="T804" s="267"/>
      <c r="U804" s="267"/>
      <c r="V804" s="267"/>
      <c r="W804" s="267"/>
      <c r="X804" s="267"/>
      <c r="Y804" s="267"/>
      <c r="Z804" s="267"/>
      <c r="AA804" s="267"/>
      <c r="AB804" s="301"/>
      <c r="AE804" s="400"/>
    </row>
    <row r="805" spans="2:33">
      <c r="B805" s="303" t="s">
        <v>69</v>
      </c>
      <c r="C805" s="265"/>
      <c r="D805" s="265"/>
      <c r="E805" s="399"/>
      <c r="G805" s="399"/>
      <c r="I805" s="322"/>
      <c r="J805" s="330"/>
      <c r="K805" s="267">
        <v>842690.75999999989</v>
      </c>
      <c r="M805" s="267">
        <f t="shared" si="230"/>
        <v>842690.75999999989</v>
      </c>
      <c r="O805" s="322"/>
      <c r="P805" s="330"/>
      <c r="Q805" s="267">
        <f t="shared" si="231"/>
        <v>842690.75999999989</v>
      </c>
      <c r="R805" s="267"/>
      <c r="S805" s="267"/>
      <c r="T805" s="267"/>
      <c r="U805" s="267"/>
      <c r="V805" s="267"/>
      <c r="W805" s="267"/>
      <c r="X805" s="267"/>
      <c r="Y805" s="267"/>
      <c r="Z805" s="267"/>
      <c r="AA805" s="267"/>
      <c r="AB805" s="267"/>
    </row>
    <row r="806" spans="2:33">
      <c r="B806" s="303" t="s">
        <v>70</v>
      </c>
      <c r="C806" s="265"/>
      <c r="D806" s="265"/>
      <c r="E806" s="399"/>
      <c r="G806" s="399"/>
      <c r="I806" s="322"/>
      <c r="J806" s="330"/>
      <c r="K806" s="267">
        <v>206452.67</v>
      </c>
      <c r="M806" s="267">
        <f t="shared" si="230"/>
        <v>206452.67</v>
      </c>
      <c r="O806" s="322"/>
      <c r="P806" s="330"/>
      <c r="Q806" s="267">
        <f t="shared" si="231"/>
        <v>206452.67</v>
      </c>
      <c r="R806" s="267"/>
      <c r="S806" s="267"/>
      <c r="T806" s="267"/>
      <c r="U806" s="267"/>
      <c r="V806" s="267"/>
      <c r="W806" s="267"/>
      <c r="X806" s="267"/>
      <c r="Y806" s="267"/>
      <c r="Z806" s="267"/>
      <c r="AA806" s="267"/>
      <c r="AB806" s="267"/>
    </row>
    <row r="807" spans="2:33">
      <c r="B807" s="303" t="s">
        <v>71</v>
      </c>
      <c r="C807" s="265"/>
      <c r="D807" s="265"/>
      <c r="E807" s="399"/>
      <c r="G807" s="399"/>
      <c r="I807" s="322"/>
      <c r="J807" s="330"/>
      <c r="K807" s="267">
        <v>4661.6400000000003</v>
      </c>
      <c r="M807" s="267">
        <f t="shared" si="230"/>
        <v>4661.6400000000003</v>
      </c>
      <c r="O807" s="322"/>
      <c r="P807" s="330"/>
      <c r="Q807" s="267">
        <f t="shared" si="231"/>
        <v>4661.6400000000003</v>
      </c>
      <c r="R807" s="267"/>
      <c r="S807" s="267"/>
      <c r="T807" s="267"/>
      <c r="U807" s="267"/>
      <c r="V807" s="267"/>
      <c r="W807" s="267"/>
      <c r="X807" s="267"/>
      <c r="Y807" s="267"/>
      <c r="Z807" s="267"/>
      <c r="AA807" s="267"/>
      <c r="AB807" s="267"/>
      <c r="AF807" s="400"/>
      <c r="AG807" s="401"/>
    </row>
    <row r="808" spans="2:33">
      <c r="B808" s="303" t="s">
        <v>72</v>
      </c>
      <c r="C808" s="265"/>
      <c r="D808" s="265"/>
      <c r="E808" s="399"/>
      <c r="G808" s="399"/>
      <c r="I808" s="322"/>
      <c r="J808" s="330"/>
      <c r="K808" s="267">
        <v>0</v>
      </c>
      <c r="M808" s="267">
        <f t="shared" si="230"/>
        <v>0</v>
      </c>
      <c r="O808" s="322"/>
      <c r="P808" s="330"/>
      <c r="Q808" s="267">
        <f t="shared" si="231"/>
        <v>0</v>
      </c>
      <c r="R808" s="267"/>
      <c r="S808" s="267"/>
      <c r="T808" s="267"/>
      <c r="U808" s="267"/>
      <c r="V808" s="267"/>
      <c r="W808" s="267"/>
      <c r="X808" s="267"/>
      <c r="Y808" s="267"/>
      <c r="Z808" s="267"/>
      <c r="AA808" s="267"/>
      <c r="AB808" s="301"/>
    </row>
    <row r="809" spans="2:33" ht="16.5" thickBot="1">
      <c r="B809" s="303" t="s">
        <v>73</v>
      </c>
      <c r="C809" s="265"/>
      <c r="D809" s="265"/>
      <c r="E809" s="402"/>
      <c r="G809" s="402"/>
      <c r="I809" s="394"/>
      <c r="J809" s="330"/>
      <c r="K809" s="312">
        <f>SUM(K803:K808)</f>
        <v>4531647.7399999993</v>
      </c>
      <c r="M809" s="312">
        <f>SUM(M803:M808)</f>
        <v>4531647.7399999993</v>
      </c>
      <c r="O809" s="394"/>
      <c r="P809" s="330"/>
      <c r="Q809" s="312">
        <f>SUM(Q803:Q808)</f>
        <v>4531647.7399999993</v>
      </c>
      <c r="R809" s="301"/>
      <c r="S809" s="301"/>
      <c r="T809" s="301"/>
      <c r="U809" s="301"/>
      <c r="V809" s="301"/>
      <c r="W809" s="301"/>
      <c r="X809" s="301"/>
      <c r="Y809" s="301"/>
      <c r="Z809" s="301"/>
      <c r="AA809" s="301"/>
    </row>
    <row r="810" spans="2:33" ht="16.5" thickTop="1">
      <c r="B810" s="265"/>
      <c r="C810" s="265"/>
      <c r="D810" s="265"/>
      <c r="I810" s="322"/>
      <c r="J810" s="330"/>
      <c r="K810" s="267"/>
      <c r="M810" s="267"/>
      <c r="O810" s="322"/>
      <c r="P810" s="330"/>
      <c r="Q810" s="267"/>
      <c r="R810" s="267"/>
      <c r="S810" s="267"/>
      <c r="T810" s="267"/>
      <c r="U810" s="267"/>
      <c r="V810" s="267"/>
      <c r="W810" s="267"/>
      <c r="X810" s="267"/>
      <c r="Y810" s="267"/>
      <c r="Z810" s="267"/>
      <c r="AA810" s="267"/>
      <c r="AC810" s="322"/>
      <c r="AD810" s="401"/>
    </row>
    <row r="811" spans="2:33" ht="16.5" thickBot="1">
      <c r="B811" s="311" t="s">
        <v>74</v>
      </c>
      <c r="C811" s="311"/>
      <c r="D811" s="438"/>
      <c r="E811" s="402">
        <f>E32+E55+E74+E86+E170+E146+E158+E234+E246+E281+E330+E338+E354+E370+E422+E516+E525+E531+E548+E561+E686+E729+E737+E741+E758+E791+E800+E809</f>
        <v>23103017861.587563</v>
      </c>
      <c r="G811" s="402">
        <f>G32+G55+G74+G86+G170+G146+G158+G234+G246+G281+G330+G338+G354+G370+G422+G516+G525+G531+G548+G561+G686+G729+G737+G741+G758+G791+G800+G809</f>
        <v>23734642546.710003</v>
      </c>
      <c r="I811" s="311"/>
      <c r="K811" s="312">
        <f>K32+K55+K74+K86+K170+K146+K158+K234+K246+K281+K330+K338+K354+K370+K422+K516+K525+K531+K548+K561+K686+K729+K737+K741+K758+K791+K800+K809</f>
        <v>1731688851.6495602</v>
      </c>
      <c r="M811" s="312">
        <f>M32+M55+M74+M86+M170+M146+M158+M234+M246+M281+M330+M338+M354+M370+M422+M516+M525+M531+M548+M561+M686+M729+M737+M741+M758+M791+M800+M809</f>
        <v>1772847498.4491665</v>
      </c>
      <c r="O811" s="311"/>
      <c r="Q811" s="312">
        <f>Q32+Q55+Q74+Q86+Q170+Q146+Q158+Q234+Q246+Q281+Q330+Q338+Q354+Q370+Q422+Q516+Q525+Q531+Q548+Q561+Q686+Q729+Q737+Q741+Q758+Q791+Q800+Q809</f>
        <v>1852667788.4491665</v>
      </c>
      <c r="R811" s="301"/>
      <c r="S811" s="301"/>
      <c r="T811" s="301"/>
      <c r="U811" s="301"/>
      <c r="V811" s="301"/>
      <c r="W811" s="301"/>
      <c r="X811" s="301"/>
      <c r="Y811" s="301"/>
      <c r="Z811" s="301"/>
      <c r="AA811" s="301"/>
      <c r="AC811" s="322"/>
      <c r="AD811" s="401"/>
    </row>
    <row r="812" spans="2:33" ht="16.5" thickTop="1"/>
  </sheetData>
  <mergeCells count="3">
    <mergeCell ref="I14:M14"/>
    <mergeCell ref="O14:Q14"/>
    <mergeCell ref="S14:U14"/>
  </mergeCells>
  <phoneticPr fontId="39" type="noConversion"/>
  <printOptions horizontalCentered="1"/>
  <pageMargins left="1" right="0.5" top="1" bottom="0.55000000000000004" header="0.25" footer="0.25"/>
  <pageSetup scale="57" fitToHeight="88" orientation="portrait"/>
  <headerFooter alignWithMargins="0">
    <oddFooter>Page &amp;P of &amp;N</oddFooter>
  </headerFooter>
  <ignoredErrors>
    <ignoredError sqref="O42:O48 G44:G47" unlockedFormula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J72"/>
  <sheetViews>
    <sheetView workbookViewId="0">
      <selection activeCell="AF10" sqref="AF10"/>
    </sheetView>
  </sheetViews>
  <sheetFormatPr defaultColWidth="8" defaultRowHeight="12.75"/>
  <cols>
    <col min="1" max="1" width="7" style="163" customWidth="1"/>
    <col min="2" max="2" width="1.625" style="154" customWidth="1"/>
    <col min="3" max="3" width="5.625" style="154" customWidth="1"/>
    <col min="4" max="4" width="2.375" style="154" customWidth="1"/>
    <col min="5" max="5" width="8.375" style="154" customWidth="1"/>
    <col min="6" max="6" width="1.5" style="154" customWidth="1"/>
    <col min="7" max="7" width="8.375" style="154" customWidth="1"/>
    <col min="8" max="8" width="1.625" style="154" customWidth="1"/>
    <col min="9" max="9" width="7.875" style="181" bestFit="1" customWidth="1"/>
    <col min="10" max="10" width="1.5" style="154" customWidth="1"/>
    <col min="11" max="11" width="9" style="181" bestFit="1" customWidth="1"/>
    <col min="12" max="12" width="1.375" style="154" customWidth="1"/>
    <col min="13" max="13" width="8" style="175" bestFit="1" customWidth="1"/>
    <col min="14" max="14" width="1.375" style="154" customWidth="1"/>
    <col min="15" max="15" width="6.125" style="154" bestFit="1" customWidth="1"/>
    <col min="16" max="16" width="2.125" style="154" customWidth="1"/>
    <col min="17" max="17" width="7.875" style="181" bestFit="1" customWidth="1"/>
    <col min="18" max="18" width="0.875" style="154" customWidth="1"/>
    <col min="19" max="19" width="9" style="181" bestFit="1" customWidth="1"/>
    <col min="20" max="20" width="1.875" style="154" customWidth="1"/>
    <col min="21" max="21" width="7.375" style="175" bestFit="1" customWidth="1"/>
    <col min="22" max="22" width="0.625" style="154" customWidth="1"/>
    <col min="23" max="23" width="6.125" style="154" bestFit="1" customWidth="1"/>
    <col min="24" max="24" width="3.125" style="154" customWidth="1"/>
    <col min="25" max="25" width="15.5" style="154" bestFit="1" customWidth="1"/>
    <col min="26" max="26" width="7.625" style="154" bestFit="1" customWidth="1"/>
    <col min="27" max="27" width="9.625" style="154" customWidth="1"/>
    <col min="28" max="28" width="6.125" style="154" bestFit="1" customWidth="1"/>
    <col min="29" max="29" width="6.875" style="154" bestFit="1" customWidth="1"/>
    <col min="30" max="30" width="8.375" style="154" bestFit="1" customWidth="1"/>
    <col min="31" max="31" width="6.625" style="154" bestFit="1" customWidth="1"/>
    <col min="32" max="35" width="8.125" style="154" bestFit="1" customWidth="1"/>
    <col min="36" max="16384" width="8" style="154"/>
  </cols>
  <sheetData>
    <row r="1" spans="1:32" ht="16.5">
      <c r="A1" s="147" t="s">
        <v>372</v>
      </c>
      <c r="B1" s="148"/>
      <c r="C1" s="148"/>
      <c r="D1" s="148"/>
      <c r="E1" s="148"/>
      <c r="F1" s="148"/>
      <c r="G1" s="148"/>
      <c r="H1" s="148"/>
      <c r="I1" s="149"/>
      <c r="J1" s="148"/>
      <c r="K1" s="149"/>
      <c r="L1" s="148"/>
      <c r="M1" s="150"/>
      <c r="N1" s="148"/>
      <c r="O1" s="148"/>
      <c r="P1" s="148"/>
      <c r="Q1" s="149"/>
      <c r="R1" s="148"/>
      <c r="S1" s="149"/>
      <c r="T1" s="148"/>
      <c r="U1" s="150"/>
      <c r="V1" s="148"/>
      <c r="W1" s="151"/>
      <c r="X1" s="152"/>
      <c r="Y1" s="152"/>
      <c r="Z1" s="153"/>
      <c r="AA1" s="97"/>
    </row>
    <row r="2" spans="1:32" ht="16.5">
      <c r="A2" s="147" t="s">
        <v>80</v>
      </c>
      <c r="B2" s="148"/>
      <c r="C2" s="148"/>
      <c r="D2" s="148"/>
      <c r="E2" s="148"/>
      <c r="F2" s="148"/>
      <c r="G2" s="148"/>
      <c r="H2" s="148"/>
      <c r="I2" s="149"/>
      <c r="J2" s="148"/>
      <c r="K2" s="149"/>
      <c r="L2" s="148"/>
      <c r="M2" s="150"/>
      <c r="N2" s="148"/>
      <c r="O2" s="148"/>
      <c r="P2" s="148"/>
      <c r="Q2" s="149"/>
      <c r="R2" s="148"/>
      <c r="S2" s="149"/>
      <c r="T2" s="148"/>
      <c r="U2" s="150"/>
      <c r="V2" s="148"/>
      <c r="W2" s="151"/>
      <c r="X2" s="152"/>
      <c r="Y2" s="152"/>
      <c r="Z2" s="153"/>
      <c r="AA2" s="155"/>
    </row>
    <row r="3" spans="1:32" ht="16.5">
      <c r="A3" s="147" t="s">
        <v>81</v>
      </c>
      <c r="B3" s="148"/>
      <c r="C3" s="148"/>
      <c r="D3" s="148"/>
      <c r="E3" s="148"/>
      <c r="F3" s="148"/>
      <c r="G3" s="148"/>
      <c r="H3" s="148"/>
      <c r="I3" s="149"/>
      <c r="J3" s="148"/>
      <c r="K3" s="149"/>
      <c r="L3" s="148"/>
      <c r="M3" s="150"/>
      <c r="N3" s="148"/>
      <c r="O3" s="148"/>
      <c r="P3" s="148"/>
      <c r="Q3" s="149"/>
      <c r="R3" s="148"/>
      <c r="S3" s="149"/>
      <c r="T3" s="148"/>
      <c r="U3" s="150"/>
      <c r="V3" s="148"/>
      <c r="W3" s="151"/>
      <c r="X3" s="152"/>
      <c r="Y3" s="152"/>
      <c r="Z3" s="153"/>
      <c r="AA3" s="97"/>
    </row>
    <row r="4" spans="1:32" ht="16.5">
      <c r="A4" s="147" t="s">
        <v>82</v>
      </c>
      <c r="B4" s="148"/>
      <c r="C4" s="148"/>
      <c r="D4" s="148"/>
      <c r="E4" s="148"/>
      <c r="F4" s="148"/>
      <c r="G4" s="148"/>
      <c r="H4" s="148"/>
      <c r="I4" s="149"/>
      <c r="J4" s="148"/>
      <c r="K4" s="149"/>
      <c r="L4" s="148"/>
      <c r="M4" s="150"/>
      <c r="N4" s="148"/>
      <c r="O4" s="148"/>
      <c r="P4" s="148"/>
      <c r="Q4" s="149"/>
      <c r="R4" s="148"/>
      <c r="S4" s="149"/>
      <c r="T4" s="148"/>
      <c r="U4" s="150"/>
      <c r="V4" s="148"/>
      <c r="W4" s="151"/>
      <c r="X4" s="152"/>
      <c r="Y4" s="152"/>
      <c r="Z4" s="156"/>
      <c r="AA4" s="98"/>
    </row>
    <row r="5" spans="1:32" ht="17.25">
      <c r="A5" s="157"/>
      <c r="B5" s="151"/>
      <c r="C5" s="151"/>
      <c r="D5" s="151"/>
      <c r="E5" s="151"/>
      <c r="F5" s="151"/>
      <c r="G5" s="151"/>
      <c r="H5" s="151"/>
      <c r="I5" s="158"/>
      <c r="J5" s="159"/>
      <c r="K5" s="160"/>
      <c r="L5" s="159"/>
      <c r="M5" s="159"/>
      <c r="N5" s="161"/>
      <c r="O5" s="161"/>
      <c r="Q5" s="162"/>
      <c r="R5" s="161"/>
      <c r="S5" s="162"/>
      <c r="T5" s="161"/>
      <c r="U5" s="161"/>
      <c r="V5" s="161"/>
      <c r="W5" s="161"/>
    </row>
    <row r="7" spans="1:32" ht="15.75">
      <c r="C7" s="148"/>
      <c r="D7" s="148"/>
      <c r="E7" s="148"/>
      <c r="F7" s="148"/>
      <c r="G7" s="148"/>
      <c r="I7" s="164" t="s">
        <v>83</v>
      </c>
      <c r="J7" s="165"/>
      <c r="K7" s="166"/>
      <c r="L7" s="165"/>
      <c r="M7" s="167"/>
      <c r="N7" s="167"/>
      <c r="O7" s="167"/>
      <c r="P7" s="165"/>
      <c r="Q7" s="166"/>
      <c r="R7" s="165"/>
      <c r="S7" s="166"/>
      <c r="T7" s="165"/>
      <c r="U7" s="167"/>
      <c r="V7" s="167"/>
      <c r="W7" s="167"/>
      <c r="AC7" s="148" t="s">
        <v>84</v>
      </c>
      <c r="AD7" s="148"/>
      <c r="AE7" s="148"/>
      <c r="AF7" s="148"/>
    </row>
    <row r="8" spans="1:32">
      <c r="C8" s="164" t="s">
        <v>85</v>
      </c>
      <c r="D8" s="165"/>
      <c r="E8" s="166"/>
      <c r="F8" s="165"/>
      <c r="G8" s="165"/>
      <c r="I8" s="168" t="s">
        <v>86</v>
      </c>
      <c r="J8" s="169"/>
      <c r="K8" s="170"/>
      <c r="L8" s="171"/>
      <c r="M8" s="172"/>
      <c r="N8" s="171"/>
      <c r="O8" s="171"/>
      <c r="Q8" s="164" t="s">
        <v>87</v>
      </c>
      <c r="R8" s="173"/>
      <c r="S8" s="166"/>
      <c r="T8" s="165"/>
      <c r="U8" s="174"/>
      <c r="V8" s="165"/>
      <c r="W8" s="165"/>
      <c r="Z8" s="175"/>
      <c r="AA8" s="175"/>
      <c r="AC8" s="148" t="s">
        <v>86</v>
      </c>
      <c r="AD8" s="148"/>
      <c r="AE8" s="148" t="s">
        <v>87</v>
      </c>
      <c r="AF8" s="148"/>
    </row>
    <row r="9" spans="1:32">
      <c r="A9" s="176" t="s">
        <v>78</v>
      </c>
      <c r="C9" s="166" t="s">
        <v>76</v>
      </c>
      <c r="E9" s="177" t="s">
        <v>377</v>
      </c>
      <c r="G9" s="178" t="s">
        <v>388</v>
      </c>
      <c r="I9" s="166" t="s">
        <v>76</v>
      </c>
      <c r="K9" s="177" t="s">
        <v>377</v>
      </c>
      <c r="M9" s="179" t="s">
        <v>88</v>
      </c>
      <c r="O9" s="179" t="s">
        <v>89</v>
      </c>
      <c r="Q9" s="166" t="s">
        <v>76</v>
      </c>
      <c r="S9" s="177" t="s">
        <v>377</v>
      </c>
      <c r="U9" s="179" t="s">
        <v>88</v>
      </c>
      <c r="W9" s="179" t="s">
        <v>89</v>
      </c>
      <c r="AC9" s="180" t="s">
        <v>76</v>
      </c>
      <c r="AD9" s="180" t="s">
        <v>377</v>
      </c>
      <c r="AE9" s="180" t="s">
        <v>76</v>
      </c>
      <c r="AF9" s="180" t="s">
        <v>377</v>
      </c>
    </row>
    <row r="10" spans="1:32">
      <c r="A10" s="163">
        <v>100</v>
      </c>
      <c r="C10" s="175">
        <f>$Z$12</f>
        <v>4</v>
      </c>
      <c r="E10" s="175">
        <f>$AA$12</f>
        <v>5</v>
      </c>
      <c r="G10" s="175">
        <f>E10-C10</f>
        <v>1</v>
      </c>
      <c r="I10" s="181">
        <f>ROUND((MIN(400,$A10)*$Z$13+MAX(0,MIN(600,$A10-400))*$Z$14+MAX(0,$A10-1000)*$Z$15)/100*(1+$Z$30)*(1+$Z$18)+$Z$17,2)</f>
        <v>8.7200000000000006</v>
      </c>
      <c r="K10" s="181">
        <f>ROUND((MIN(400,$A10)*$AA$13+MAX(0,MIN(600,$A10-400))*$AA$14+MAX(0,$A10-1000)*$AA$15)/100*(1+$AA$30)*(1+$AA$18)+$AA$17,2)</f>
        <v>6.67</v>
      </c>
      <c r="L10" s="181"/>
      <c r="M10" s="182">
        <f>K10-I10</f>
        <v>-2.0500000000000007</v>
      </c>
      <c r="O10" s="183">
        <f>ROUND(IF(I10=0,0,K10/I10-1),3)</f>
        <v>-0.23499999999999999</v>
      </c>
      <c r="Q10" s="181">
        <f>ROUND($A10*$Z$21/100*(1+$Z$30)*(1+$Z$24)+$Z$23,2)</f>
        <v>9.02</v>
      </c>
      <c r="S10" s="181">
        <f>ROUND($A10*$AA$21/100*(1+$AA$30)*(1+$AA$24)+$AA$23,2)</f>
        <v>9.94</v>
      </c>
      <c r="T10" s="181"/>
      <c r="U10" s="182">
        <f t="shared" ref="U10:U19" si="0">S10-Q10</f>
        <v>0.91999999999999993</v>
      </c>
      <c r="W10" s="183">
        <f t="shared" ref="W10:W19" si="1">ROUND(IF(Q10=0,0,S10/Q10-1),3)</f>
        <v>0.10199999999999999</v>
      </c>
      <c r="Y10" s="184" t="s">
        <v>323</v>
      </c>
      <c r="Z10" s="185" t="s">
        <v>76</v>
      </c>
      <c r="AA10" s="186" t="s">
        <v>377</v>
      </c>
      <c r="AC10" s="187">
        <f t="shared" ref="AC10:AC22" si="2">I10/$A10*100</f>
        <v>8.7200000000000006</v>
      </c>
      <c r="AD10" s="187">
        <f t="shared" ref="AD10:AD22" si="3">K10/A10*100</f>
        <v>6.67</v>
      </c>
      <c r="AE10" s="187">
        <f t="shared" ref="AE10:AE22" si="4">Q10/$A10*100</f>
        <v>9.02</v>
      </c>
      <c r="AF10" s="187">
        <f t="shared" ref="AF10:AF22" si="5">S10/$A10*100</f>
        <v>9.94</v>
      </c>
    </row>
    <row r="11" spans="1:32" ht="13.5">
      <c r="A11" s="163">
        <v>200</v>
      </c>
      <c r="C11" s="175">
        <f t="shared" ref="C11:C31" si="6">$Z$12</f>
        <v>4</v>
      </c>
      <c r="E11" s="175">
        <f t="shared" ref="E11:E31" si="7">$AA$12</f>
        <v>5</v>
      </c>
      <c r="G11" s="175">
        <f t="shared" ref="G11:G31" si="8">E11-C11</f>
        <v>1</v>
      </c>
      <c r="I11" s="181">
        <f>ROUND((MIN(400,$A11)*$Z$13+MAX(0,MIN(600,$A11-400))*$Z$14+MAX(0,$A11-1000)*$Z$15)/100*(1+$Z$30)*(1+$Z$18)+$Z$17,2)</f>
        <v>17.170000000000002</v>
      </c>
      <c r="K11" s="181">
        <f t="shared" ref="K11:K31" si="9">ROUND((MIN(400,$A11)*$AA$13+MAX(0,MIN(600,$A11-400))*$AA$14+MAX(0,$A11-1000)*$AA$15)/100*(1+$AA$30)*(1+$AA$18)+$AA$17,2)</f>
        <v>13.08</v>
      </c>
      <c r="L11" s="181"/>
      <c r="M11" s="182">
        <f t="shared" ref="M11:M16" si="10">K11-I11</f>
        <v>-4.0900000000000016</v>
      </c>
      <c r="O11" s="183">
        <f t="shared" ref="O11:O16" si="11">ROUND(IF(I11=0,0,K11/I11-1),3)</f>
        <v>-0.23799999999999999</v>
      </c>
      <c r="Q11" s="181">
        <f t="shared" ref="Q11:Q31" si="12">ROUND($A11*$Z$21/100*(1+$Z$30)*(1+$Z$24)+$Z$23,2)</f>
        <v>17.78</v>
      </c>
      <c r="S11" s="181">
        <f t="shared" ref="S11:S31" si="13">ROUND($A11*$AA$21/100*(1+$AA$30)*(1+$AA$24)+$AA$23,2)</f>
        <v>19.63</v>
      </c>
      <c r="T11" s="181"/>
      <c r="U11" s="182">
        <f t="shared" si="0"/>
        <v>1.8499999999999979</v>
      </c>
      <c r="W11" s="183">
        <f t="shared" si="1"/>
        <v>0.104</v>
      </c>
      <c r="Y11" s="188" t="s">
        <v>86</v>
      </c>
      <c r="Z11" s="152"/>
      <c r="AA11" s="189"/>
      <c r="AC11" s="187">
        <f t="shared" si="2"/>
        <v>8.5850000000000009</v>
      </c>
      <c r="AD11" s="187">
        <f t="shared" si="3"/>
        <v>6.54</v>
      </c>
      <c r="AE11" s="187">
        <f t="shared" si="4"/>
        <v>8.89</v>
      </c>
      <c r="AF11" s="187">
        <f t="shared" si="5"/>
        <v>9.8149999999999995</v>
      </c>
    </row>
    <row r="12" spans="1:32">
      <c r="A12" s="163">
        <v>300</v>
      </c>
      <c r="C12" s="175">
        <f t="shared" si="6"/>
        <v>4</v>
      </c>
      <c r="E12" s="175">
        <f t="shared" si="7"/>
        <v>5</v>
      </c>
      <c r="G12" s="175">
        <f t="shared" si="8"/>
        <v>1</v>
      </c>
      <c r="I12" s="181">
        <f t="shared" ref="I12:I16" si="14">ROUND((MIN(400,$A12)*$Z$13+MAX(0,MIN(600,$A12-400))*$Z$14+MAX(0,$A12-1000)*$Z$15)/100*(1+$Z$30)*(1+$Z$18)+$Z$17,2)</f>
        <v>25.63</v>
      </c>
      <c r="K12" s="181">
        <f t="shared" si="9"/>
        <v>19.5</v>
      </c>
      <c r="L12" s="181"/>
      <c r="M12" s="182">
        <f t="shared" si="10"/>
        <v>-6.129999999999999</v>
      </c>
      <c r="O12" s="183">
        <f t="shared" si="11"/>
        <v>-0.23899999999999999</v>
      </c>
      <c r="Q12" s="181">
        <f t="shared" si="12"/>
        <v>26.54</v>
      </c>
      <c r="S12" s="181">
        <f t="shared" si="13"/>
        <v>29.31</v>
      </c>
      <c r="T12" s="181"/>
      <c r="U12" s="182">
        <f t="shared" si="0"/>
        <v>2.7699999999999996</v>
      </c>
      <c r="W12" s="183">
        <f t="shared" si="1"/>
        <v>0.104</v>
      </c>
      <c r="Y12" s="190" t="s">
        <v>90</v>
      </c>
      <c r="Z12" s="191">
        <f>'Resid Rate Calc (rev WRG-3)'!I19</f>
        <v>4</v>
      </c>
      <c r="AA12" s="192">
        <f>'Resid Rate Calc (rev WRG-3)'!C5</f>
        <v>5</v>
      </c>
      <c r="AB12" s="193">
        <f>AA12/Z12-1</f>
        <v>0.25</v>
      </c>
      <c r="AC12" s="187">
        <f t="shared" si="2"/>
        <v>8.543333333333333</v>
      </c>
      <c r="AD12" s="187">
        <f t="shared" si="3"/>
        <v>6.5</v>
      </c>
      <c r="AE12" s="187">
        <f t="shared" si="4"/>
        <v>8.8466666666666658</v>
      </c>
      <c r="AF12" s="187">
        <f t="shared" si="5"/>
        <v>9.77</v>
      </c>
    </row>
    <row r="13" spans="1:32">
      <c r="A13" s="163">
        <v>400</v>
      </c>
      <c r="C13" s="175">
        <f t="shared" si="6"/>
        <v>4</v>
      </c>
      <c r="E13" s="175">
        <f t="shared" si="7"/>
        <v>5</v>
      </c>
      <c r="G13" s="175">
        <f t="shared" si="8"/>
        <v>1</v>
      </c>
      <c r="I13" s="181">
        <f t="shared" si="14"/>
        <v>34.08</v>
      </c>
      <c r="K13" s="181">
        <f t="shared" si="9"/>
        <v>25.91</v>
      </c>
      <c r="L13" s="181"/>
      <c r="M13" s="182">
        <f t="shared" si="10"/>
        <v>-8.1699999999999982</v>
      </c>
      <c r="O13" s="183">
        <f t="shared" si="11"/>
        <v>-0.24</v>
      </c>
      <c r="Q13" s="181">
        <f t="shared" si="12"/>
        <v>35.299999999999997</v>
      </c>
      <c r="S13" s="181">
        <f t="shared" si="13"/>
        <v>38.99</v>
      </c>
      <c r="T13" s="181"/>
      <c r="U13" s="182">
        <f t="shared" si="0"/>
        <v>3.6900000000000048</v>
      </c>
      <c r="W13" s="183">
        <f t="shared" si="1"/>
        <v>0.105</v>
      </c>
      <c r="Y13" s="190" t="s">
        <v>91</v>
      </c>
      <c r="Z13" s="194">
        <f>'Resid Rate Calc (rev WRG-3)'!I21</f>
        <v>8.4003999999999994</v>
      </c>
      <c r="AA13" s="195">
        <f>'Resid Rate Calc (rev WRG-3)'!S21</f>
        <v>6.3710215824741336</v>
      </c>
      <c r="AB13" s="193">
        <f t="shared" ref="AB13:AB30" si="15">AA13/Z13-1</f>
        <v>-0.24158116488808457</v>
      </c>
      <c r="AC13" s="187">
        <f t="shared" si="2"/>
        <v>8.52</v>
      </c>
      <c r="AD13" s="187">
        <f t="shared" si="3"/>
        <v>6.4775</v>
      </c>
      <c r="AE13" s="187">
        <f t="shared" si="4"/>
        <v>8.8249999999999993</v>
      </c>
      <c r="AF13" s="187">
        <f t="shared" si="5"/>
        <v>9.7475000000000005</v>
      </c>
    </row>
    <row r="14" spans="1:32">
      <c r="A14" s="163">
        <v>500</v>
      </c>
      <c r="C14" s="175">
        <f t="shared" si="6"/>
        <v>4</v>
      </c>
      <c r="E14" s="175">
        <f t="shared" si="7"/>
        <v>5</v>
      </c>
      <c r="G14" s="175">
        <f t="shared" si="8"/>
        <v>1</v>
      </c>
      <c r="I14" s="181">
        <f t="shared" si="14"/>
        <v>44.5</v>
      </c>
      <c r="K14" s="181">
        <f t="shared" si="9"/>
        <v>37.590000000000003</v>
      </c>
      <c r="L14" s="181"/>
      <c r="M14" s="182">
        <f t="shared" si="10"/>
        <v>-6.9099999999999966</v>
      </c>
      <c r="O14" s="183">
        <f t="shared" si="11"/>
        <v>-0.155</v>
      </c>
      <c r="Q14" s="181">
        <f t="shared" si="12"/>
        <v>44.06</v>
      </c>
      <c r="S14" s="181">
        <f t="shared" si="13"/>
        <v>48.67</v>
      </c>
      <c r="T14" s="181"/>
      <c r="U14" s="182">
        <f t="shared" si="0"/>
        <v>4.6099999999999994</v>
      </c>
      <c r="W14" s="183">
        <f t="shared" si="1"/>
        <v>0.105</v>
      </c>
      <c r="Y14" s="190" t="s">
        <v>92</v>
      </c>
      <c r="Z14" s="194">
        <f>'Resid Rate Calc (rev WRG-3)'!I22</f>
        <v>10.348100000000001</v>
      </c>
      <c r="AA14" s="195">
        <f>'Resid Rate Calc (rev WRG-3)'!C11</f>
        <v>11.6</v>
      </c>
      <c r="AB14" s="193">
        <f t="shared" si="15"/>
        <v>0.12097873039495166</v>
      </c>
      <c r="AC14" s="187">
        <f t="shared" si="2"/>
        <v>8.9</v>
      </c>
      <c r="AD14" s="187">
        <f t="shared" si="3"/>
        <v>7.5180000000000007</v>
      </c>
      <c r="AE14" s="187">
        <f t="shared" si="4"/>
        <v>8.8120000000000012</v>
      </c>
      <c r="AF14" s="187">
        <f t="shared" si="5"/>
        <v>9.7340000000000018</v>
      </c>
    </row>
    <row r="15" spans="1:32">
      <c r="A15" s="163">
        <v>600</v>
      </c>
      <c r="C15" s="175">
        <f t="shared" si="6"/>
        <v>4</v>
      </c>
      <c r="E15" s="175">
        <f t="shared" si="7"/>
        <v>5</v>
      </c>
      <c r="G15" s="175">
        <f t="shared" si="8"/>
        <v>1</v>
      </c>
      <c r="I15" s="181">
        <f t="shared" si="14"/>
        <v>54.91</v>
      </c>
      <c r="K15" s="181">
        <f t="shared" si="9"/>
        <v>49.26</v>
      </c>
      <c r="L15" s="181"/>
      <c r="M15" s="182">
        <f t="shared" si="10"/>
        <v>-5.6499999999999986</v>
      </c>
      <c r="O15" s="183">
        <f t="shared" si="11"/>
        <v>-0.10299999999999999</v>
      </c>
      <c r="Q15" s="181">
        <f t="shared" si="12"/>
        <v>52.82</v>
      </c>
      <c r="S15" s="181">
        <f t="shared" si="13"/>
        <v>58.36</v>
      </c>
      <c r="T15" s="181"/>
      <c r="U15" s="182">
        <f t="shared" si="0"/>
        <v>5.5399999999999991</v>
      </c>
      <c r="W15" s="183">
        <f t="shared" si="1"/>
        <v>0.105</v>
      </c>
      <c r="Y15" s="190" t="s">
        <v>93</v>
      </c>
      <c r="Z15" s="194">
        <f>'Resid Rate Calc (rev WRG-3)'!I23</f>
        <v>12.870900000000001</v>
      </c>
      <c r="AA15" s="195">
        <f>'Resid Rate Calc (rev WRG-3)'!C12</f>
        <v>14.5</v>
      </c>
      <c r="AB15" s="193">
        <f t="shared" si="15"/>
        <v>0.1265723453682337</v>
      </c>
      <c r="AC15" s="187">
        <f t="shared" si="2"/>
        <v>9.1516666666666655</v>
      </c>
      <c r="AD15" s="187">
        <f t="shared" si="3"/>
        <v>8.2099999999999991</v>
      </c>
      <c r="AE15" s="187">
        <f t="shared" si="4"/>
        <v>8.8033333333333346</v>
      </c>
      <c r="AF15" s="187">
        <f t="shared" si="5"/>
        <v>9.7266666666666666</v>
      </c>
    </row>
    <row r="16" spans="1:32">
      <c r="A16" s="163">
        <v>700</v>
      </c>
      <c r="C16" s="175">
        <f t="shared" si="6"/>
        <v>4</v>
      </c>
      <c r="E16" s="175">
        <f t="shared" si="7"/>
        <v>5</v>
      </c>
      <c r="G16" s="175">
        <f t="shared" si="8"/>
        <v>1</v>
      </c>
      <c r="I16" s="181">
        <f t="shared" si="14"/>
        <v>65.33</v>
      </c>
      <c r="K16" s="181">
        <f t="shared" si="9"/>
        <v>60.94</v>
      </c>
      <c r="L16" s="181"/>
      <c r="M16" s="182">
        <f t="shared" si="10"/>
        <v>-4.3900000000000006</v>
      </c>
      <c r="O16" s="183">
        <f t="shared" si="11"/>
        <v>-6.7000000000000004E-2</v>
      </c>
      <c r="Q16" s="181">
        <f t="shared" si="12"/>
        <v>61.58</v>
      </c>
      <c r="S16" s="181">
        <f t="shared" si="13"/>
        <v>68.040000000000006</v>
      </c>
      <c r="T16" s="181"/>
      <c r="U16" s="182">
        <f t="shared" si="0"/>
        <v>6.460000000000008</v>
      </c>
      <c r="W16" s="183">
        <f t="shared" si="1"/>
        <v>0.105</v>
      </c>
      <c r="Y16" s="190" t="s">
        <v>94</v>
      </c>
      <c r="Z16" s="191">
        <f>'Resid Rate Calc (rev WRG-3)'!I25</f>
        <v>7</v>
      </c>
      <c r="AA16" s="192">
        <f>'Resid Rate Calc (rev WRG-3)'!C7</f>
        <v>7</v>
      </c>
      <c r="AB16" s="193">
        <f t="shared" si="15"/>
        <v>0</v>
      </c>
      <c r="AC16" s="187">
        <f t="shared" si="2"/>
        <v>9.3328571428571436</v>
      </c>
      <c r="AD16" s="187">
        <f t="shared" si="3"/>
        <v>8.7057142857142864</v>
      </c>
      <c r="AE16" s="187">
        <f t="shared" si="4"/>
        <v>8.7971428571428572</v>
      </c>
      <c r="AF16" s="187">
        <f t="shared" si="5"/>
        <v>9.7200000000000006</v>
      </c>
    </row>
    <row r="17" spans="1:32">
      <c r="A17" s="163">
        <f>Z38</f>
        <v>718.981593491534</v>
      </c>
      <c r="B17" s="154" t="s">
        <v>95</v>
      </c>
      <c r="C17" s="175">
        <f t="shared" si="6"/>
        <v>4</v>
      </c>
      <c r="E17" s="175">
        <f t="shared" si="7"/>
        <v>5</v>
      </c>
      <c r="G17" s="175">
        <f t="shared" si="8"/>
        <v>1</v>
      </c>
      <c r="L17" s="181"/>
      <c r="M17" s="182"/>
      <c r="O17" s="183"/>
      <c r="Q17" s="181">
        <f t="shared" si="12"/>
        <v>63.24</v>
      </c>
      <c r="S17" s="181">
        <f t="shared" si="13"/>
        <v>69.88</v>
      </c>
      <c r="T17" s="181"/>
      <c r="U17" s="182">
        <f t="shared" si="0"/>
        <v>6.6399999999999935</v>
      </c>
      <c r="W17" s="183">
        <f t="shared" si="1"/>
        <v>0.105</v>
      </c>
      <c r="Y17" s="190" t="s">
        <v>96</v>
      </c>
      <c r="Z17" s="191">
        <v>0.26</v>
      </c>
      <c r="AA17" s="192">
        <f>Z17</f>
        <v>0.26</v>
      </c>
      <c r="AB17" s="193">
        <f t="shared" si="15"/>
        <v>0</v>
      </c>
      <c r="AC17" s="187">
        <f t="shared" si="2"/>
        <v>0</v>
      </c>
      <c r="AD17" s="187">
        <f t="shared" si="3"/>
        <v>0</v>
      </c>
      <c r="AE17" s="187">
        <f t="shared" si="4"/>
        <v>8.7957745472860509</v>
      </c>
      <c r="AF17" s="187">
        <f t="shared" si="5"/>
        <v>9.719303057627279</v>
      </c>
    </row>
    <row r="18" spans="1:32">
      <c r="A18" s="163">
        <f>Z39</f>
        <v>766.5341247909605</v>
      </c>
      <c r="B18" s="154" t="s">
        <v>97</v>
      </c>
      <c r="C18" s="175">
        <f t="shared" si="6"/>
        <v>4</v>
      </c>
      <c r="E18" s="175">
        <f t="shared" si="7"/>
        <v>5</v>
      </c>
      <c r="G18" s="175">
        <f t="shared" si="8"/>
        <v>1</v>
      </c>
      <c r="I18" s="181">
        <f t="shared" ref="I18:I31" si="16">ROUND((MIN(400,$A18)*$Z$13+MAX(0,MIN(600,$A18-400))*$Z$14+MAX(0,$A18-1000)*$Z$15)/100*(1+$Z$30)*(1+$Z$18)+$Z$17,2)</f>
        <v>72.260000000000005</v>
      </c>
      <c r="K18" s="181">
        <f t="shared" si="9"/>
        <v>68.7</v>
      </c>
      <c r="L18" s="181"/>
      <c r="M18" s="182">
        <f t="shared" ref="M18:M31" si="17">K18-I18</f>
        <v>-3.5600000000000023</v>
      </c>
      <c r="O18" s="183">
        <f t="shared" ref="O18:O31" si="18">ROUND(IF(I18=0,0,K18/I18-1),3)</f>
        <v>-4.9000000000000002E-2</v>
      </c>
      <c r="Q18" s="181">
        <f t="shared" si="12"/>
        <v>67.41</v>
      </c>
      <c r="S18" s="181">
        <f t="shared" si="13"/>
        <v>74.48</v>
      </c>
      <c r="T18" s="181"/>
      <c r="U18" s="182">
        <f t="shared" si="0"/>
        <v>7.0700000000000074</v>
      </c>
      <c r="W18" s="183">
        <f t="shared" si="1"/>
        <v>0.105</v>
      </c>
      <c r="Y18" s="190" t="s">
        <v>98</v>
      </c>
      <c r="Z18" s="196">
        <v>3.3799999999999997E-2</v>
      </c>
      <c r="AA18" s="197">
        <v>3.3799999999999997E-2</v>
      </c>
      <c r="AB18" s="193">
        <f t="shared" si="15"/>
        <v>0</v>
      </c>
      <c r="AC18" s="187">
        <f t="shared" si="2"/>
        <v>9.4268471113019068</v>
      </c>
      <c r="AD18" s="187">
        <f t="shared" si="3"/>
        <v>8.9624189945535679</v>
      </c>
      <c r="AE18" s="187">
        <f t="shared" si="4"/>
        <v>8.794129030900379</v>
      </c>
      <c r="AF18" s="187">
        <f t="shared" si="5"/>
        <v>9.7164623975887885</v>
      </c>
    </row>
    <row r="19" spans="1:32" ht="13.5">
      <c r="A19" s="163">
        <v>800</v>
      </c>
      <c r="C19" s="175">
        <f t="shared" si="6"/>
        <v>4</v>
      </c>
      <c r="E19" s="175">
        <f t="shared" si="7"/>
        <v>5</v>
      </c>
      <c r="G19" s="175">
        <f t="shared" si="8"/>
        <v>1</v>
      </c>
      <c r="I19" s="181">
        <f t="shared" si="16"/>
        <v>75.739999999999995</v>
      </c>
      <c r="K19" s="181">
        <f t="shared" si="9"/>
        <v>72.61</v>
      </c>
      <c r="L19" s="181"/>
      <c r="M19" s="182">
        <f t="shared" si="17"/>
        <v>-3.1299999999999955</v>
      </c>
      <c r="O19" s="183">
        <f t="shared" si="18"/>
        <v>-4.1000000000000002E-2</v>
      </c>
      <c r="Q19" s="181">
        <f t="shared" si="12"/>
        <v>70.34</v>
      </c>
      <c r="S19" s="181">
        <f t="shared" si="13"/>
        <v>77.72</v>
      </c>
      <c r="T19" s="181"/>
      <c r="U19" s="182">
        <f t="shared" si="0"/>
        <v>7.3799999999999955</v>
      </c>
      <c r="W19" s="183">
        <f t="shared" si="1"/>
        <v>0.105</v>
      </c>
      <c r="Y19" s="188" t="s">
        <v>87</v>
      </c>
      <c r="Z19" s="152"/>
      <c r="AA19" s="189"/>
      <c r="AB19" s="193"/>
      <c r="AC19" s="187">
        <f t="shared" si="2"/>
        <v>9.4674999999999994</v>
      </c>
      <c r="AD19" s="187">
        <f t="shared" si="3"/>
        <v>9.0762499999999999</v>
      </c>
      <c r="AE19" s="187">
        <f t="shared" si="4"/>
        <v>8.7925000000000004</v>
      </c>
      <c r="AF19" s="187">
        <f t="shared" si="5"/>
        <v>9.7149999999999999</v>
      </c>
    </row>
    <row r="20" spans="1:32">
      <c r="A20" s="163">
        <f>Z37</f>
        <v>833.10766861015759</v>
      </c>
      <c r="B20" s="154" t="s">
        <v>99</v>
      </c>
      <c r="C20" s="175">
        <f t="shared" si="6"/>
        <v>4</v>
      </c>
      <c r="E20" s="175">
        <f t="shared" si="7"/>
        <v>5</v>
      </c>
      <c r="G20" s="175">
        <f t="shared" si="8"/>
        <v>1</v>
      </c>
      <c r="I20" s="181">
        <f t="shared" si="16"/>
        <v>79.19</v>
      </c>
      <c r="K20" s="181">
        <f t="shared" si="9"/>
        <v>76.48</v>
      </c>
      <c r="L20" s="181"/>
      <c r="M20" s="182">
        <f t="shared" si="17"/>
        <v>-2.7099999999999937</v>
      </c>
      <c r="O20" s="183">
        <f t="shared" si="18"/>
        <v>-3.4000000000000002E-2</v>
      </c>
      <c r="T20" s="181"/>
      <c r="U20" s="182"/>
      <c r="W20" s="183"/>
      <c r="Y20" s="190" t="s">
        <v>90</v>
      </c>
      <c r="Z20" s="198">
        <f>Z12</f>
        <v>4</v>
      </c>
      <c r="AA20" s="199">
        <f>'Resid Rate Calc (rev WRG-3)'!C5</f>
        <v>5</v>
      </c>
      <c r="AB20" s="193">
        <f t="shared" si="15"/>
        <v>0.25</v>
      </c>
      <c r="AC20" s="187">
        <f t="shared" si="2"/>
        <v>9.5053740331198391</v>
      </c>
      <c r="AD20" s="187">
        <f t="shared" si="3"/>
        <v>9.1800859458644446</v>
      </c>
      <c r="AE20" s="187">
        <f t="shared" si="4"/>
        <v>0</v>
      </c>
      <c r="AF20" s="187">
        <f t="shared" si="5"/>
        <v>0</v>
      </c>
    </row>
    <row r="21" spans="1:32">
      <c r="A21" s="163">
        <v>900</v>
      </c>
      <c r="C21" s="175">
        <f t="shared" si="6"/>
        <v>4</v>
      </c>
      <c r="E21" s="175">
        <f t="shared" si="7"/>
        <v>5</v>
      </c>
      <c r="G21" s="175">
        <f t="shared" si="8"/>
        <v>1</v>
      </c>
      <c r="I21" s="181">
        <f t="shared" si="16"/>
        <v>86.16</v>
      </c>
      <c r="K21" s="181">
        <f t="shared" si="9"/>
        <v>84.29</v>
      </c>
      <c r="L21" s="181"/>
      <c r="M21" s="182">
        <f t="shared" si="17"/>
        <v>-1.8699999999999903</v>
      </c>
      <c r="O21" s="183">
        <f t="shared" si="18"/>
        <v>-2.1999999999999999E-2</v>
      </c>
      <c r="Q21" s="181">
        <f t="shared" si="12"/>
        <v>79.099999999999994</v>
      </c>
      <c r="S21" s="181">
        <f t="shared" si="13"/>
        <v>87.4</v>
      </c>
      <c r="T21" s="181"/>
      <c r="U21" s="182">
        <f t="shared" ref="U21:U31" si="19">S21-Q21</f>
        <v>8.3000000000000114</v>
      </c>
      <c r="W21" s="183">
        <f t="shared" ref="W21:W31" si="20">ROUND(IF(Q21=0,0,S21/Q21-1),3)</f>
        <v>0.105</v>
      </c>
      <c r="Y21" s="190" t="s">
        <v>78</v>
      </c>
      <c r="Z21" s="200">
        <f>'Resid Rate Calc (rev WRG-3)'!I24</f>
        <v>8.7035</v>
      </c>
      <c r="AA21" s="201">
        <f>'Resid Rate Calc (rev WRG-3)'!C13</f>
        <v>9.6199999999999992</v>
      </c>
      <c r="AB21" s="193">
        <f t="shared" si="15"/>
        <v>0.10530246452576542</v>
      </c>
      <c r="AC21" s="187">
        <f t="shared" si="2"/>
        <v>9.5733333333333324</v>
      </c>
      <c r="AD21" s="187">
        <f t="shared" si="3"/>
        <v>9.3655555555555559</v>
      </c>
      <c r="AE21" s="187">
        <f t="shared" si="4"/>
        <v>8.7888888888888879</v>
      </c>
      <c r="AF21" s="187">
        <f t="shared" si="5"/>
        <v>9.7111111111111121</v>
      </c>
    </row>
    <row r="22" spans="1:32">
      <c r="A22" s="163">
        <v>1000</v>
      </c>
      <c r="C22" s="175">
        <f t="shared" si="6"/>
        <v>4</v>
      </c>
      <c r="E22" s="175">
        <f t="shared" si="7"/>
        <v>5</v>
      </c>
      <c r="G22" s="175">
        <f t="shared" si="8"/>
        <v>1</v>
      </c>
      <c r="I22" s="181">
        <f t="shared" si="16"/>
        <v>96.57</v>
      </c>
      <c r="K22" s="181">
        <f t="shared" si="9"/>
        <v>95.96</v>
      </c>
      <c r="L22" s="181"/>
      <c r="M22" s="182">
        <f t="shared" si="17"/>
        <v>-0.60999999999999943</v>
      </c>
      <c r="O22" s="183">
        <f t="shared" si="18"/>
        <v>-6.0000000000000001E-3</v>
      </c>
      <c r="Q22" s="181">
        <f t="shared" si="12"/>
        <v>87.86</v>
      </c>
      <c r="S22" s="181">
        <f t="shared" si="13"/>
        <v>97.09</v>
      </c>
      <c r="T22" s="181"/>
      <c r="U22" s="182">
        <f t="shared" si="19"/>
        <v>9.230000000000004</v>
      </c>
      <c r="W22" s="183">
        <f t="shared" si="20"/>
        <v>0.105</v>
      </c>
      <c r="Y22" s="190" t="s">
        <v>94</v>
      </c>
      <c r="Z22" s="198">
        <f>Z16</f>
        <v>7</v>
      </c>
      <c r="AA22" s="199">
        <f>AA16</f>
        <v>7</v>
      </c>
      <c r="AB22" s="193">
        <f t="shared" si="15"/>
        <v>0</v>
      </c>
      <c r="AC22" s="187">
        <f t="shared" si="2"/>
        <v>9.6569999999999983</v>
      </c>
      <c r="AD22" s="187">
        <f t="shared" si="3"/>
        <v>9.5959999999999983</v>
      </c>
      <c r="AE22" s="187">
        <f t="shared" si="4"/>
        <v>8.7859999999999996</v>
      </c>
      <c r="AF22" s="187">
        <f t="shared" si="5"/>
        <v>9.7090000000000014</v>
      </c>
    </row>
    <row r="23" spans="1:32">
      <c r="A23" s="163">
        <v>1100</v>
      </c>
      <c r="C23" s="175">
        <f t="shared" si="6"/>
        <v>4</v>
      </c>
      <c r="E23" s="175">
        <f t="shared" si="7"/>
        <v>5</v>
      </c>
      <c r="G23" s="175">
        <f t="shared" si="8"/>
        <v>1</v>
      </c>
      <c r="I23" s="181">
        <f t="shared" si="16"/>
        <v>109.53</v>
      </c>
      <c r="K23" s="181">
        <f t="shared" si="9"/>
        <v>110.56</v>
      </c>
      <c r="L23" s="181"/>
      <c r="M23" s="182">
        <f t="shared" si="17"/>
        <v>1.0300000000000011</v>
      </c>
      <c r="O23" s="183">
        <f t="shared" si="18"/>
        <v>8.9999999999999993E-3</v>
      </c>
      <c r="Q23" s="181">
        <f t="shared" si="12"/>
        <v>96.62</v>
      </c>
      <c r="S23" s="181">
        <f t="shared" si="13"/>
        <v>106.77</v>
      </c>
      <c r="T23" s="181"/>
      <c r="U23" s="182">
        <f t="shared" si="19"/>
        <v>10.149999999999991</v>
      </c>
      <c r="W23" s="183">
        <f t="shared" si="20"/>
        <v>0.105</v>
      </c>
      <c r="Y23" s="190" t="s">
        <v>96</v>
      </c>
      <c r="Z23" s="198">
        <f>Z17</f>
        <v>0.26</v>
      </c>
      <c r="AA23" s="199">
        <f>Z23</f>
        <v>0.26</v>
      </c>
      <c r="AB23" s="193">
        <f t="shared" si="15"/>
        <v>0</v>
      </c>
      <c r="AC23" s="187"/>
      <c r="AD23" s="187"/>
      <c r="AE23" s="187"/>
      <c r="AF23" s="187"/>
    </row>
    <row r="24" spans="1:32">
      <c r="A24" s="163">
        <v>1200</v>
      </c>
      <c r="C24" s="175">
        <f t="shared" si="6"/>
        <v>4</v>
      </c>
      <c r="E24" s="175">
        <f t="shared" si="7"/>
        <v>5</v>
      </c>
      <c r="G24" s="175">
        <f t="shared" si="8"/>
        <v>1</v>
      </c>
      <c r="I24" s="181">
        <f t="shared" si="16"/>
        <v>122.48</v>
      </c>
      <c r="K24" s="181">
        <f t="shared" si="9"/>
        <v>125.15</v>
      </c>
      <c r="L24" s="181"/>
      <c r="M24" s="182">
        <f t="shared" si="17"/>
        <v>2.6700000000000017</v>
      </c>
      <c r="O24" s="183">
        <f t="shared" si="18"/>
        <v>2.1999999999999999E-2</v>
      </c>
      <c r="Q24" s="181">
        <f t="shared" si="12"/>
        <v>105.38</v>
      </c>
      <c r="S24" s="181">
        <f t="shared" si="13"/>
        <v>116.45</v>
      </c>
      <c r="T24" s="181"/>
      <c r="U24" s="182">
        <f t="shared" si="19"/>
        <v>11.070000000000007</v>
      </c>
      <c r="W24" s="183">
        <f t="shared" si="20"/>
        <v>0.105</v>
      </c>
      <c r="Y24" s="202" t="s">
        <v>98</v>
      </c>
      <c r="Z24" s="203">
        <f>Z18</f>
        <v>3.3799999999999997E-2</v>
      </c>
      <c r="AA24" s="204">
        <f>Z24</f>
        <v>3.3799999999999997E-2</v>
      </c>
      <c r="AB24" s="193">
        <f t="shared" si="15"/>
        <v>0</v>
      </c>
      <c r="AC24" s="187">
        <f>I23/$A23*100</f>
        <v>9.9572727272727271</v>
      </c>
      <c r="AD24" s="187">
        <f>K23/A23*100</f>
        <v>10.050909090909091</v>
      </c>
      <c r="AE24" s="187">
        <f>Q23/$A23*100</f>
        <v>8.783636363636365</v>
      </c>
      <c r="AF24" s="187">
        <f>S23/$A23*100</f>
        <v>9.706363636363637</v>
      </c>
    </row>
    <row r="25" spans="1:32">
      <c r="A25" s="163">
        <v>1300</v>
      </c>
      <c r="C25" s="175">
        <f t="shared" si="6"/>
        <v>4</v>
      </c>
      <c r="E25" s="175">
        <f t="shared" si="7"/>
        <v>5</v>
      </c>
      <c r="G25" s="175">
        <f t="shared" si="8"/>
        <v>1</v>
      </c>
      <c r="I25" s="181">
        <f t="shared" si="16"/>
        <v>135.44</v>
      </c>
      <c r="K25" s="181">
        <f t="shared" si="9"/>
        <v>139.75</v>
      </c>
      <c r="L25" s="181"/>
      <c r="M25" s="182">
        <f t="shared" si="17"/>
        <v>4.3100000000000023</v>
      </c>
      <c r="O25" s="183">
        <f t="shared" si="18"/>
        <v>3.2000000000000001E-2</v>
      </c>
      <c r="Q25" s="181">
        <f t="shared" si="12"/>
        <v>114.14</v>
      </c>
      <c r="S25" s="181">
        <f t="shared" si="13"/>
        <v>126.13</v>
      </c>
      <c r="T25" s="181"/>
      <c r="U25" s="182">
        <f t="shared" si="19"/>
        <v>11.989999999999995</v>
      </c>
      <c r="W25" s="183">
        <f t="shared" si="20"/>
        <v>0.105</v>
      </c>
      <c r="AB25" s="193"/>
      <c r="AC25" s="187">
        <f>I24/$A24*100</f>
        <v>10.206666666666667</v>
      </c>
      <c r="AD25" s="187">
        <f>K24/A24*100</f>
        <v>10.429166666666667</v>
      </c>
      <c r="AE25" s="187">
        <f>Q24/$A24*100</f>
        <v>8.7816666666666663</v>
      </c>
      <c r="AF25" s="187">
        <f>S24/$A24*100</f>
        <v>9.7041666666666657</v>
      </c>
    </row>
    <row r="26" spans="1:32">
      <c r="A26" s="163">
        <v>1400</v>
      </c>
      <c r="C26" s="175">
        <f t="shared" si="6"/>
        <v>4</v>
      </c>
      <c r="E26" s="175">
        <f t="shared" si="7"/>
        <v>5</v>
      </c>
      <c r="G26" s="175">
        <f t="shared" si="8"/>
        <v>1</v>
      </c>
      <c r="I26" s="181">
        <f t="shared" si="16"/>
        <v>148.38999999999999</v>
      </c>
      <c r="K26" s="181">
        <f t="shared" si="9"/>
        <v>154.34</v>
      </c>
      <c r="L26" s="181"/>
      <c r="M26" s="182">
        <f t="shared" si="17"/>
        <v>5.9500000000000171</v>
      </c>
      <c r="O26" s="183">
        <f t="shared" si="18"/>
        <v>0.04</v>
      </c>
      <c r="Q26" s="181">
        <f t="shared" si="12"/>
        <v>122.9</v>
      </c>
      <c r="S26" s="181">
        <f t="shared" si="13"/>
        <v>135.82</v>
      </c>
      <c r="T26" s="181"/>
      <c r="U26" s="182">
        <f t="shared" si="19"/>
        <v>12.919999999999987</v>
      </c>
      <c r="W26" s="183">
        <f t="shared" si="20"/>
        <v>0.105</v>
      </c>
      <c r="Y26" s="154" t="s">
        <v>100</v>
      </c>
      <c r="Z26" s="152"/>
      <c r="AA26" s="205">
        <f>'Exhibit RMP(WRG-1)'!Q15</f>
        <v>4.695013524768351E-2</v>
      </c>
      <c r="AB26" s="193"/>
      <c r="AC26" s="187">
        <f>I25/$A25*100</f>
        <v>10.418461538461539</v>
      </c>
      <c r="AD26" s="187">
        <f>K25/A25*100</f>
        <v>10.75</v>
      </c>
      <c r="AE26" s="187">
        <f>Q25/$A25*100</f>
        <v>8.7800000000000011</v>
      </c>
      <c r="AF26" s="187">
        <f>S25/$A25*100</f>
        <v>9.7023076923076914</v>
      </c>
    </row>
    <row r="27" spans="1:32">
      <c r="A27" s="163">
        <v>1500</v>
      </c>
      <c r="C27" s="175">
        <f t="shared" si="6"/>
        <v>4</v>
      </c>
      <c r="E27" s="175">
        <f t="shared" si="7"/>
        <v>5</v>
      </c>
      <c r="G27" s="175">
        <f t="shared" si="8"/>
        <v>1</v>
      </c>
      <c r="I27" s="181">
        <f t="shared" si="16"/>
        <v>161.35</v>
      </c>
      <c r="K27" s="181">
        <f t="shared" si="9"/>
        <v>168.93</v>
      </c>
      <c r="L27" s="181"/>
      <c r="M27" s="182">
        <f t="shared" si="17"/>
        <v>7.5800000000000125</v>
      </c>
      <c r="O27" s="183">
        <f t="shared" si="18"/>
        <v>4.7E-2</v>
      </c>
      <c r="Q27" s="181">
        <f t="shared" si="12"/>
        <v>131.66</v>
      </c>
      <c r="S27" s="181">
        <f t="shared" si="13"/>
        <v>145.5</v>
      </c>
      <c r="T27" s="181"/>
      <c r="U27" s="182">
        <f t="shared" si="19"/>
        <v>13.840000000000003</v>
      </c>
      <c r="W27" s="183">
        <f t="shared" si="20"/>
        <v>0.105</v>
      </c>
      <c r="Y27" s="154" t="s">
        <v>101</v>
      </c>
      <c r="Z27" s="205"/>
      <c r="AB27" s="193"/>
      <c r="AC27" s="187">
        <f>I26/$A26*100</f>
        <v>10.599285714285713</v>
      </c>
      <c r="AD27" s="187">
        <f>K26/A26*100</f>
        <v>11.024285714285714</v>
      </c>
      <c r="AE27" s="187">
        <f>Q26/$A26*100</f>
        <v>8.7785714285714285</v>
      </c>
      <c r="AF27" s="187">
        <f>S26/$A26*100</f>
        <v>9.7014285714285702</v>
      </c>
    </row>
    <row r="28" spans="1:32">
      <c r="A28" s="163">
        <v>2000</v>
      </c>
      <c r="C28" s="175">
        <f t="shared" si="6"/>
        <v>4</v>
      </c>
      <c r="E28" s="175">
        <f t="shared" si="7"/>
        <v>5</v>
      </c>
      <c r="G28" s="175">
        <f t="shared" si="8"/>
        <v>1</v>
      </c>
      <c r="I28" s="181">
        <f t="shared" si="16"/>
        <v>226.12</v>
      </c>
      <c r="K28" s="181">
        <f t="shared" si="9"/>
        <v>241.91</v>
      </c>
      <c r="L28" s="181"/>
      <c r="M28" s="182">
        <f t="shared" si="17"/>
        <v>15.789999999999992</v>
      </c>
      <c r="O28" s="183">
        <f t="shared" si="18"/>
        <v>7.0000000000000007E-2</v>
      </c>
      <c r="Q28" s="181">
        <f t="shared" si="12"/>
        <v>175.46</v>
      </c>
      <c r="S28" s="181">
        <f t="shared" si="13"/>
        <v>193.91</v>
      </c>
      <c r="T28" s="181"/>
      <c r="U28" s="182">
        <f t="shared" si="19"/>
        <v>18.449999999999989</v>
      </c>
      <c r="W28" s="183">
        <f t="shared" si="20"/>
        <v>0.105</v>
      </c>
      <c r="Y28" s="154" t="s">
        <v>102</v>
      </c>
      <c r="Z28" s="205"/>
      <c r="AA28" s="206"/>
      <c r="AB28" s="193"/>
      <c r="AC28" s="187">
        <f>I27/$A27*100</f>
        <v>10.756666666666666</v>
      </c>
      <c r="AD28" s="187">
        <f>K27/A27*100</f>
        <v>11.262</v>
      </c>
      <c r="AE28" s="187">
        <f>Q27/$A27*100</f>
        <v>8.777333333333333</v>
      </c>
      <c r="AF28" s="187">
        <f>S27/$A27*100</f>
        <v>9.7000000000000011</v>
      </c>
    </row>
    <row r="29" spans="1:32">
      <c r="A29" s="163">
        <v>3000</v>
      </c>
      <c r="C29" s="175">
        <f t="shared" si="6"/>
        <v>4</v>
      </c>
      <c r="E29" s="175">
        <f t="shared" si="7"/>
        <v>5</v>
      </c>
      <c r="G29" s="175">
        <f t="shared" si="8"/>
        <v>1</v>
      </c>
      <c r="I29" s="181">
        <f t="shared" si="16"/>
        <v>355.67</v>
      </c>
      <c r="K29" s="181">
        <f t="shared" si="9"/>
        <v>387.85</v>
      </c>
      <c r="L29" s="181"/>
      <c r="M29" s="182">
        <f t="shared" si="17"/>
        <v>32.180000000000007</v>
      </c>
      <c r="O29" s="183">
        <f t="shared" si="18"/>
        <v>0.09</v>
      </c>
      <c r="Q29" s="181">
        <f t="shared" si="12"/>
        <v>263.06</v>
      </c>
      <c r="S29" s="181">
        <f t="shared" si="13"/>
        <v>290.74</v>
      </c>
      <c r="T29" s="181"/>
      <c r="U29" s="182">
        <f t="shared" si="19"/>
        <v>27.680000000000007</v>
      </c>
      <c r="W29" s="183">
        <f t="shared" si="20"/>
        <v>0.105</v>
      </c>
      <c r="Y29" s="154" t="s">
        <v>103</v>
      </c>
      <c r="Z29" s="205">
        <v>-2.64E-2</v>
      </c>
      <c r="AA29" s="206">
        <f>Z29</f>
        <v>-2.64E-2</v>
      </c>
      <c r="AB29" s="193">
        <f t="shared" si="15"/>
        <v>0</v>
      </c>
      <c r="AC29" s="187"/>
      <c r="AD29" s="187"/>
      <c r="AE29" s="187"/>
      <c r="AF29" s="187"/>
    </row>
    <row r="30" spans="1:32">
      <c r="A30" s="163">
        <v>4000</v>
      </c>
      <c r="C30" s="175">
        <f t="shared" si="6"/>
        <v>4</v>
      </c>
      <c r="E30" s="175">
        <f t="shared" si="7"/>
        <v>5</v>
      </c>
      <c r="G30" s="175">
        <f t="shared" si="8"/>
        <v>1</v>
      </c>
      <c r="I30" s="181">
        <f t="shared" si="16"/>
        <v>485.21</v>
      </c>
      <c r="K30" s="181">
        <f t="shared" si="9"/>
        <v>533.79</v>
      </c>
      <c r="L30" s="181"/>
      <c r="M30" s="182">
        <f t="shared" si="17"/>
        <v>48.579999999999984</v>
      </c>
      <c r="O30" s="183">
        <f t="shared" si="18"/>
        <v>0.1</v>
      </c>
      <c r="Q30" s="181">
        <f t="shared" si="12"/>
        <v>350.67</v>
      </c>
      <c r="S30" s="181">
        <f t="shared" si="13"/>
        <v>387.56</v>
      </c>
      <c r="T30" s="181"/>
      <c r="U30" s="182">
        <f t="shared" si="19"/>
        <v>36.889999999999986</v>
      </c>
      <c r="W30" s="183">
        <f t="shared" si="20"/>
        <v>0.105</v>
      </c>
      <c r="Y30" s="152" t="s">
        <v>10</v>
      </c>
      <c r="Z30" s="205">
        <f>SUM(Z27:Z29)</f>
        <v>-2.64E-2</v>
      </c>
      <c r="AA30" s="206">
        <f>SUM(AA27:AA29)</f>
        <v>-2.64E-2</v>
      </c>
      <c r="AB30" s="193">
        <f t="shared" si="15"/>
        <v>0</v>
      </c>
      <c r="AC30" s="187">
        <f>I28/$A28*100</f>
        <v>11.306000000000001</v>
      </c>
      <c r="AD30" s="187">
        <f>K28/A28*100</f>
        <v>12.095499999999999</v>
      </c>
      <c r="AE30" s="187">
        <f>Q28/$A28*100</f>
        <v>8.7729999999999997</v>
      </c>
      <c r="AF30" s="187">
        <f>S28/$A28*100</f>
        <v>9.6954999999999991</v>
      </c>
    </row>
    <row r="31" spans="1:32">
      <c r="A31" s="163">
        <v>5000</v>
      </c>
      <c r="C31" s="175">
        <f t="shared" si="6"/>
        <v>4</v>
      </c>
      <c r="E31" s="175">
        <f t="shared" si="7"/>
        <v>5</v>
      </c>
      <c r="G31" s="175">
        <f t="shared" si="8"/>
        <v>1</v>
      </c>
      <c r="I31" s="181">
        <f t="shared" si="16"/>
        <v>614.76</v>
      </c>
      <c r="K31" s="181">
        <f t="shared" si="9"/>
        <v>679.74</v>
      </c>
      <c r="L31" s="181"/>
      <c r="M31" s="182">
        <f t="shared" si="17"/>
        <v>64.980000000000018</v>
      </c>
      <c r="O31" s="183">
        <f t="shared" si="18"/>
        <v>0.106</v>
      </c>
      <c r="Q31" s="181">
        <f t="shared" si="12"/>
        <v>438.27</v>
      </c>
      <c r="S31" s="181">
        <f t="shared" si="13"/>
        <v>484.39</v>
      </c>
      <c r="T31" s="181"/>
      <c r="U31" s="182">
        <f t="shared" si="19"/>
        <v>46.120000000000005</v>
      </c>
      <c r="W31" s="183">
        <f t="shared" si="20"/>
        <v>0.105</v>
      </c>
      <c r="AC31" s="187">
        <f>I29/$A29*100</f>
        <v>11.855666666666668</v>
      </c>
      <c r="AD31" s="187">
        <f>K29/A29*100</f>
        <v>12.928333333333333</v>
      </c>
      <c r="AE31" s="187">
        <f>Q29/$A29*100</f>
        <v>8.7686666666666664</v>
      </c>
      <c r="AF31" s="187">
        <f>S29/$A29*100</f>
        <v>9.6913333333333345</v>
      </c>
    </row>
    <row r="32" spans="1:32">
      <c r="X32" s="207"/>
      <c r="AC32" s="187">
        <f>I30/$A30*100</f>
        <v>12.13025</v>
      </c>
      <c r="AD32" s="187">
        <f>K30/A30*100</f>
        <v>13.344749999999999</v>
      </c>
      <c r="AE32" s="187">
        <f>Q30/$A30*100</f>
        <v>8.7667500000000018</v>
      </c>
      <c r="AF32" s="187">
        <f>S30/$A30*100</f>
        <v>9.6890000000000001</v>
      </c>
    </row>
    <row r="33" spans="1:36">
      <c r="Y33" s="208"/>
      <c r="Z33" s="152"/>
      <c r="AA33" s="152"/>
      <c r="AC33" s="187">
        <f>I31/$A31*100</f>
        <v>12.295199999999999</v>
      </c>
      <c r="AD33" s="187">
        <f>K31/A31*100</f>
        <v>13.594800000000001</v>
      </c>
      <c r="AE33" s="187">
        <f>Q31/$A31*100</f>
        <v>8.7653999999999996</v>
      </c>
      <c r="AF33" s="187">
        <f>S31/$A31*100</f>
        <v>9.6877999999999993</v>
      </c>
    </row>
    <row r="34" spans="1:36" ht="15.75">
      <c r="A34" s="209" t="s">
        <v>11</v>
      </c>
      <c r="Y34" s="152"/>
      <c r="Z34" s="152"/>
      <c r="AA34" s="152"/>
      <c r="AC34" s="210"/>
      <c r="AD34" s="158"/>
    </row>
    <row r="35" spans="1:36">
      <c r="A35" s="163" t="s">
        <v>12</v>
      </c>
      <c r="Z35" s="211" t="s">
        <v>77</v>
      </c>
      <c r="AA35" s="212"/>
      <c r="AB35" s="212"/>
      <c r="AC35" s="213" t="s">
        <v>388</v>
      </c>
      <c r="AD35" s="214"/>
      <c r="AE35" s="212" t="s">
        <v>76</v>
      </c>
      <c r="AF35" s="215" t="s">
        <v>13</v>
      </c>
    </row>
    <row r="36" spans="1:36" ht="15.75">
      <c r="A36" s="209"/>
      <c r="Y36" s="152"/>
      <c r="Z36" s="216" t="s">
        <v>78</v>
      </c>
      <c r="AA36" s="216" t="s">
        <v>76</v>
      </c>
      <c r="AB36" s="216" t="s">
        <v>377</v>
      </c>
      <c r="AC36" s="217" t="s">
        <v>79</v>
      </c>
      <c r="AD36" s="218" t="s">
        <v>417</v>
      </c>
      <c r="AE36" s="219" t="s">
        <v>390</v>
      </c>
      <c r="AF36" s="219" t="s">
        <v>390</v>
      </c>
    </row>
    <row r="37" spans="1:36">
      <c r="Y37" s="220" t="s">
        <v>86</v>
      </c>
      <c r="Z37" s="221">
        <f>'Resid Rate Calc (rev WRG-3)'!AD28</f>
        <v>833.10766861015759</v>
      </c>
      <c r="AA37" s="222">
        <f>I20</f>
        <v>79.19</v>
      </c>
      <c r="AB37" s="222">
        <f>K20</f>
        <v>76.48</v>
      </c>
      <c r="AC37" s="222">
        <f>AB37-AA37</f>
        <v>-2.7099999999999937</v>
      </c>
      <c r="AD37" s="223">
        <f>AB37/AA37-1</f>
        <v>-3.4221492612703575E-2</v>
      </c>
      <c r="AE37" s="220">
        <f t="shared" ref="AE37:AF39" si="21">ROUND(AA37/$Z37*100,2)</f>
        <v>9.51</v>
      </c>
      <c r="AF37" s="224">
        <f t="shared" si="21"/>
        <v>9.18</v>
      </c>
    </row>
    <row r="38" spans="1:36">
      <c r="Y38" s="224" t="s">
        <v>87</v>
      </c>
      <c r="Z38" s="221">
        <f>'Resid Rate Calc (rev WRG-3)'!AD29</f>
        <v>718.981593491534</v>
      </c>
      <c r="AA38" s="222">
        <f>Q17</f>
        <v>63.24</v>
      </c>
      <c r="AB38" s="222">
        <f>S17</f>
        <v>69.88</v>
      </c>
      <c r="AC38" s="222">
        <f>AB38-AA38</f>
        <v>6.6399999999999935</v>
      </c>
      <c r="AD38" s="225">
        <f>AB38/AA38-1</f>
        <v>0.10499683744465527</v>
      </c>
      <c r="AE38" s="226">
        <f t="shared" si="21"/>
        <v>8.8000000000000007</v>
      </c>
      <c r="AF38" s="224">
        <f t="shared" si="21"/>
        <v>9.7200000000000006</v>
      </c>
    </row>
    <row r="39" spans="1:36">
      <c r="Y39" s="227" t="s">
        <v>14</v>
      </c>
      <c r="Z39" s="228">
        <f>'Resid Rate Calc (rev WRG-3)'!AD27</f>
        <v>766.5341247909605</v>
      </c>
      <c r="AA39" s="229">
        <f>(I18*5+Q18*7)/12</f>
        <v>69.430833333333339</v>
      </c>
      <c r="AB39" s="229">
        <f>(K18*5+S18*7)/12</f>
        <v>72.071666666666673</v>
      </c>
      <c r="AC39" s="229">
        <f>AB39-AA39</f>
        <v>2.6408333333333331</v>
      </c>
      <c r="AD39" s="230">
        <f>AB39/AA39-1</f>
        <v>3.8035454949169933E-2</v>
      </c>
      <c r="AE39" s="227">
        <f t="shared" si="21"/>
        <v>9.06</v>
      </c>
      <c r="AF39" s="227">
        <f t="shared" si="21"/>
        <v>9.4</v>
      </c>
    </row>
    <row r="40" spans="1:36">
      <c r="P40" s="183"/>
      <c r="Q40" s="183"/>
      <c r="R40" s="183"/>
      <c r="S40" s="183"/>
      <c r="T40" s="183"/>
      <c r="U40" s="183"/>
      <c r="AA40" s="181"/>
    </row>
    <row r="41" spans="1:36">
      <c r="P41" s="183"/>
      <c r="Q41" s="183"/>
      <c r="R41" s="183"/>
      <c r="S41" s="183"/>
      <c r="T41" s="183"/>
      <c r="U41" s="183"/>
      <c r="Z41" s="213" t="s">
        <v>15</v>
      </c>
      <c r="AA41" s="214"/>
      <c r="AB41" s="213" t="s">
        <v>16</v>
      </c>
      <c r="AC41" s="214"/>
      <c r="AD41" s="152"/>
      <c r="AE41" s="152"/>
      <c r="AF41" s="152"/>
      <c r="AG41" s="152"/>
      <c r="AH41" s="152"/>
      <c r="AI41" s="152"/>
      <c r="AJ41" s="152"/>
    </row>
    <row r="42" spans="1:36">
      <c r="P42" s="183"/>
      <c r="Q42" s="183"/>
      <c r="R42" s="183"/>
      <c r="S42" s="183"/>
      <c r="T42" s="183"/>
      <c r="U42" s="183"/>
      <c r="Y42" s="154" t="s">
        <v>17</v>
      </c>
      <c r="Z42" s="231" t="s">
        <v>18</v>
      </c>
      <c r="AA42" s="232" t="s">
        <v>19</v>
      </c>
      <c r="AB42" s="231" t="s">
        <v>18</v>
      </c>
      <c r="AC42" s="232" t="s">
        <v>19</v>
      </c>
    </row>
    <row r="43" spans="1:36">
      <c r="P43" s="183"/>
      <c r="Q43" s="183"/>
      <c r="R43" s="183"/>
      <c r="S43" s="183"/>
      <c r="T43" s="183"/>
      <c r="U43" s="183"/>
      <c r="Y43" s="233" t="s">
        <v>90</v>
      </c>
      <c r="Z43" s="234">
        <f>'Resid Rate Calc (rev WRG-3)'!I19</f>
        <v>4</v>
      </c>
      <c r="AA43" s="235">
        <f>'Resid Rate Calc (rev WRG-3)'!O19</f>
        <v>10</v>
      </c>
      <c r="AB43" s="234">
        <f>'Resid Rate Calc (rev WRG-3)'!I20</f>
        <v>8</v>
      </c>
      <c r="AC43" s="235">
        <f>'Resid Rate Calc (rev WRG-3)'!O20</f>
        <v>20</v>
      </c>
    </row>
    <row r="44" spans="1:36">
      <c r="P44" s="183"/>
      <c r="Q44" s="183"/>
      <c r="R44" s="183"/>
      <c r="S44" s="183"/>
      <c r="T44" s="183"/>
      <c r="U44" s="183"/>
      <c r="Y44" s="190" t="s">
        <v>20</v>
      </c>
      <c r="Z44" s="236">
        <f>'Resid Rate Calc (rev WRG-3)'!I25</f>
        <v>7</v>
      </c>
      <c r="AA44" s="237">
        <f>'Resid Rate Calc (rev WRG-3)'!O25</f>
        <v>10</v>
      </c>
      <c r="AB44" s="236">
        <f>'Resid Rate Calc (rev WRG-3)'!I26</f>
        <v>14</v>
      </c>
      <c r="AC44" s="237">
        <f>'Resid Rate Calc (rev WRG-3)'!O26</f>
        <v>20</v>
      </c>
    </row>
    <row r="45" spans="1:36">
      <c r="P45" s="183"/>
      <c r="Q45" s="183"/>
      <c r="R45" s="183"/>
      <c r="S45" s="183"/>
      <c r="T45" s="183"/>
      <c r="U45" s="183"/>
      <c r="Y45" s="190" t="s">
        <v>21</v>
      </c>
      <c r="Z45" s="238">
        <f>ROUND((Z$44-Z$43)/($Z13/100),0)</f>
        <v>36</v>
      </c>
      <c r="AA45" s="238">
        <f>ROUND((AA$44-AA$43)/($AA13/100),0)</f>
        <v>0</v>
      </c>
      <c r="AB45" s="238">
        <f>ROUND((AB$44-AB$43)/($Z13/100),0)</f>
        <v>71</v>
      </c>
      <c r="AC45" s="239">
        <f>ROUND((AC$44-AC$43)/($AA13/100),0)</f>
        <v>0</v>
      </c>
    </row>
    <row r="46" spans="1:36">
      <c r="P46" s="183"/>
      <c r="Q46" s="183"/>
      <c r="R46" s="183"/>
      <c r="S46" s="183"/>
      <c r="T46" s="183"/>
      <c r="U46" s="183"/>
      <c r="Y46" s="202" t="s">
        <v>22</v>
      </c>
      <c r="Z46" s="240">
        <f>ROUND((Z$44-Z$43)/($Z21/100),0)</f>
        <v>34</v>
      </c>
      <c r="AA46" s="240">
        <f>ROUND((AA$44-AA$43)/($AA21/100),0)</f>
        <v>0</v>
      </c>
      <c r="AB46" s="240">
        <f>ROUND((AB$44-AB$43)/($Z21/100),0)</f>
        <v>69</v>
      </c>
      <c r="AC46" s="241">
        <f>ROUND((AC$44-AC$43)/($AA21/100),0)</f>
        <v>0</v>
      </c>
    </row>
    <row r="47" spans="1:36">
      <c r="P47" s="183"/>
      <c r="Q47" s="183"/>
      <c r="R47" s="183"/>
      <c r="S47" s="183"/>
      <c r="T47" s="183"/>
      <c r="U47" s="183"/>
    </row>
    <row r="48" spans="1:36">
      <c r="G48" s="152"/>
      <c r="H48" s="152"/>
      <c r="I48" s="158"/>
      <c r="J48" s="152"/>
      <c r="K48" s="158"/>
      <c r="L48" s="152"/>
      <c r="M48" s="198"/>
      <c r="N48" s="152"/>
      <c r="O48" s="152"/>
      <c r="P48" s="244"/>
      <c r="Q48" s="244"/>
      <c r="R48" s="183"/>
      <c r="S48" s="183"/>
      <c r="T48" s="183"/>
      <c r="U48" s="183"/>
    </row>
    <row r="49" spans="1:21">
      <c r="G49" s="152"/>
      <c r="H49" s="152"/>
      <c r="I49" s="160"/>
      <c r="J49" s="245"/>
      <c r="K49" s="242"/>
      <c r="L49" s="151"/>
      <c r="M49" s="246"/>
      <c r="N49" s="151"/>
      <c r="O49" s="151"/>
      <c r="P49" s="244"/>
      <c r="Q49" s="244"/>
      <c r="R49" s="183"/>
      <c r="S49" s="183"/>
      <c r="T49" s="183"/>
      <c r="U49" s="183"/>
    </row>
    <row r="50" spans="1:21">
      <c r="G50" s="152"/>
      <c r="H50" s="152"/>
      <c r="I50" s="242"/>
      <c r="J50" s="151"/>
      <c r="K50" s="242"/>
      <c r="L50" s="152"/>
      <c r="M50" s="242"/>
      <c r="N50" s="151"/>
      <c r="O50" s="242"/>
      <c r="P50" s="244"/>
      <c r="Q50" s="244"/>
      <c r="R50" s="183"/>
      <c r="S50" s="183"/>
      <c r="T50" s="183"/>
      <c r="U50" s="183"/>
    </row>
    <row r="51" spans="1:21">
      <c r="G51" s="247"/>
      <c r="H51" s="152"/>
      <c r="I51" s="242"/>
      <c r="J51" s="152"/>
      <c r="K51" s="248"/>
      <c r="L51" s="152"/>
      <c r="M51" s="249"/>
      <c r="N51" s="152"/>
      <c r="O51" s="243"/>
      <c r="P51" s="244"/>
      <c r="Q51" s="244"/>
      <c r="R51" s="183"/>
      <c r="S51" s="183"/>
      <c r="T51" s="183"/>
      <c r="U51" s="183"/>
    </row>
    <row r="52" spans="1:21">
      <c r="A52" s="154"/>
      <c r="G52" s="250"/>
      <c r="H52" s="152"/>
      <c r="I52" s="158"/>
      <c r="J52" s="152"/>
      <c r="K52" s="158"/>
      <c r="L52" s="158"/>
      <c r="M52" s="251"/>
      <c r="N52" s="152"/>
      <c r="O52" s="244"/>
      <c r="P52" s="244"/>
      <c r="Q52" s="244"/>
      <c r="R52" s="183"/>
      <c r="S52" s="183"/>
      <c r="T52" s="183"/>
      <c r="U52" s="183"/>
    </row>
    <row r="53" spans="1:21">
      <c r="A53" s="154"/>
      <c r="G53" s="250"/>
      <c r="H53" s="152"/>
      <c r="I53" s="158"/>
      <c r="J53" s="152"/>
      <c r="K53" s="158"/>
      <c r="L53" s="158"/>
      <c r="M53" s="251"/>
      <c r="N53" s="152"/>
      <c r="O53" s="244"/>
      <c r="P53" s="244"/>
      <c r="Q53" s="244"/>
      <c r="R53" s="183"/>
      <c r="S53" s="183"/>
      <c r="T53" s="183"/>
      <c r="U53" s="183"/>
    </row>
    <row r="54" spans="1:21">
      <c r="A54" s="154"/>
      <c r="G54" s="250"/>
      <c r="H54" s="152"/>
      <c r="I54" s="158"/>
      <c r="J54" s="152"/>
      <c r="K54" s="158"/>
      <c r="L54" s="158"/>
      <c r="M54" s="251"/>
      <c r="N54" s="152"/>
      <c r="O54" s="244"/>
      <c r="P54" s="244"/>
      <c r="Q54" s="244"/>
      <c r="R54" s="183"/>
      <c r="S54" s="183"/>
      <c r="T54" s="183"/>
      <c r="U54" s="183"/>
    </row>
    <row r="55" spans="1:21">
      <c r="A55" s="154"/>
      <c r="G55" s="250"/>
      <c r="H55" s="152"/>
      <c r="I55" s="158"/>
      <c r="J55" s="152"/>
      <c r="K55" s="158"/>
      <c r="L55" s="158"/>
      <c r="M55" s="251"/>
      <c r="N55" s="152"/>
      <c r="O55" s="244"/>
      <c r="P55" s="244"/>
      <c r="Q55" s="244"/>
      <c r="R55" s="183"/>
      <c r="S55" s="183"/>
      <c r="T55" s="183"/>
      <c r="U55" s="183"/>
    </row>
    <row r="56" spans="1:21">
      <c r="A56" s="154"/>
      <c r="G56" s="250"/>
      <c r="H56" s="152"/>
      <c r="I56" s="158"/>
      <c r="J56" s="152"/>
      <c r="K56" s="158"/>
      <c r="L56" s="158"/>
      <c r="M56" s="251"/>
      <c r="N56" s="152"/>
      <c r="O56" s="244"/>
      <c r="P56" s="244"/>
      <c r="Q56" s="244"/>
      <c r="R56" s="183"/>
      <c r="S56" s="183"/>
      <c r="T56" s="183"/>
      <c r="U56" s="183"/>
    </row>
    <row r="57" spans="1:21">
      <c r="A57" s="154"/>
      <c r="G57" s="250"/>
      <c r="H57" s="152"/>
      <c r="I57" s="158"/>
      <c r="J57" s="152"/>
      <c r="K57" s="158"/>
      <c r="L57" s="158"/>
      <c r="M57" s="251"/>
      <c r="N57" s="152"/>
      <c r="O57" s="244"/>
      <c r="P57" s="244"/>
      <c r="Q57" s="244"/>
      <c r="R57" s="183"/>
      <c r="S57" s="183"/>
      <c r="T57" s="183"/>
      <c r="U57" s="183"/>
    </row>
    <row r="58" spans="1:21">
      <c r="A58" s="154"/>
      <c r="G58" s="250"/>
      <c r="H58" s="152"/>
      <c r="I58" s="158"/>
      <c r="J58" s="152"/>
      <c r="K58" s="158"/>
      <c r="L58" s="158"/>
      <c r="M58" s="251"/>
      <c r="N58" s="152"/>
      <c r="O58" s="244"/>
      <c r="P58" s="244"/>
      <c r="Q58" s="244"/>
      <c r="R58" s="183"/>
      <c r="S58" s="183"/>
      <c r="T58" s="183"/>
      <c r="U58" s="183"/>
    </row>
    <row r="59" spans="1:21">
      <c r="A59" s="154"/>
      <c r="G59" s="250"/>
      <c r="H59" s="152"/>
      <c r="I59" s="158"/>
      <c r="J59" s="152"/>
      <c r="K59" s="158"/>
      <c r="L59" s="158"/>
      <c r="M59" s="251"/>
      <c r="N59" s="152"/>
      <c r="O59" s="244"/>
      <c r="P59" s="244"/>
      <c r="Q59" s="244"/>
      <c r="R59" s="183"/>
      <c r="S59" s="183"/>
      <c r="T59" s="183"/>
      <c r="U59" s="183"/>
    </row>
    <row r="60" spans="1:21">
      <c r="A60" s="154"/>
      <c r="G60" s="250"/>
      <c r="H60" s="152"/>
      <c r="I60" s="158"/>
      <c r="J60" s="152"/>
      <c r="K60" s="158"/>
      <c r="L60" s="158"/>
      <c r="M60" s="251"/>
      <c r="N60" s="152"/>
      <c r="O60" s="244"/>
      <c r="P60" s="244"/>
      <c r="Q60" s="244"/>
      <c r="R60" s="183"/>
      <c r="S60" s="183"/>
      <c r="T60" s="183"/>
      <c r="U60" s="183"/>
    </row>
    <row r="61" spans="1:21">
      <c r="A61" s="154"/>
      <c r="G61" s="250"/>
      <c r="H61" s="152"/>
      <c r="I61" s="158"/>
      <c r="J61" s="152"/>
      <c r="K61" s="158"/>
      <c r="L61" s="158"/>
      <c r="M61" s="251"/>
      <c r="N61" s="152"/>
      <c r="O61" s="244"/>
      <c r="P61" s="152"/>
      <c r="Q61" s="158"/>
    </row>
    <row r="62" spans="1:21">
      <c r="A62" s="154"/>
      <c r="G62" s="250"/>
      <c r="H62" s="152"/>
      <c r="I62" s="158"/>
      <c r="J62" s="152"/>
      <c r="K62" s="158"/>
      <c r="L62" s="158"/>
      <c r="M62" s="251"/>
      <c r="N62" s="152"/>
      <c r="O62" s="244"/>
      <c r="P62" s="152"/>
      <c r="Q62" s="158"/>
    </row>
    <row r="63" spans="1:21">
      <c r="A63" s="154"/>
      <c r="G63" s="250"/>
      <c r="H63" s="152"/>
      <c r="I63" s="158"/>
      <c r="J63" s="152"/>
      <c r="K63" s="158"/>
      <c r="L63" s="158"/>
      <c r="M63" s="251"/>
      <c r="N63" s="152"/>
      <c r="O63" s="244"/>
      <c r="P63" s="152"/>
      <c r="Q63" s="158"/>
    </row>
    <row r="64" spans="1:21">
      <c r="A64" s="154"/>
      <c r="G64" s="250"/>
      <c r="H64" s="152"/>
      <c r="I64" s="158"/>
      <c r="J64" s="152"/>
      <c r="K64" s="158"/>
      <c r="L64" s="158"/>
      <c r="M64" s="251"/>
      <c r="N64" s="152"/>
      <c r="O64" s="244"/>
      <c r="P64" s="152"/>
      <c r="Q64" s="158"/>
    </row>
    <row r="65" spans="1:17">
      <c r="A65" s="154"/>
      <c r="G65" s="250"/>
      <c r="H65" s="152"/>
      <c r="I65" s="158"/>
      <c r="J65" s="152"/>
      <c r="K65" s="158"/>
      <c r="L65" s="158"/>
      <c r="M65" s="251"/>
      <c r="N65" s="152"/>
      <c r="O65" s="244"/>
      <c r="P65" s="152"/>
      <c r="Q65" s="158"/>
    </row>
    <row r="66" spans="1:17">
      <c r="A66" s="154"/>
      <c r="G66" s="250"/>
      <c r="H66" s="152"/>
      <c r="I66" s="158"/>
      <c r="J66" s="152"/>
      <c r="K66" s="158"/>
      <c r="L66" s="158"/>
      <c r="M66" s="251"/>
      <c r="N66" s="152"/>
      <c r="O66" s="244"/>
      <c r="P66" s="152"/>
      <c r="Q66" s="158"/>
    </row>
    <row r="67" spans="1:17">
      <c r="A67" s="154"/>
      <c r="G67" s="250"/>
      <c r="H67" s="152"/>
      <c r="I67" s="158"/>
      <c r="J67" s="152"/>
      <c r="K67" s="158"/>
      <c r="L67" s="158"/>
      <c r="M67" s="251"/>
      <c r="N67" s="152"/>
      <c r="O67" s="244"/>
      <c r="P67" s="152"/>
      <c r="Q67" s="158"/>
    </row>
    <row r="68" spans="1:17">
      <c r="A68" s="154"/>
      <c r="G68" s="250"/>
      <c r="H68" s="152"/>
      <c r="I68" s="158"/>
      <c r="J68" s="152"/>
      <c r="K68" s="158"/>
      <c r="L68" s="158"/>
      <c r="M68" s="251"/>
      <c r="N68" s="152"/>
      <c r="O68" s="244"/>
      <c r="P68" s="152"/>
      <c r="Q68" s="158"/>
    </row>
    <row r="69" spans="1:17">
      <c r="A69" s="154"/>
      <c r="G69" s="250"/>
      <c r="H69" s="152"/>
      <c r="I69" s="158"/>
      <c r="J69" s="152"/>
      <c r="K69" s="158"/>
      <c r="L69" s="158"/>
      <c r="M69" s="251"/>
      <c r="N69" s="152"/>
      <c r="O69" s="244"/>
      <c r="P69" s="152"/>
      <c r="Q69" s="158"/>
    </row>
    <row r="70" spans="1:17">
      <c r="A70" s="154"/>
      <c r="G70" s="250"/>
      <c r="H70" s="152"/>
      <c r="I70" s="158"/>
      <c r="J70" s="152"/>
      <c r="K70" s="158"/>
      <c r="L70" s="158"/>
      <c r="M70" s="251"/>
      <c r="N70" s="152"/>
      <c r="O70" s="244"/>
      <c r="P70" s="152"/>
      <c r="Q70" s="158"/>
    </row>
    <row r="71" spans="1:17">
      <c r="A71" s="154"/>
      <c r="G71" s="250"/>
      <c r="H71" s="152"/>
      <c r="I71" s="158"/>
      <c r="J71" s="152"/>
      <c r="K71" s="158"/>
      <c r="L71" s="158"/>
      <c r="M71" s="251"/>
      <c r="N71" s="152"/>
      <c r="O71" s="244"/>
      <c r="P71" s="152"/>
      <c r="Q71" s="158"/>
    </row>
    <row r="72" spans="1:17">
      <c r="A72" s="154"/>
      <c r="G72" s="250"/>
      <c r="H72" s="152"/>
      <c r="I72" s="158"/>
      <c r="J72" s="152"/>
      <c r="K72" s="158"/>
      <c r="L72" s="158"/>
      <c r="M72" s="251"/>
      <c r="N72" s="152"/>
      <c r="O72" s="244"/>
      <c r="P72" s="152"/>
      <c r="Q72" s="158"/>
    </row>
  </sheetData>
  <printOptions horizontalCentered="1"/>
  <pageMargins left="0.75" right="0.75" top="1" bottom="0.5" header="0.5" footer="0.2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AJ72"/>
  <sheetViews>
    <sheetView topLeftCell="Q37" workbookViewId="0">
      <selection activeCell="U48" sqref="U48"/>
    </sheetView>
  </sheetViews>
  <sheetFormatPr defaultColWidth="8" defaultRowHeight="12.75"/>
  <cols>
    <col min="1" max="1" width="7" style="163" customWidth="1"/>
    <col min="2" max="2" width="1.625" style="154" customWidth="1"/>
    <col min="3" max="3" width="5.625" style="154" customWidth="1"/>
    <col min="4" max="4" width="2.375" style="154" customWidth="1"/>
    <col min="5" max="5" width="8.375" style="154" customWidth="1"/>
    <col min="6" max="6" width="1.5" style="154" customWidth="1"/>
    <col min="7" max="7" width="8.375" style="154" customWidth="1"/>
    <col min="8" max="8" width="1.625" style="154" customWidth="1"/>
    <col min="9" max="9" width="7.875" style="181" bestFit="1" customWidth="1"/>
    <col min="10" max="10" width="1.5" style="154" customWidth="1"/>
    <col min="11" max="11" width="9" style="181" bestFit="1" customWidth="1"/>
    <col min="12" max="12" width="1.375" style="154" customWidth="1"/>
    <col min="13" max="13" width="8" style="175" bestFit="1" customWidth="1"/>
    <col min="14" max="14" width="1.375" style="154" customWidth="1"/>
    <col min="15" max="15" width="6.125" style="154" bestFit="1" customWidth="1"/>
    <col min="16" max="16" width="2.125" style="154" customWidth="1"/>
    <col min="17" max="17" width="7.875" style="181" bestFit="1" customWidth="1"/>
    <col min="18" max="18" width="0.875" style="154" customWidth="1"/>
    <col min="19" max="19" width="9" style="181" bestFit="1" customWidth="1"/>
    <col min="20" max="20" width="1.875" style="154" customWidth="1"/>
    <col min="21" max="21" width="7.375" style="175" bestFit="1" customWidth="1"/>
    <col min="22" max="22" width="0.625" style="154" customWidth="1"/>
    <col min="23" max="23" width="6.125" style="154" bestFit="1" customWidth="1"/>
    <col min="24" max="24" width="3.125" style="154" customWidth="1"/>
    <col min="25" max="25" width="15.5" style="154" bestFit="1" customWidth="1"/>
    <col min="26" max="26" width="7.625" style="154" bestFit="1" customWidth="1"/>
    <col min="27" max="27" width="9.625" style="154" customWidth="1"/>
    <col min="28" max="28" width="6.125" style="154" bestFit="1" customWidth="1"/>
    <col min="29" max="29" width="6.875" style="154" bestFit="1" customWidth="1"/>
    <col min="30" max="30" width="8.375" style="154" bestFit="1" customWidth="1"/>
    <col min="31" max="31" width="6.625" style="154" bestFit="1" customWidth="1"/>
    <col min="32" max="35" width="8.125" style="154" bestFit="1" customWidth="1"/>
    <col min="36" max="16384" width="8" style="154"/>
  </cols>
  <sheetData>
    <row r="1" spans="1:32" ht="16.5">
      <c r="A1" s="147" t="s">
        <v>372</v>
      </c>
      <c r="B1" s="148"/>
      <c r="C1" s="148"/>
      <c r="D1" s="148"/>
      <c r="E1" s="148"/>
      <c r="F1" s="148"/>
      <c r="G1" s="148"/>
      <c r="H1" s="148"/>
      <c r="I1" s="149"/>
      <c r="J1" s="148"/>
      <c r="K1" s="149"/>
      <c r="L1" s="148"/>
      <c r="M1" s="150"/>
      <c r="N1" s="148"/>
      <c r="O1" s="148"/>
      <c r="P1" s="148"/>
      <c r="Q1" s="149"/>
      <c r="R1" s="148"/>
      <c r="S1" s="149"/>
      <c r="T1" s="148"/>
      <c r="U1" s="150"/>
      <c r="V1" s="148"/>
      <c r="W1" s="151"/>
      <c r="X1" s="152"/>
      <c r="Y1" s="152"/>
      <c r="Z1" s="153"/>
      <c r="AA1" s="97"/>
    </row>
    <row r="2" spans="1:32" ht="16.5">
      <c r="A2" s="147" t="s">
        <v>80</v>
      </c>
      <c r="B2" s="148"/>
      <c r="C2" s="148"/>
      <c r="D2" s="148"/>
      <c r="E2" s="148"/>
      <c r="F2" s="148"/>
      <c r="G2" s="148"/>
      <c r="H2" s="148"/>
      <c r="I2" s="149"/>
      <c r="J2" s="148"/>
      <c r="K2" s="149"/>
      <c r="L2" s="148"/>
      <c r="M2" s="150"/>
      <c r="N2" s="148"/>
      <c r="O2" s="148"/>
      <c r="P2" s="148"/>
      <c r="Q2" s="149"/>
      <c r="R2" s="148"/>
      <c r="S2" s="149"/>
      <c r="T2" s="148"/>
      <c r="U2" s="150"/>
      <c r="V2" s="148"/>
      <c r="W2" s="151"/>
      <c r="X2" s="152"/>
      <c r="Y2" s="152"/>
      <c r="Z2" s="153"/>
      <c r="AA2" s="155"/>
    </row>
    <row r="3" spans="1:32" ht="16.5">
      <c r="A3" s="147" t="s">
        <v>81</v>
      </c>
      <c r="B3" s="148"/>
      <c r="C3" s="148"/>
      <c r="D3" s="148"/>
      <c r="E3" s="148"/>
      <c r="F3" s="148"/>
      <c r="G3" s="148"/>
      <c r="H3" s="148"/>
      <c r="I3" s="149"/>
      <c r="J3" s="148"/>
      <c r="K3" s="149"/>
      <c r="L3" s="148"/>
      <c r="M3" s="150"/>
      <c r="N3" s="148"/>
      <c r="O3" s="148"/>
      <c r="P3" s="148"/>
      <c r="Q3" s="149"/>
      <c r="R3" s="148"/>
      <c r="S3" s="149"/>
      <c r="T3" s="148"/>
      <c r="U3" s="150"/>
      <c r="V3" s="148"/>
      <c r="W3" s="151"/>
      <c r="X3" s="152"/>
      <c r="Y3" s="152"/>
      <c r="Z3" s="153"/>
      <c r="AA3" s="97"/>
    </row>
    <row r="4" spans="1:32" ht="16.5">
      <c r="A4" s="147" t="s">
        <v>82</v>
      </c>
      <c r="B4" s="148"/>
      <c r="C4" s="148"/>
      <c r="D4" s="148"/>
      <c r="E4" s="148"/>
      <c r="F4" s="148"/>
      <c r="G4" s="148"/>
      <c r="H4" s="148"/>
      <c r="I4" s="149"/>
      <c r="J4" s="148"/>
      <c r="K4" s="149"/>
      <c r="L4" s="148"/>
      <c r="M4" s="150"/>
      <c r="N4" s="148"/>
      <c r="O4" s="148"/>
      <c r="P4" s="148"/>
      <c r="Q4" s="149"/>
      <c r="R4" s="148"/>
      <c r="S4" s="149"/>
      <c r="T4" s="148"/>
      <c r="U4" s="150"/>
      <c r="V4" s="148"/>
      <c r="W4" s="151"/>
      <c r="X4" s="152"/>
      <c r="Y4" s="152"/>
      <c r="Z4" s="156"/>
      <c r="AA4" s="98"/>
    </row>
    <row r="5" spans="1:32" ht="17.25">
      <c r="A5" s="157"/>
      <c r="B5" s="151"/>
      <c r="C5" s="151"/>
      <c r="D5" s="151"/>
      <c r="E5" s="151"/>
      <c r="F5" s="151"/>
      <c r="G5" s="151"/>
      <c r="H5" s="151"/>
      <c r="I5" s="158"/>
      <c r="J5" s="159"/>
      <c r="K5" s="160"/>
      <c r="L5" s="159"/>
      <c r="M5" s="159"/>
      <c r="N5" s="161"/>
      <c r="O5" s="161"/>
      <c r="Q5" s="162"/>
      <c r="R5" s="161"/>
      <c r="S5" s="162"/>
      <c r="T5" s="161"/>
      <c r="U5" s="161"/>
      <c r="V5" s="161"/>
      <c r="W5" s="161"/>
    </row>
    <row r="7" spans="1:32" ht="15.75">
      <c r="C7" s="148"/>
      <c r="D7" s="148"/>
      <c r="E7" s="148"/>
      <c r="F7" s="148"/>
      <c r="G7" s="148"/>
      <c r="I7" s="164" t="s">
        <v>83</v>
      </c>
      <c r="J7" s="165"/>
      <c r="K7" s="166"/>
      <c r="L7" s="165"/>
      <c r="M7" s="167"/>
      <c r="N7" s="167"/>
      <c r="O7" s="167"/>
      <c r="P7" s="165"/>
      <c r="Q7" s="166"/>
      <c r="R7" s="165"/>
      <c r="S7" s="166"/>
      <c r="T7" s="165"/>
      <c r="U7" s="167"/>
      <c r="V7" s="167"/>
      <c r="W7" s="167"/>
      <c r="AC7" s="148" t="s">
        <v>84</v>
      </c>
      <c r="AD7" s="148"/>
      <c r="AE7" s="148"/>
      <c r="AF7" s="148"/>
    </row>
    <row r="8" spans="1:32">
      <c r="C8" s="164" t="s">
        <v>85</v>
      </c>
      <c r="D8" s="165"/>
      <c r="E8" s="166"/>
      <c r="F8" s="165"/>
      <c r="G8" s="165"/>
      <c r="I8" s="168" t="s">
        <v>86</v>
      </c>
      <c r="J8" s="169"/>
      <c r="K8" s="170"/>
      <c r="L8" s="171"/>
      <c r="M8" s="172"/>
      <c r="N8" s="171"/>
      <c r="O8" s="171"/>
      <c r="Q8" s="164" t="s">
        <v>87</v>
      </c>
      <c r="R8" s="173"/>
      <c r="S8" s="166"/>
      <c r="T8" s="165"/>
      <c r="U8" s="174"/>
      <c r="V8" s="165"/>
      <c r="W8" s="165"/>
      <c r="Z8" s="175"/>
      <c r="AA8" s="175"/>
      <c r="AC8" s="148" t="s">
        <v>86</v>
      </c>
      <c r="AD8" s="148"/>
      <c r="AE8" s="148" t="s">
        <v>87</v>
      </c>
      <c r="AF8" s="148"/>
    </row>
    <row r="9" spans="1:32">
      <c r="A9" s="176" t="s">
        <v>78</v>
      </c>
      <c r="C9" s="166" t="s">
        <v>76</v>
      </c>
      <c r="E9" s="177" t="s">
        <v>377</v>
      </c>
      <c r="G9" s="178" t="s">
        <v>388</v>
      </c>
      <c r="I9" s="166" t="s">
        <v>76</v>
      </c>
      <c r="K9" s="177" t="s">
        <v>377</v>
      </c>
      <c r="M9" s="179" t="s">
        <v>88</v>
      </c>
      <c r="O9" s="179" t="s">
        <v>89</v>
      </c>
      <c r="Q9" s="166" t="s">
        <v>76</v>
      </c>
      <c r="S9" s="177" t="s">
        <v>377</v>
      </c>
      <c r="U9" s="179" t="s">
        <v>88</v>
      </c>
      <c r="W9" s="179" t="s">
        <v>89</v>
      </c>
      <c r="AC9" s="180" t="s">
        <v>76</v>
      </c>
      <c r="AD9" s="180" t="s">
        <v>377</v>
      </c>
      <c r="AE9" s="180" t="s">
        <v>76</v>
      </c>
      <c r="AF9" s="180" t="s">
        <v>377</v>
      </c>
    </row>
    <row r="10" spans="1:32">
      <c r="A10" s="163">
        <v>100</v>
      </c>
      <c r="C10" s="175">
        <f>$Z$12</f>
        <v>4</v>
      </c>
      <c r="E10" s="175">
        <f>$AA$12</f>
        <v>10</v>
      </c>
      <c r="G10" s="175">
        <f>E10-C10</f>
        <v>6</v>
      </c>
      <c r="I10" s="181">
        <f>ROUND((MIN(400,$A10)*$Z$13+MAX(0,MIN(600,$A10-400))*$Z$14+MAX(0,$A10-1000)*$Z$15)/100*(1+$Z$30)*(1+$Z$18)+$Z$17,2)</f>
        <v>8.7200000000000006</v>
      </c>
      <c r="K10" s="181">
        <f>ROUND((MIN(400,$A10)*$AA$13+MAX(0,MIN(600,$A10-400))*$AA$14+MAX(0,$A10-1000)*$AA$15)/100*(1+$AA$30)*(1+$AA$18)+$AA$17,2)</f>
        <v>8.43</v>
      </c>
      <c r="L10" s="181"/>
      <c r="M10" s="182">
        <f>K10-I10</f>
        <v>-0.29000000000000092</v>
      </c>
      <c r="O10" s="183">
        <f>ROUND(IF(I10=0,0,K10/I10-1),3)</f>
        <v>-3.3000000000000002E-2</v>
      </c>
      <c r="Q10" s="181">
        <f>ROUND($A10*$Z$21/100*(1+$Z$30)*(1+$Z$24)+$Z$23,2)</f>
        <v>9.02</v>
      </c>
      <c r="S10" s="181">
        <f>ROUND($A10*$AA$21/100*(1+$AA$30)*(1+$AA$24)+$AA$23,2)</f>
        <v>8.7200000000000006</v>
      </c>
      <c r="T10" s="181"/>
      <c r="U10" s="182">
        <f t="shared" ref="U10:U19" si="0">S10-Q10</f>
        <v>-0.29999999999999893</v>
      </c>
      <c r="W10" s="183">
        <f t="shared" ref="W10:W19" si="1">ROUND(IF(Q10=0,0,S10/Q10-1),3)</f>
        <v>-3.3000000000000002E-2</v>
      </c>
      <c r="Y10" s="184" t="s">
        <v>323</v>
      </c>
      <c r="Z10" s="185" t="s">
        <v>76</v>
      </c>
      <c r="AA10" s="186" t="s">
        <v>377</v>
      </c>
      <c r="AC10" s="187">
        <f t="shared" ref="AC10:AC22" si="2">I10/$A10*100</f>
        <v>8.7200000000000006</v>
      </c>
      <c r="AD10" s="187">
        <f t="shared" ref="AD10:AD22" si="3">K10/A10*100</f>
        <v>8.43</v>
      </c>
      <c r="AE10" s="187">
        <f t="shared" ref="AE10:AE22" si="4">Q10/$A10*100</f>
        <v>9.02</v>
      </c>
      <c r="AF10" s="187">
        <f t="shared" ref="AF10:AF22" si="5">S10/$A10*100</f>
        <v>8.7200000000000006</v>
      </c>
    </row>
    <row r="11" spans="1:32" ht="13.5">
      <c r="A11" s="163">
        <v>200</v>
      </c>
      <c r="C11" s="175">
        <f t="shared" ref="C11:C31" si="6">$Z$12</f>
        <v>4</v>
      </c>
      <c r="E11" s="175">
        <f t="shared" ref="E11:E31" si="7">$AA$12</f>
        <v>10</v>
      </c>
      <c r="G11" s="175">
        <f t="shared" ref="G11:G31" si="8">E11-C11</f>
        <v>6</v>
      </c>
      <c r="I11" s="181">
        <f>ROUND((MIN(400,$A11)*$Z$13+MAX(0,MIN(600,$A11-400))*$Z$14+MAX(0,$A11-1000)*$Z$15)/100*(1+$Z$30)*(1+$Z$18)+$Z$17,2)</f>
        <v>17.170000000000002</v>
      </c>
      <c r="K11" s="181">
        <f t="shared" ref="K11:K31" si="9">ROUND((MIN(400,$A11)*$AA$13+MAX(0,MIN(600,$A11-400))*$AA$14+MAX(0,$A11-1000)*$AA$15)/100*(1+$AA$30)*(1+$AA$18)+$AA$17,2)</f>
        <v>16.59</v>
      </c>
      <c r="L11" s="181"/>
      <c r="M11" s="182">
        <f t="shared" ref="M11:M16" si="10">K11-I11</f>
        <v>-0.58000000000000185</v>
      </c>
      <c r="O11" s="183">
        <f t="shared" ref="O11:O16" si="11">ROUND(IF(I11=0,0,K11/I11-1),3)</f>
        <v>-3.4000000000000002E-2</v>
      </c>
      <c r="Q11" s="181">
        <f t="shared" ref="Q11:Q31" si="12">ROUND($A11*$Z$21/100*(1+$Z$30)*(1+$Z$24)+$Z$23,2)</f>
        <v>17.78</v>
      </c>
      <c r="S11" s="181">
        <f t="shared" ref="S11:S31" si="13">ROUND($A11*$AA$21/100*(1+$AA$30)*(1+$AA$24)+$AA$23,2)</f>
        <v>17.18</v>
      </c>
      <c r="T11" s="181"/>
      <c r="U11" s="182">
        <f t="shared" si="0"/>
        <v>-0.60000000000000142</v>
      </c>
      <c r="W11" s="183">
        <f t="shared" si="1"/>
        <v>-3.4000000000000002E-2</v>
      </c>
      <c r="Y11" s="188" t="s">
        <v>86</v>
      </c>
      <c r="Z11" s="152"/>
      <c r="AA11" s="189"/>
      <c r="AC11" s="187">
        <f t="shared" si="2"/>
        <v>8.5850000000000009</v>
      </c>
      <c r="AD11" s="187">
        <f t="shared" si="3"/>
        <v>8.2949999999999999</v>
      </c>
      <c r="AE11" s="187">
        <f t="shared" si="4"/>
        <v>8.89</v>
      </c>
      <c r="AF11" s="187">
        <f t="shared" si="5"/>
        <v>8.59</v>
      </c>
    </row>
    <row r="12" spans="1:32">
      <c r="A12" s="163">
        <v>300</v>
      </c>
      <c r="C12" s="175">
        <f t="shared" si="6"/>
        <v>4</v>
      </c>
      <c r="E12" s="175">
        <f t="shared" si="7"/>
        <v>10</v>
      </c>
      <c r="G12" s="175">
        <f t="shared" si="8"/>
        <v>6</v>
      </c>
      <c r="I12" s="181">
        <f t="shared" ref="I12:I16" si="14">ROUND((MIN(400,$A12)*$Z$13+MAX(0,MIN(600,$A12-400))*$Z$14+MAX(0,$A12-1000)*$Z$15)/100*(1+$Z$30)*(1+$Z$18)+$Z$17,2)</f>
        <v>25.63</v>
      </c>
      <c r="K12" s="181">
        <f t="shared" si="9"/>
        <v>24.76</v>
      </c>
      <c r="L12" s="181"/>
      <c r="M12" s="182">
        <f t="shared" si="10"/>
        <v>-0.86999999999999744</v>
      </c>
      <c r="O12" s="183">
        <f t="shared" si="11"/>
        <v>-3.4000000000000002E-2</v>
      </c>
      <c r="Q12" s="181">
        <f t="shared" si="12"/>
        <v>26.54</v>
      </c>
      <c r="S12" s="181">
        <f t="shared" si="13"/>
        <v>25.64</v>
      </c>
      <c r="T12" s="181"/>
      <c r="U12" s="182">
        <f t="shared" si="0"/>
        <v>-0.89999999999999858</v>
      </c>
      <c r="W12" s="183">
        <f t="shared" si="1"/>
        <v>-3.4000000000000002E-2</v>
      </c>
      <c r="Y12" s="190" t="s">
        <v>90</v>
      </c>
      <c r="Z12" s="191">
        <f>'Resid Rate Calc (rev WRG-3)'!I19</f>
        <v>4</v>
      </c>
      <c r="AA12" s="192">
        <f>'Resid Rate Calc (rev WRG-3)'!O19</f>
        <v>10</v>
      </c>
      <c r="AB12" s="193">
        <f>AA12/Z12-1</f>
        <v>1.5</v>
      </c>
      <c r="AC12" s="187">
        <f t="shared" si="2"/>
        <v>8.543333333333333</v>
      </c>
      <c r="AD12" s="187">
        <f t="shared" si="3"/>
        <v>8.2533333333333339</v>
      </c>
      <c r="AE12" s="187">
        <f t="shared" si="4"/>
        <v>8.8466666666666658</v>
      </c>
      <c r="AF12" s="187">
        <f t="shared" si="5"/>
        <v>8.5466666666666669</v>
      </c>
    </row>
    <row r="13" spans="1:32">
      <c r="A13" s="163">
        <v>400</v>
      </c>
      <c r="C13" s="175">
        <f t="shared" si="6"/>
        <v>4</v>
      </c>
      <c r="E13" s="175">
        <f t="shared" si="7"/>
        <v>10</v>
      </c>
      <c r="G13" s="175">
        <f t="shared" si="8"/>
        <v>6</v>
      </c>
      <c r="I13" s="181">
        <f t="shared" si="14"/>
        <v>34.08</v>
      </c>
      <c r="K13" s="181">
        <f t="shared" si="9"/>
        <v>32.92</v>
      </c>
      <c r="L13" s="181"/>
      <c r="M13" s="182">
        <f t="shared" si="10"/>
        <v>-1.1599999999999966</v>
      </c>
      <c r="O13" s="183">
        <f t="shared" si="11"/>
        <v>-3.4000000000000002E-2</v>
      </c>
      <c r="Q13" s="181">
        <f t="shared" si="12"/>
        <v>35.299999999999997</v>
      </c>
      <c r="S13" s="181">
        <f t="shared" si="13"/>
        <v>34.1</v>
      </c>
      <c r="T13" s="181"/>
      <c r="U13" s="182">
        <f t="shared" si="0"/>
        <v>-1.1999999999999957</v>
      </c>
      <c r="W13" s="183">
        <f t="shared" si="1"/>
        <v>-3.4000000000000002E-2</v>
      </c>
      <c r="Y13" s="190" t="s">
        <v>91</v>
      </c>
      <c r="Z13" s="194">
        <f>'Resid Rate Calc (rev WRG-3)'!I21</f>
        <v>8.4003999999999994</v>
      </c>
      <c r="AA13" s="195">
        <f>'Resid Rate Calc (rev WRG-3)'!O21</f>
        <v>8.1125000000000007</v>
      </c>
      <c r="AB13" s="193">
        <f t="shared" ref="AB13:AB30" si="15">AA13/Z13-1</f>
        <v>-3.4272177515356272E-2</v>
      </c>
      <c r="AC13" s="187">
        <f t="shared" si="2"/>
        <v>8.52</v>
      </c>
      <c r="AD13" s="187">
        <f t="shared" si="3"/>
        <v>8.23</v>
      </c>
      <c r="AE13" s="187">
        <f t="shared" si="4"/>
        <v>8.8249999999999993</v>
      </c>
      <c r="AF13" s="187">
        <f t="shared" si="5"/>
        <v>8.5250000000000004</v>
      </c>
    </row>
    <row r="14" spans="1:32">
      <c r="A14" s="163">
        <v>500</v>
      </c>
      <c r="C14" s="175">
        <f t="shared" si="6"/>
        <v>4</v>
      </c>
      <c r="E14" s="175">
        <f t="shared" si="7"/>
        <v>10</v>
      </c>
      <c r="G14" s="175">
        <f t="shared" si="8"/>
        <v>6</v>
      </c>
      <c r="I14" s="181">
        <f t="shared" si="14"/>
        <v>44.5</v>
      </c>
      <c r="K14" s="181">
        <f t="shared" si="9"/>
        <v>42.98</v>
      </c>
      <c r="L14" s="181"/>
      <c r="M14" s="182">
        <f t="shared" si="10"/>
        <v>-1.5200000000000031</v>
      </c>
      <c r="O14" s="183">
        <f t="shared" si="11"/>
        <v>-3.4000000000000002E-2</v>
      </c>
      <c r="Q14" s="181">
        <f t="shared" si="12"/>
        <v>44.06</v>
      </c>
      <c r="S14" s="181">
        <f t="shared" si="13"/>
        <v>42.56</v>
      </c>
      <c r="T14" s="181"/>
      <c r="U14" s="182">
        <f t="shared" si="0"/>
        <v>-1.5</v>
      </c>
      <c r="W14" s="183">
        <f t="shared" si="1"/>
        <v>-3.4000000000000002E-2</v>
      </c>
      <c r="Y14" s="190" t="s">
        <v>92</v>
      </c>
      <c r="Z14" s="194">
        <f>'Resid Rate Calc (rev WRG-3)'!I22</f>
        <v>10.348100000000001</v>
      </c>
      <c r="AA14" s="195">
        <f>'Resid Rate Calc (rev WRG-3)'!O22</f>
        <v>9.9933999999999994</v>
      </c>
      <c r="AB14" s="193">
        <f t="shared" si="15"/>
        <v>-3.4276823764749165E-2</v>
      </c>
      <c r="AC14" s="187">
        <f t="shared" si="2"/>
        <v>8.9</v>
      </c>
      <c r="AD14" s="187">
        <f t="shared" si="3"/>
        <v>8.5960000000000001</v>
      </c>
      <c r="AE14" s="187">
        <f t="shared" si="4"/>
        <v>8.8120000000000012</v>
      </c>
      <c r="AF14" s="187">
        <f t="shared" si="5"/>
        <v>8.5120000000000005</v>
      </c>
    </row>
    <row r="15" spans="1:32">
      <c r="A15" s="163">
        <v>600</v>
      </c>
      <c r="C15" s="175">
        <f t="shared" si="6"/>
        <v>4</v>
      </c>
      <c r="E15" s="175">
        <f t="shared" si="7"/>
        <v>10</v>
      </c>
      <c r="G15" s="175">
        <f t="shared" si="8"/>
        <v>6</v>
      </c>
      <c r="I15" s="181">
        <f t="shared" si="14"/>
        <v>54.91</v>
      </c>
      <c r="K15" s="181">
        <f t="shared" si="9"/>
        <v>53.04</v>
      </c>
      <c r="L15" s="181"/>
      <c r="M15" s="182">
        <f t="shared" si="10"/>
        <v>-1.8699999999999974</v>
      </c>
      <c r="O15" s="183">
        <f t="shared" si="11"/>
        <v>-3.4000000000000002E-2</v>
      </c>
      <c r="Q15" s="181">
        <f t="shared" si="12"/>
        <v>52.82</v>
      </c>
      <c r="S15" s="181">
        <f t="shared" si="13"/>
        <v>51.02</v>
      </c>
      <c r="T15" s="181"/>
      <c r="U15" s="182">
        <f t="shared" si="0"/>
        <v>-1.7999999999999972</v>
      </c>
      <c r="W15" s="183">
        <f t="shared" si="1"/>
        <v>-3.4000000000000002E-2</v>
      </c>
      <c r="Y15" s="190" t="s">
        <v>93</v>
      </c>
      <c r="Z15" s="194">
        <f>'Resid Rate Calc (rev WRG-3)'!I23</f>
        <v>12.870900000000001</v>
      </c>
      <c r="AA15" s="195">
        <f>'Resid Rate Calc (rev WRG-3)'!O23</f>
        <v>12.4298</v>
      </c>
      <c r="AB15" s="193">
        <f t="shared" si="15"/>
        <v>-3.4271107692546821E-2</v>
      </c>
      <c r="AC15" s="187">
        <f t="shared" si="2"/>
        <v>9.1516666666666655</v>
      </c>
      <c r="AD15" s="187">
        <f t="shared" si="3"/>
        <v>8.84</v>
      </c>
      <c r="AE15" s="187">
        <f t="shared" si="4"/>
        <v>8.8033333333333346</v>
      </c>
      <c r="AF15" s="187">
        <f t="shared" si="5"/>
        <v>8.5033333333333339</v>
      </c>
    </row>
    <row r="16" spans="1:32">
      <c r="A16" s="163">
        <v>700</v>
      </c>
      <c r="C16" s="175">
        <f t="shared" si="6"/>
        <v>4</v>
      </c>
      <c r="E16" s="175">
        <f t="shared" si="7"/>
        <v>10</v>
      </c>
      <c r="G16" s="175">
        <f t="shared" si="8"/>
        <v>6</v>
      </c>
      <c r="I16" s="181">
        <f t="shared" si="14"/>
        <v>65.33</v>
      </c>
      <c r="K16" s="181">
        <f t="shared" si="9"/>
        <v>63.1</v>
      </c>
      <c r="L16" s="181"/>
      <c r="M16" s="182">
        <f t="shared" si="10"/>
        <v>-2.2299999999999969</v>
      </c>
      <c r="O16" s="183">
        <f t="shared" si="11"/>
        <v>-3.4000000000000002E-2</v>
      </c>
      <c r="Q16" s="181">
        <f t="shared" si="12"/>
        <v>61.58</v>
      </c>
      <c r="S16" s="181">
        <f t="shared" si="13"/>
        <v>59.48</v>
      </c>
      <c r="T16" s="181"/>
      <c r="U16" s="182">
        <f t="shared" si="0"/>
        <v>-2.1000000000000014</v>
      </c>
      <c r="W16" s="183">
        <f t="shared" si="1"/>
        <v>-3.4000000000000002E-2</v>
      </c>
      <c r="Y16" s="190" t="s">
        <v>94</v>
      </c>
      <c r="Z16" s="191">
        <f>'Resid Rate Calc (rev WRG-3)'!I25</f>
        <v>7</v>
      </c>
      <c r="AA16" s="192">
        <f>'Resid Rate Calc (rev WRG-3)'!O25</f>
        <v>10</v>
      </c>
      <c r="AB16" s="193">
        <f t="shared" si="15"/>
        <v>0.4285714285714286</v>
      </c>
      <c r="AC16" s="187">
        <f t="shared" si="2"/>
        <v>9.3328571428571436</v>
      </c>
      <c r="AD16" s="187">
        <f t="shared" si="3"/>
        <v>9.0142857142857142</v>
      </c>
      <c r="AE16" s="187">
        <f t="shared" si="4"/>
        <v>8.7971428571428572</v>
      </c>
      <c r="AF16" s="187">
        <f t="shared" si="5"/>
        <v>8.4971428571428564</v>
      </c>
    </row>
    <row r="17" spans="1:32">
      <c r="A17" s="163">
        <f>Z38</f>
        <v>718.981593491534</v>
      </c>
      <c r="B17" s="154" t="s">
        <v>95</v>
      </c>
      <c r="C17" s="175">
        <f t="shared" si="6"/>
        <v>4</v>
      </c>
      <c r="E17" s="175">
        <f t="shared" si="7"/>
        <v>10</v>
      </c>
      <c r="G17" s="175">
        <f t="shared" si="8"/>
        <v>6</v>
      </c>
      <c r="L17" s="181"/>
      <c r="M17" s="182"/>
      <c r="O17" s="183"/>
      <c r="Q17" s="181">
        <f t="shared" si="12"/>
        <v>63.24</v>
      </c>
      <c r="S17" s="181">
        <f t="shared" si="13"/>
        <v>61.09</v>
      </c>
      <c r="T17" s="181"/>
      <c r="U17" s="182">
        <f t="shared" si="0"/>
        <v>-2.1499999999999986</v>
      </c>
      <c r="W17" s="183">
        <f t="shared" si="1"/>
        <v>-3.4000000000000002E-2</v>
      </c>
      <c r="Y17" s="190" t="s">
        <v>96</v>
      </c>
      <c r="Z17" s="191">
        <v>0.26</v>
      </c>
      <c r="AA17" s="192">
        <f>Z17</f>
        <v>0.26</v>
      </c>
      <c r="AB17" s="193">
        <f t="shared" si="15"/>
        <v>0</v>
      </c>
      <c r="AC17" s="187">
        <f t="shared" si="2"/>
        <v>0</v>
      </c>
      <c r="AD17" s="187">
        <f t="shared" si="3"/>
        <v>0</v>
      </c>
      <c r="AE17" s="187">
        <f t="shared" si="4"/>
        <v>8.7957745472860509</v>
      </c>
      <c r="AF17" s="187">
        <f t="shared" si="5"/>
        <v>8.4967404663773678</v>
      </c>
    </row>
    <row r="18" spans="1:32">
      <c r="A18" s="163">
        <f>Z39</f>
        <v>766.5341247909605</v>
      </c>
      <c r="B18" s="154" t="s">
        <v>97</v>
      </c>
      <c r="C18" s="175">
        <f t="shared" si="6"/>
        <v>4</v>
      </c>
      <c r="E18" s="175">
        <f t="shared" si="7"/>
        <v>10</v>
      </c>
      <c r="G18" s="175">
        <f t="shared" si="8"/>
        <v>6</v>
      </c>
      <c r="I18" s="181">
        <f t="shared" ref="I18:I31" si="16">ROUND((MIN(400,$A18)*$Z$13+MAX(0,MIN(600,$A18-400))*$Z$14+MAX(0,$A18-1000)*$Z$15)/100*(1+$Z$30)*(1+$Z$18)+$Z$17,2)</f>
        <v>72.260000000000005</v>
      </c>
      <c r="K18" s="181">
        <f t="shared" si="9"/>
        <v>69.790000000000006</v>
      </c>
      <c r="L18" s="181"/>
      <c r="M18" s="182">
        <f t="shared" ref="M18:M31" si="17">K18-I18</f>
        <v>-2.4699999999999989</v>
      </c>
      <c r="O18" s="183">
        <f t="shared" ref="O18:O31" si="18">ROUND(IF(I18=0,0,K18/I18-1),3)</f>
        <v>-3.4000000000000002E-2</v>
      </c>
      <c r="Q18" s="181">
        <f t="shared" si="12"/>
        <v>67.41</v>
      </c>
      <c r="S18" s="181">
        <f t="shared" si="13"/>
        <v>65.11</v>
      </c>
      <c r="T18" s="181"/>
      <c r="U18" s="182">
        <f t="shared" si="0"/>
        <v>-2.2999999999999972</v>
      </c>
      <c r="W18" s="183">
        <f t="shared" si="1"/>
        <v>-3.4000000000000002E-2</v>
      </c>
      <c r="Y18" s="190" t="s">
        <v>98</v>
      </c>
      <c r="Z18" s="196">
        <v>3.3799999999999997E-2</v>
      </c>
      <c r="AA18" s="197">
        <v>3.3799999999999997E-2</v>
      </c>
      <c r="AB18" s="193">
        <f t="shared" si="15"/>
        <v>0</v>
      </c>
      <c r="AC18" s="187">
        <f t="shared" si="2"/>
        <v>9.4268471113019068</v>
      </c>
      <c r="AD18" s="187">
        <f t="shared" si="3"/>
        <v>9.1046174909737054</v>
      </c>
      <c r="AE18" s="187">
        <f t="shared" si="4"/>
        <v>8.794129030900379</v>
      </c>
      <c r="AF18" s="187">
        <f t="shared" si="5"/>
        <v>8.4940771577202749</v>
      </c>
    </row>
    <row r="19" spans="1:32" ht="13.5">
      <c r="A19" s="163">
        <v>800</v>
      </c>
      <c r="C19" s="175">
        <f t="shared" si="6"/>
        <v>4</v>
      </c>
      <c r="E19" s="175">
        <f t="shared" si="7"/>
        <v>10</v>
      </c>
      <c r="G19" s="175">
        <f t="shared" si="8"/>
        <v>6</v>
      </c>
      <c r="I19" s="181">
        <f t="shared" si="16"/>
        <v>75.739999999999995</v>
      </c>
      <c r="K19" s="181">
        <f t="shared" si="9"/>
        <v>73.150000000000006</v>
      </c>
      <c r="L19" s="181"/>
      <c r="M19" s="182">
        <f t="shared" si="17"/>
        <v>-2.5899999999999892</v>
      </c>
      <c r="O19" s="183">
        <f t="shared" si="18"/>
        <v>-3.4000000000000002E-2</v>
      </c>
      <c r="Q19" s="181">
        <f t="shared" si="12"/>
        <v>70.34</v>
      </c>
      <c r="S19" s="181">
        <f t="shared" si="13"/>
        <v>67.94</v>
      </c>
      <c r="T19" s="181"/>
      <c r="U19" s="182">
        <f t="shared" si="0"/>
        <v>-2.4000000000000057</v>
      </c>
      <c r="W19" s="183">
        <f t="shared" si="1"/>
        <v>-3.4000000000000002E-2</v>
      </c>
      <c r="Y19" s="188" t="s">
        <v>87</v>
      </c>
      <c r="Z19" s="152"/>
      <c r="AA19" s="189"/>
      <c r="AB19" s="193"/>
      <c r="AC19" s="187">
        <f t="shared" si="2"/>
        <v>9.4674999999999994</v>
      </c>
      <c r="AD19" s="187">
        <f t="shared" si="3"/>
        <v>9.1437500000000007</v>
      </c>
      <c r="AE19" s="187">
        <f t="shared" si="4"/>
        <v>8.7925000000000004</v>
      </c>
      <c r="AF19" s="187">
        <f t="shared" si="5"/>
        <v>8.4924999999999997</v>
      </c>
    </row>
    <row r="20" spans="1:32">
      <c r="A20" s="163">
        <f>Z37</f>
        <v>833.10766861015759</v>
      </c>
      <c r="B20" s="154" t="s">
        <v>99</v>
      </c>
      <c r="C20" s="175">
        <f t="shared" si="6"/>
        <v>4</v>
      </c>
      <c r="E20" s="175">
        <f t="shared" si="7"/>
        <v>10</v>
      </c>
      <c r="G20" s="175">
        <f t="shared" si="8"/>
        <v>6</v>
      </c>
      <c r="I20" s="181">
        <f t="shared" si="16"/>
        <v>79.19</v>
      </c>
      <c r="K20" s="181">
        <f t="shared" si="9"/>
        <v>76.489999999999995</v>
      </c>
      <c r="L20" s="181"/>
      <c r="M20" s="182">
        <f t="shared" si="17"/>
        <v>-2.7000000000000028</v>
      </c>
      <c r="O20" s="183">
        <f t="shared" si="18"/>
        <v>-3.4000000000000002E-2</v>
      </c>
      <c r="T20" s="181"/>
      <c r="U20" s="182"/>
      <c r="W20" s="183"/>
      <c r="Y20" s="190" t="s">
        <v>90</v>
      </c>
      <c r="Z20" s="198">
        <f>Z12</f>
        <v>4</v>
      </c>
      <c r="AA20" s="199">
        <f>AA12</f>
        <v>10</v>
      </c>
      <c r="AB20" s="193">
        <f t="shared" si="15"/>
        <v>1.5</v>
      </c>
      <c r="AC20" s="187">
        <f t="shared" si="2"/>
        <v>9.5053740331198391</v>
      </c>
      <c r="AD20" s="187">
        <f t="shared" si="3"/>
        <v>9.1812862709096663</v>
      </c>
      <c r="AE20" s="187">
        <f t="shared" si="4"/>
        <v>0</v>
      </c>
      <c r="AF20" s="187">
        <f t="shared" si="5"/>
        <v>0</v>
      </c>
    </row>
    <row r="21" spans="1:32">
      <c r="A21" s="163">
        <v>900</v>
      </c>
      <c r="C21" s="175">
        <f t="shared" si="6"/>
        <v>4</v>
      </c>
      <c r="E21" s="175">
        <f t="shared" si="7"/>
        <v>10</v>
      </c>
      <c r="G21" s="175">
        <f t="shared" si="8"/>
        <v>6</v>
      </c>
      <c r="I21" s="181">
        <f t="shared" si="16"/>
        <v>86.16</v>
      </c>
      <c r="K21" s="181">
        <f t="shared" si="9"/>
        <v>83.21</v>
      </c>
      <c r="L21" s="181"/>
      <c r="M21" s="182">
        <f t="shared" si="17"/>
        <v>-2.9500000000000028</v>
      </c>
      <c r="O21" s="183">
        <f t="shared" si="18"/>
        <v>-3.4000000000000002E-2</v>
      </c>
      <c r="Q21" s="181">
        <f t="shared" si="12"/>
        <v>79.099999999999994</v>
      </c>
      <c r="S21" s="181">
        <f t="shared" si="13"/>
        <v>76.400000000000006</v>
      </c>
      <c r="T21" s="181"/>
      <c r="U21" s="182">
        <f t="shared" ref="U21:U31" si="19">S21-Q21</f>
        <v>-2.6999999999999886</v>
      </c>
      <c r="W21" s="183">
        <f t="shared" ref="W21:W31" si="20">ROUND(IF(Q21=0,0,S21/Q21-1),3)</f>
        <v>-3.4000000000000002E-2</v>
      </c>
      <c r="Y21" s="190" t="s">
        <v>78</v>
      </c>
      <c r="Z21" s="200">
        <f>'Resid Rate Calc (rev WRG-3)'!I24</f>
        <v>8.7035</v>
      </c>
      <c r="AA21" s="201">
        <f>'Resid Rate Calc (rev WRG-3)'!O24</f>
        <v>8.4052000000000007</v>
      </c>
      <c r="AB21" s="193">
        <f t="shared" si="15"/>
        <v>-3.4273568104785324E-2</v>
      </c>
      <c r="AC21" s="187">
        <f t="shared" si="2"/>
        <v>9.5733333333333324</v>
      </c>
      <c r="AD21" s="187">
        <f t="shared" si="3"/>
        <v>9.2455555555555549</v>
      </c>
      <c r="AE21" s="187">
        <f t="shared" si="4"/>
        <v>8.7888888888888879</v>
      </c>
      <c r="AF21" s="187">
        <f t="shared" si="5"/>
        <v>8.4888888888888889</v>
      </c>
    </row>
    <row r="22" spans="1:32">
      <c r="A22" s="163">
        <v>1000</v>
      </c>
      <c r="C22" s="175">
        <f t="shared" si="6"/>
        <v>4</v>
      </c>
      <c r="E22" s="175">
        <f t="shared" si="7"/>
        <v>10</v>
      </c>
      <c r="G22" s="175">
        <f t="shared" si="8"/>
        <v>6</v>
      </c>
      <c r="I22" s="181">
        <f t="shared" si="16"/>
        <v>96.57</v>
      </c>
      <c r="K22" s="181">
        <f t="shared" si="9"/>
        <v>93.27</v>
      </c>
      <c r="L22" s="181"/>
      <c r="M22" s="182">
        <f t="shared" si="17"/>
        <v>-3.2999999999999972</v>
      </c>
      <c r="O22" s="183">
        <f t="shared" si="18"/>
        <v>-3.4000000000000002E-2</v>
      </c>
      <c r="Q22" s="181">
        <f t="shared" si="12"/>
        <v>87.86</v>
      </c>
      <c r="S22" s="181">
        <f t="shared" si="13"/>
        <v>84.86</v>
      </c>
      <c r="T22" s="181"/>
      <c r="U22" s="182">
        <f t="shared" si="19"/>
        <v>-3</v>
      </c>
      <c r="W22" s="183">
        <f t="shared" si="20"/>
        <v>-3.4000000000000002E-2</v>
      </c>
      <c r="Y22" s="190" t="s">
        <v>94</v>
      </c>
      <c r="Z22" s="198">
        <f>Z16</f>
        <v>7</v>
      </c>
      <c r="AA22" s="199">
        <f>AA16</f>
        <v>10</v>
      </c>
      <c r="AB22" s="193">
        <f t="shared" si="15"/>
        <v>0.4285714285714286</v>
      </c>
      <c r="AC22" s="187">
        <f t="shared" si="2"/>
        <v>9.6569999999999983</v>
      </c>
      <c r="AD22" s="187">
        <f t="shared" si="3"/>
        <v>9.327</v>
      </c>
      <c r="AE22" s="187">
        <f t="shared" si="4"/>
        <v>8.7859999999999996</v>
      </c>
      <c r="AF22" s="187">
        <f t="shared" si="5"/>
        <v>8.4860000000000007</v>
      </c>
    </row>
    <row r="23" spans="1:32">
      <c r="A23" s="163">
        <v>1100</v>
      </c>
      <c r="C23" s="175">
        <f t="shared" si="6"/>
        <v>4</v>
      </c>
      <c r="E23" s="175">
        <f t="shared" si="7"/>
        <v>10</v>
      </c>
      <c r="G23" s="175">
        <f t="shared" si="8"/>
        <v>6</v>
      </c>
      <c r="I23" s="181">
        <f t="shared" si="16"/>
        <v>109.53</v>
      </c>
      <c r="K23" s="181">
        <f t="shared" si="9"/>
        <v>105.78</v>
      </c>
      <c r="L23" s="181"/>
      <c r="M23" s="182">
        <f t="shared" si="17"/>
        <v>-3.75</v>
      </c>
      <c r="O23" s="183">
        <f t="shared" si="18"/>
        <v>-3.4000000000000002E-2</v>
      </c>
      <c r="Q23" s="181">
        <f t="shared" si="12"/>
        <v>96.62</v>
      </c>
      <c r="S23" s="181">
        <f t="shared" si="13"/>
        <v>93.32</v>
      </c>
      <c r="T23" s="181"/>
      <c r="U23" s="182">
        <f t="shared" si="19"/>
        <v>-3.3000000000000114</v>
      </c>
      <c r="W23" s="183">
        <f t="shared" si="20"/>
        <v>-3.4000000000000002E-2</v>
      </c>
      <c r="Y23" s="190" t="s">
        <v>96</v>
      </c>
      <c r="Z23" s="198">
        <f>Z17</f>
        <v>0.26</v>
      </c>
      <c r="AA23" s="199">
        <f>Z23</f>
        <v>0.26</v>
      </c>
      <c r="AB23" s="193">
        <f t="shared" si="15"/>
        <v>0</v>
      </c>
      <c r="AC23" s="187"/>
      <c r="AD23" s="187"/>
      <c r="AE23" s="187"/>
      <c r="AF23" s="187"/>
    </row>
    <row r="24" spans="1:32">
      <c r="A24" s="163">
        <v>1200</v>
      </c>
      <c r="C24" s="175">
        <f t="shared" si="6"/>
        <v>4</v>
      </c>
      <c r="E24" s="175">
        <f t="shared" si="7"/>
        <v>10</v>
      </c>
      <c r="G24" s="175">
        <f t="shared" si="8"/>
        <v>6</v>
      </c>
      <c r="I24" s="181">
        <f t="shared" si="16"/>
        <v>122.48</v>
      </c>
      <c r="K24" s="181">
        <f t="shared" si="9"/>
        <v>118.29</v>
      </c>
      <c r="L24" s="181"/>
      <c r="M24" s="182">
        <f t="shared" si="17"/>
        <v>-4.1899999999999977</v>
      </c>
      <c r="O24" s="183">
        <f t="shared" si="18"/>
        <v>-3.4000000000000002E-2</v>
      </c>
      <c r="Q24" s="181">
        <f t="shared" si="12"/>
        <v>105.38</v>
      </c>
      <c r="S24" s="181">
        <f t="shared" si="13"/>
        <v>101.78</v>
      </c>
      <c r="T24" s="181"/>
      <c r="U24" s="182">
        <f t="shared" si="19"/>
        <v>-3.5999999999999943</v>
      </c>
      <c r="W24" s="183">
        <f t="shared" si="20"/>
        <v>-3.4000000000000002E-2</v>
      </c>
      <c r="Y24" s="202" t="s">
        <v>98</v>
      </c>
      <c r="Z24" s="203">
        <f>Z18</f>
        <v>3.3799999999999997E-2</v>
      </c>
      <c r="AA24" s="204">
        <f>Z24</f>
        <v>3.3799999999999997E-2</v>
      </c>
      <c r="AB24" s="193">
        <f t="shared" si="15"/>
        <v>0</v>
      </c>
      <c r="AC24" s="187">
        <f>I23/$A23*100</f>
        <v>9.9572727272727271</v>
      </c>
      <c r="AD24" s="187">
        <f>K23/A23*100</f>
        <v>9.6163636363636371</v>
      </c>
      <c r="AE24" s="187">
        <f>Q23/$A23*100</f>
        <v>8.783636363636365</v>
      </c>
      <c r="AF24" s="187">
        <f>S23/$A23*100</f>
        <v>8.4836363636363625</v>
      </c>
    </row>
    <row r="25" spans="1:32">
      <c r="A25" s="163">
        <v>1300</v>
      </c>
      <c r="C25" s="175">
        <f t="shared" si="6"/>
        <v>4</v>
      </c>
      <c r="E25" s="175">
        <f t="shared" si="7"/>
        <v>10</v>
      </c>
      <c r="G25" s="175">
        <f t="shared" si="8"/>
        <v>6</v>
      </c>
      <c r="I25" s="181">
        <f t="shared" si="16"/>
        <v>135.44</v>
      </c>
      <c r="K25" s="181">
        <f t="shared" si="9"/>
        <v>130.80000000000001</v>
      </c>
      <c r="L25" s="181"/>
      <c r="M25" s="182">
        <f t="shared" si="17"/>
        <v>-4.6399999999999864</v>
      </c>
      <c r="O25" s="183">
        <f t="shared" si="18"/>
        <v>-3.4000000000000002E-2</v>
      </c>
      <c r="Q25" s="181">
        <f t="shared" si="12"/>
        <v>114.14</v>
      </c>
      <c r="S25" s="181">
        <f t="shared" si="13"/>
        <v>110.24</v>
      </c>
      <c r="T25" s="181"/>
      <c r="U25" s="182">
        <f t="shared" si="19"/>
        <v>-3.9000000000000057</v>
      </c>
      <c r="W25" s="183">
        <f t="shared" si="20"/>
        <v>-3.4000000000000002E-2</v>
      </c>
      <c r="AB25" s="193"/>
      <c r="AC25" s="187">
        <f>I24/$A24*100</f>
        <v>10.206666666666667</v>
      </c>
      <c r="AD25" s="187">
        <f>K24/A24*100</f>
        <v>9.8575000000000017</v>
      </c>
      <c r="AE25" s="187">
        <f>Q24/$A24*100</f>
        <v>8.7816666666666663</v>
      </c>
      <c r="AF25" s="187">
        <f>S24/$A24*100</f>
        <v>8.4816666666666674</v>
      </c>
    </row>
    <row r="26" spans="1:32">
      <c r="A26" s="163">
        <v>1400</v>
      </c>
      <c r="C26" s="175">
        <f t="shared" si="6"/>
        <v>4</v>
      </c>
      <c r="E26" s="175">
        <f t="shared" si="7"/>
        <v>10</v>
      </c>
      <c r="G26" s="175">
        <f t="shared" si="8"/>
        <v>6</v>
      </c>
      <c r="I26" s="181">
        <f t="shared" si="16"/>
        <v>148.38999999999999</v>
      </c>
      <c r="K26" s="181">
        <f t="shared" si="9"/>
        <v>143.31</v>
      </c>
      <c r="L26" s="181"/>
      <c r="M26" s="182">
        <f t="shared" si="17"/>
        <v>-5.0799999999999841</v>
      </c>
      <c r="O26" s="183">
        <f t="shared" si="18"/>
        <v>-3.4000000000000002E-2</v>
      </c>
      <c r="Q26" s="181">
        <f t="shared" si="12"/>
        <v>122.9</v>
      </c>
      <c r="S26" s="181">
        <f t="shared" si="13"/>
        <v>118.7</v>
      </c>
      <c r="T26" s="181"/>
      <c r="U26" s="182">
        <f t="shared" si="19"/>
        <v>-4.2000000000000028</v>
      </c>
      <c r="W26" s="183">
        <f t="shared" si="20"/>
        <v>-3.4000000000000002E-2</v>
      </c>
      <c r="Y26" s="154" t="s">
        <v>100</v>
      </c>
      <c r="Z26" s="152"/>
      <c r="AA26" s="205">
        <f>'Exhibit RMP(WRG-1)'!Q15</f>
        <v>4.695013524768351E-2</v>
      </c>
      <c r="AB26" s="193"/>
      <c r="AC26" s="187">
        <f>I25/$A25*100</f>
        <v>10.418461538461539</v>
      </c>
      <c r="AD26" s="187">
        <f>K25/A25*100</f>
        <v>10.061538461538461</v>
      </c>
      <c r="AE26" s="187">
        <f>Q25/$A25*100</f>
        <v>8.7800000000000011</v>
      </c>
      <c r="AF26" s="187">
        <f>S25/$A25*100</f>
        <v>8.48</v>
      </c>
    </row>
    <row r="27" spans="1:32">
      <c r="A27" s="163">
        <v>1500</v>
      </c>
      <c r="C27" s="175">
        <f t="shared" si="6"/>
        <v>4</v>
      </c>
      <c r="E27" s="175">
        <f t="shared" si="7"/>
        <v>10</v>
      </c>
      <c r="G27" s="175">
        <f t="shared" si="8"/>
        <v>6</v>
      </c>
      <c r="I27" s="181">
        <f t="shared" si="16"/>
        <v>161.35</v>
      </c>
      <c r="K27" s="181">
        <f t="shared" si="9"/>
        <v>155.83000000000001</v>
      </c>
      <c r="L27" s="181"/>
      <c r="M27" s="182">
        <f t="shared" si="17"/>
        <v>-5.5199999999999818</v>
      </c>
      <c r="O27" s="183">
        <f t="shared" si="18"/>
        <v>-3.4000000000000002E-2</v>
      </c>
      <c r="Q27" s="181">
        <f t="shared" si="12"/>
        <v>131.66</v>
      </c>
      <c r="S27" s="181">
        <f t="shared" si="13"/>
        <v>127.16</v>
      </c>
      <c r="T27" s="181"/>
      <c r="U27" s="182">
        <f t="shared" si="19"/>
        <v>-4.5</v>
      </c>
      <c r="W27" s="183">
        <f t="shared" si="20"/>
        <v>-3.4000000000000002E-2</v>
      </c>
      <c r="Y27" s="154" t="s">
        <v>101</v>
      </c>
      <c r="Z27" s="205"/>
      <c r="AB27" s="193"/>
      <c r="AC27" s="187">
        <f>I26/$A26*100</f>
        <v>10.599285714285713</v>
      </c>
      <c r="AD27" s="187">
        <f>K26/A26*100</f>
        <v>10.236428571428572</v>
      </c>
      <c r="AE27" s="187">
        <f>Q26/$A26*100</f>
        <v>8.7785714285714285</v>
      </c>
      <c r="AF27" s="187">
        <f>S26/$A26*100</f>
        <v>8.4785714285714278</v>
      </c>
    </row>
    <row r="28" spans="1:32">
      <c r="A28" s="163">
        <v>2000</v>
      </c>
      <c r="C28" s="175">
        <f t="shared" si="6"/>
        <v>4</v>
      </c>
      <c r="E28" s="175">
        <f t="shared" si="7"/>
        <v>10</v>
      </c>
      <c r="G28" s="175">
        <f t="shared" si="8"/>
        <v>6</v>
      </c>
      <c r="I28" s="181">
        <f t="shared" si="16"/>
        <v>226.12</v>
      </c>
      <c r="K28" s="181">
        <f t="shared" si="9"/>
        <v>218.38</v>
      </c>
      <c r="L28" s="181"/>
      <c r="M28" s="182">
        <f t="shared" si="17"/>
        <v>-7.7400000000000091</v>
      </c>
      <c r="O28" s="183">
        <f t="shared" si="18"/>
        <v>-3.4000000000000002E-2</v>
      </c>
      <c r="Q28" s="181">
        <f t="shared" si="12"/>
        <v>175.46</v>
      </c>
      <c r="S28" s="181">
        <f t="shared" si="13"/>
        <v>169.46</v>
      </c>
      <c r="T28" s="181"/>
      <c r="U28" s="182">
        <f t="shared" si="19"/>
        <v>-6</v>
      </c>
      <c r="W28" s="183">
        <f t="shared" si="20"/>
        <v>-3.4000000000000002E-2</v>
      </c>
      <c r="Y28" s="154" t="s">
        <v>102</v>
      </c>
      <c r="Z28" s="205"/>
      <c r="AA28" s="206"/>
      <c r="AB28" s="193"/>
      <c r="AC28" s="187">
        <f>I27/$A27*100</f>
        <v>10.756666666666666</v>
      </c>
      <c r="AD28" s="187">
        <f>K27/A27*100</f>
        <v>10.388666666666667</v>
      </c>
      <c r="AE28" s="187">
        <f>Q27/$A27*100</f>
        <v>8.777333333333333</v>
      </c>
      <c r="AF28" s="187">
        <f>S27/$A27*100</f>
        <v>8.4773333333333323</v>
      </c>
    </row>
    <row r="29" spans="1:32">
      <c r="A29" s="163">
        <v>3000</v>
      </c>
      <c r="C29" s="175">
        <f t="shared" si="6"/>
        <v>4</v>
      </c>
      <c r="E29" s="175">
        <f t="shared" si="7"/>
        <v>10</v>
      </c>
      <c r="G29" s="175">
        <f t="shared" si="8"/>
        <v>6</v>
      </c>
      <c r="I29" s="181">
        <f t="shared" si="16"/>
        <v>355.67</v>
      </c>
      <c r="K29" s="181">
        <f t="shared" si="9"/>
        <v>343.49</v>
      </c>
      <c r="L29" s="181"/>
      <c r="M29" s="182">
        <f t="shared" si="17"/>
        <v>-12.180000000000007</v>
      </c>
      <c r="O29" s="183">
        <f t="shared" si="18"/>
        <v>-3.4000000000000002E-2</v>
      </c>
      <c r="Q29" s="181">
        <f t="shared" si="12"/>
        <v>263.06</v>
      </c>
      <c r="S29" s="181">
        <f t="shared" si="13"/>
        <v>254.06</v>
      </c>
      <c r="T29" s="181"/>
      <c r="U29" s="182">
        <f t="shared" si="19"/>
        <v>-9</v>
      </c>
      <c r="W29" s="183">
        <f t="shared" si="20"/>
        <v>-3.4000000000000002E-2</v>
      </c>
      <c r="Y29" s="154" t="s">
        <v>103</v>
      </c>
      <c r="Z29" s="205">
        <v>-2.64E-2</v>
      </c>
      <c r="AA29" s="206">
        <f>Z29</f>
        <v>-2.64E-2</v>
      </c>
      <c r="AB29" s="193">
        <f t="shared" si="15"/>
        <v>0</v>
      </c>
      <c r="AC29" s="187"/>
      <c r="AD29" s="187"/>
      <c r="AE29" s="187"/>
      <c r="AF29" s="187"/>
    </row>
    <row r="30" spans="1:32">
      <c r="A30" s="163">
        <v>4000</v>
      </c>
      <c r="C30" s="175">
        <f t="shared" si="6"/>
        <v>4</v>
      </c>
      <c r="E30" s="175">
        <f t="shared" si="7"/>
        <v>10</v>
      </c>
      <c r="G30" s="175">
        <f t="shared" si="8"/>
        <v>6</v>
      </c>
      <c r="I30" s="181">
        <f t="shared" si="16"/>
        <v>485.21</v>
      </c>
      <c r="K30" s="181">
        <f t="shared" si="9"/>
        <v>468.59</v>
      </c>
      <c r="L30" s="181"/>
      <c r="M30" s="182">
        <f t="shared" si="17"/>
        <v>-16.620000000000005</v>
      </c>
      <c r="O30" s="183">
        <f t="shared" si="18"/>
        <v>-3.4000000000000002E-2</v>
      </c>
      <c r="Q30" s="181">
        <f t="shared" si="12"/>
        <v>350.67</v>
      </c>
      <c r="S30" s="181">
        <f t="shared" si="13"/>
        <v>338.66</v>
      </c>
      <c r="T30" s="181"/>
      <c r="U30" s="182">
        <f t="shared" si="19"/>
        <v>-12.009999999999991</v>
      </c>
      <c r="W30" s="183">
        <f t="shared" si="20"/>
        <v>-3.4000000000000002E-2</v>
      </c>
      <c r="Y30" s="152" t="s">
        <v>10</v>
      </c>
      <c r="Z30" s="205">
        <f>SUM(Z27:Z29)</f>
        <v>-2.64E-2</v>
      </c>
      <c r="AA30" s="206">
        <f>SUM(AA27:AA29)</f>
        <v>-2.64E-2</v>
      </c>
      <c r="AB30" s="193">
        <f t="shared" si="15"/>
        <v>0</v>
      </c>
      <c r="AC30" s="187">
        <f>I28/$A28*100</f>
        <v>11.306000000000001</v>
      </c>
      <c r="AD30" s="187">
        <f>K28/A28*100</f>
        <v>10.918999999999999</v>
      </c>
      <c r="AE30" s="187">
        <f>Q28/$A28*100</f>
        <v>8.7729999999999997</v>
      </c>
      <c r="AF30" s="187">
        <f>S28/$A28*100</f>
        <v>8.4730000000000008</v>
      </c>
    </row>
    <row r="31" spans="1:32">
      <c r="A31" s="163">
        <v>5000</v>
      </c>
      <c r="C31" s="175">
        <f t="shared" si="6"/>
        <v>4</v>
      </c>
      <c r="E31" s="175">
        <f t="shared" si="7"/>
        <v>10</v>
      </c>
      <c r="G31" s="175">
        <f t="shared" si="8"/>
        <v>6</v>
      </c>
      <c r="I31" s="181">
        <f t="shared" si="16"/>
        <v>614.76</v>
      </c>
      <c r="K31" s="181">
        <f t="shared" si="9"/>
        <v>593.70000000000005</v>
      </c>
      <c r="L31" s="181"/>
      <c r="M31" s="182">
        <f t="shared" si="17"/>
        <v>-21.059999999999945</v>
      </c>
      <c r="O31" s="183">
        <f t="shared" si="18"/>
        <v>-3.4000000000000002E-2</v>
      </c>
      <c r="Q31" s="181">
        <f t="shared" si="12"/>
        <v>438.27</v>
      </c>
      <c r="S31" s="181">
        <f t="shared" si="13"/>
        <v>423.25</v>
      </c>
      <c r="T31" s="181"/>
      <c r="U31" s="182">
        <f t="shared" si="19"/>
        <v>-15.019999999999982</v>
      </c>
      <c r="W31" s="183">
        <f t="shared" si="20"/>
        <v>-3.4000000000000002E-2</v>
      </c>
      <c r="AC31" s="187">
        <f>I29/$A29*100</f>
        <v>11.855666666666668</v>
      </c>
      <c r="AD31" s="187">
        <f>K29/A29*100</f>
        <v>11.449666666666666</v>
      </c>
      <c r="AE31" s="187">
        <f>Q29/$A29*100</f>
        <v>8.7686666666666664</v>
      </c>
      <c r="AF31" s="187">
        <f>S29/$A29*100</f>
        <v>8.4686666666666675</v>
      </c>
    </row>
    <row r="32" spans="1:32">
      <c r="X32" s="207"/>
      <c r="AC32" s="187">
        <f>I30/$A30*100</f>
        <v>12.13025</v>
      </c>
      <c r="AD32" s="187">
        <f>K30/A30*100</f>
        <v>11.714749999999999</v>
      </c>
      <c r="AE32" s="187">
        <f>Q30/$A30*100</f>
        <v>8.7667500000000018</v>
      </c>
      <c r="AF32" s="187">
        <f>S30/$A30*100</f>
        <v>8.4664999999999999</v>
      </c>
    </row>
    <row r="33" spans="1:36">
      <c r="Y33" s="208"/>
      <c r="Z33" s="152"/>
      <c r="AA33" s="152"/>
      <c r="AC33" s="187">
        <f>I31/$A31*100</f>
        <v>12.295199999999999</v>
      </c>
      <c r="AD33" s="187">
        <f>K31/A31*100</f>
        <v>11.874000000000001</v>
      </c>
      <c r="AE33" s="187">
        <f>Q31/$A31*100</f>
        <v>8.7653999999999996</v>
      </c>
      <c r="AF33" s="187">
        <f>S31/$A31*100</f>
        <v>8.4649999999999999</v>
      </c>
    </row>
    <row r="34" spans="1:36" ht="15.75">
      <c r="A34" s="209" t="s">
        <v>11</v>
      </c>
      <c r="Y34" s="152"/>
      <c r="Z34" s="152"/>
      <c r="AA34" s="152"/>
      <c r="AC34" s="210"/>
      <c r="AD34" s="158"/>
    </row>
    <row r="35" spans="1:36">
      <c r="A35" s="163" t="s">
        <v>12</v>
      </c>
      <c r="Z35" s="211" t="s">
        <v>77</v>
      </c>
      <c r="AA35" s="212"/>
      <c r="AB35" s="212"/>
      <c r="AC35" s="213" t="s">
        <v>388</v>
      </c>
      <c r="AD35" s="214"/>
      <c r="AE35" s="212" t="s">
        <v>76</v>
      </c>
      <c r="AF35" s="215" t="s">
        <v>13</v>
      </c>
    </row>
    <row r="36" spans="1:36" ht="15.75">
      <c r="A36" s="209"/>
      <c r="Y36" s="152"/>
      <c r="Z36" s="216" t="s">
        <v>78</v>
      </c>
      <c r="AA36" s="216" t="s">
        <v>76</v>
      </c>
      <c r="AB36" s="216" t="s">
        <v>377</v>
      </c>
      <c r="AC36" s="217" t="s">
        <v>79</v>
      </c>
      <c r="AD36" s="218" t="s">
        <v>417</v>
      </c>
      <c r="AE36" s="219" t="s">
        <v>390</v>
      </c>
      <c r="AF36" s="219" t="s">
        <v>390</v>
      </c>
    </row>
    <row r="37" spans="1:36">
      <c r="Y37" s="220" t="s">
        <v>86</v>
      </c>
      <c r="Z37" s="221">
        <f>'Resid Rate Calc (rev WRG-3)'!AD28</f>
        <v>833.10766861015759</v>
      </c>
      <c r="AA37" s="222">
        <f>I20</f>
        <v>79.19</v>
      </c>
      <c r="AB37" s="222">
        <f>K20</f>
        <v>76.489999999999995</v>
      </c>
      <c r="AC37" s="222">
        <f>AB37-AA37</f>
        <v>-2.7000000000000028</v>
      </c>
      <c r="AD37" s="223">
        <f>AB37/AA37-1</f>
        <v>-3.409521404217708E-2</v>
      </c>
      <c r="AE37" s="220">
        <f t="shared" ref="AE37:AF39" si="21">ROUND(AA37/$Z37*100,2)</f>
        <v>9.51</v>
      </c>
      <c r="AF37" s="224">
        <f t="shared" si="21"/>
        <v>9.18</v>
      </c>
    </row>
    <row r="38" spans="1:36">
      <c r="Y38" s="224" t="s">
        <v>87</v>
      </c>
      <c r="Z38" s="221">
        <f>'Resid Rate Calc (rev WRG-3)'!AD29</f>
        <v>718.981593491534</v>
      </c>
      <c r="AA38" s="222">
        <f>Q17</f>
        <v>63.24</v>
      </c>
      <c r="AB38" s="222">
        <f>S17</f>
        <v>61.09</v>
      </c>
      <c r="AC38" s="222">
        <f>AB38-AA38</f>
        <v>-2.1499999999999986</v>
      </c>
      <c r="AD38" s="225">
        <f>AB38/AA38-1</f>
        <v>-3.3997469955724169E-2</v>
      </c>
      <c r="AE38" s="226">
        <f t="shared" si="21"/>
        <v>8.8000000000000007</v>
      </c>
      <c r="AF38" s="224">
        <f t="shared" si="21"/>
        <v>8.5</v>
      </c>
    </row>
    <row r="39" spans="1:36">
      <c r="Y39" s="227" t="s">
        <v>14</v>
      </c>
      <c r="Z39" s="228">
        <f>'Resid Rate Calc (rev WRG-3)'!AD27</f>
        <v>766.5341247909605</v>
      </c>
      <c r="AA39" s="229">
        <f>(I18*5+Q18*7)/12</f>
        <v>69.430833333333339</v>
      </c>
      <c r="AB39" s="229">
        <f>(K18*5+S18*7)/12</f>
        <v>67.06</v>
      </c>
      <c r="AC39" s="229">
        <f>AB39-AA39</f>
        <v>-2.3708333333333371</v>
      </c>
      <c r="AD39" s="230">
        <f>AB39/AA39-1</f>
        <v>-3.4146692751779395E-2</v>
      </c>
      <c r="AE39" s="227">
        <f t="shared" si="21"/>
        <v>9.06</v>
      </c>
      <c r="AF39" s="227">
        <f t="shared" si="21"/>
        <v>8.75</v>
      </c>
    </row>
    <row r="40" spans="1:36">
      <c r="P40" s="183"/>
      <c r="Q40" s="183"/>
      <c r="R40" s="183"/>
      <c r="S40" s="183"/>
      <c r="T40" s="183"/>
      <c r="U40" s="183"/>
      <c r="AA40" s="181"/>
    </row>
    <row r="41" spans="1:36">
      <c r="P41" s="183"/>
      <c r="Q41" s="183"/>
      <c r="R41" s="183"/>
      <c r="S41" s="183"/>
      <c r="T41" s="183"/>
      <c r="U41" s="183"/>
      <c r="Z41" s="213" t="s">
        <v>15</v>
      </c>
      <c r="AA41" s="214"/>
      <c r="AB41" s="213" t="s">
        <v>16</v>
      </c>
      <c r="AC41" s="214"/>
      <c r="AD41" s="152"/>
      <c r="AE41" s="152"/>
      <c r="AF41" s="152"/>
      <c r="AG41" s="152"/>
      <c r="AH41" s="152"/>
      <c r="AI41" s="152"/>
      <c r="AJ41" s="152"/>
    </row>
    <row r="42" spans="1:36">
      <c r="P42" s="183"/>
      <c r="Q42" s="183"/>
      <c r="R42" s="183"/>
      <c r="S42" s="183"/>
      <c r="T42" s="183"/>
      <c r="U42" s="183"/>
      <c r="Y42" s="154" t="s">
        <v>17</v>
      </c>
      <c r="Z42" s="231" t="s">
        <v>18</v>
      </c>
      <c r="AA42" s="232" t="s">
        <v>19</v>
      </c>
      <c r="AB42" s="231" t="s">
        <v>18</v>
      </c>
      <c r="AC42" s="232" t="s">
        <v>19</v>
      </c>
    </row>
    <row r="43" spans="1:36">
      <c r="P43" s="183"/>
      <c r="Q43" s="183"/>
      <c r="R43" s="183"/>
      <c r="S43" s="183"/>
      <c r="T43" s="183"/>
      <c r="U43" s="183"/>
      <c r="Y43" s="233" t="s">
        <v>90</v>
      </c>
      <c r="Z43" s="234">
        <f>'Resid Rate Calc (rev WRG-3)'!I19</f>
        <v>4</v>
      </c>
      <c r="AA43" s="235">
        <f>'Resid Rate Calc (rev WRG-3)'!O19</f>
        <v>10</v>
      </c>
      <c r="AB43" s="234">
        <f>'Resid Rate Calc (rev WRG-3)'!I20</f>
        <v>8</v>
      </c>
      <c r="AC43" s="235">
        <f>'Resid Rate Calc (rev WRG-3)'!O20</f>
        <v>20</v>
      </c>
    </row>
    <row r="44" spans="1:36">
      <c r="P44" s="183"/>
      <c r="Q44" s="183"/>
      <c r="R44" s="183"/>
      <c r="S44" s="183"/>
      <c r="T44" s="183"/>
      <c r="U44" s="183"/>
      <c r="Y44" s="190" t="s">
        <v>20</v>
      </c>
      <c r="Z44" s="236">
        <f>'Resid Rate Calc (rev WRG-3)'!I25</f>
        <v>7</v>
      </c>
      <c r="AA44" s="237">
        <f>'Resid Rate Calc (rev WRG-3)'!O25</f>
        <v>10</v>
      </c>
      <c r="AB44" s="236">
        <f>'Resid Rate Calc (rev WRG-3)'!I26</f>
        <v>14</v>
      </c>
      <c r="AC44" s="237">
        <f>'Resid Rate Calc (rev WRG-3)'!O26</f>
        <v>20</v>
      </c>
    </row>
    <row r="45" spans="1:36">
      <c r="P45" s="183"/>
      <c r="Q45" s="183"/>
      <c r="R45" s="183"/>
      <c r="S45" s="183"/>
      <c r="T45" s="183"/>
      <c r="U45" s="183"/>
      <c r="Y45" s="190" t="s">
        <v>21</v>
      </c>
      <c r="Z45" s="238">
        <f>ROUND((Z$44-Z$43)/($Z13/100),0)</f>
        <v>36</v>
      </c>
      <c r="AA45" s="238">
        <f>ROUND((AA$44-AA$43)/($AA13/100),0)</f>
        <v>0</v>
      </c>
      <c r="AB45" s="238">
        <f>ROUND((AB$44-AB$43)/($Z13/100),0)</f>
        <v>71</v>
      </c>
      <c r="AC45" s="239">
        <f>ROUND((AC$44-AC$43)/($AA13/100),0)</f>
        <v>0</v>
      </c>
    </row>
    <row r="46" spans="1:36">
      <c r="P46" s="183"/>
      <c r="Q46" s="183"/>
      <c r="R46" s="183"/>
      <c r="S46" s="183"/>
      <c r="T46" s="183"/>
      <c r="U46" s="183"/>
      <c r="Y46" s="202" t="s">
        <v>22</v>
      </c>
      <c r="Z46" s="240">
        <f>ROUND((Z$44-Z$43)/($Z21/100),0)</f>
        <v>34</v>
      </c>
      <c r="AA46" s="240">
        <f>ROUND((AA$44-AA$43)/($AA21/100),0)</f>
        <v>0</v>
      </c>
      <c r="AB46" s="240">
        <f>ROUND((AB$44-AB$43)/($Z21/100),0)</f>
        <v>69</v>
      </c>
      <c r="AC46" s="241">
        <f>ROUND((AC$44-AC$43)/($AA21/100),0)</f>
        <v>0</v>
      </c>
    </row>
    <row r="47" spans="1:36">
      <c r="P47" s="183"/>
      <c r="Q47" s="183"/>
      <c r="R47" s="183"/>
      <c r="S47" s="183"/>
      <c r="T47" s="183"/>
      <c r="U47" s="183"/>
    </row>
    <row r="48" spans="1:36">
      <c r="G48" s="152"/>
      <c r="H48" s="152"/>
      <c r="I48" s="158"/>
      <c r="J48" s="152"/>
      <c r="K48" s="158"/>
      <c r="L48" s="152"/>
      <c r="M48" s="198"/>
      <c r="N48" s="152"/>
      <c r="O48" s="152"/>
      <c r="P48" s="244"/>
      <c r="Q48" s="244"/>
      <c r="R48" s="183"/>
      <c r="S48" s="183"/>
      <c r="T48" s="183"/>
      <c r="U48" s="183"/>
    </row>
    <row r="49" spans="1:21">
      <c r="G49" s="152"/>
      <c r="H49" s="152"/>
      <c r="I49" s="160"/>
      <c r="J49" s="245"/>
      <c r="K49" s="242"/>
      <c r="L49" s="151"/>
      <c r="M49" s="246"/>
      <c r="N49" s="151"/>
      <c r="O49" s="151"/>
      <c r="P49" s="244"/>
      <c r="Q49" s="244"/>
      <c r="R49" s="183"/>
      <c r="S49" s="183"/>
      <c r="T49" s="183"/>
      <c r="U49" s="183"/>
    </row>
    <row r="50" spans="1:21">
      <c r="G50" s="152"/>
      <c r="H50" s="152"/>
      <c r="I50" s="242"/>
      <c r="J50" s="151"/>
      <c r="K50" s="242"/>
      <c r="L50" s="152"/>
      <c r="M50" s="242"/>
      <c r="N50" s="151"/>
      <c r="O50" s="242"/>
      <c r="P50" s="244"/>
      <c r="Q50" s="244"/>
      <c r="R50" s="183"/>
      <c r="S50" s="183"/>
      <c r="T50" s="183"/>
      <c r="U50" s="183"/>
    </row>
    <row r="51" spans="1:21">
      <c r="G51" s="247"/>
      <c r="H51" s="152"/>
      <c r="I51" s="242"/>
      <c r="J51" s="152"/>
      <c r="K51" s="248"/>
      <c r="L51" s="152"/>
      <c r="M51" s="249"/>
      <c r="N51" s="152"/>
      <c r="O51" s="243"/>
      <c r="P51" s="244"/>
      <c r="Q51" s="244"/>
      <c r="R51" s="183"/>
      <c r="S51" s="183"/>
      <c r="T51" s="183"/>
      <c r="U51" s="183"/>
    </row>
    <row r="52" spans="1:21">
      <c r="A52" s="154"/>
      <c r="G52" s="250"/>
      <c r="H52" s="152"/>
      <c r="I52" s="158"/>
      <c r="J52" s="152"/>
      <c r="K52" s="158"/>
      <c r="L52" s="158"/>
      <c r="M52" s="251"/>
      <c r="N52" s="152"/>
      <c r="O52" s="244"/>
      <c r="P52" s="244"/>
      <c r="Q52" s="244"/>
      <c r="R52" s="183"/>
      <c r="S52" s="183"/>
      <c r="T52" s="183"/>
      <c r="U52" s="183"/>
    </row>
    <row r="53" spans="1:21">
      <c r="A53" s="154"/>
      <c r="G53" s="250"/>
      <c r="H53" s="152"/>
      <c r="I53" s="158"/>
      <c r="J53" s="152"/>
      <c r="K53" s="158"/>
      <c r="L53" s="158"/>
      <c r="M53" s="251"/>
      <c r="N53" s="152"/>
      <c r="O53" s="244"/>
      <c r="P53" s="244"/>
      <c r="Q53" s="244"/>
      <c r="R53" s="183"/>
      <c r="S53" s="183"/>
      <c r="T53" s="183"/>
      <c r="U53" s="183"/>
    </row>
    <row r="54" spans="1:21">
      <c r="A54" s="154"/>
      <c r="G54" s="250"/>
      <c r="H54" s="152"/>
      <c r="I54" s="158"/>
      <c r="J54" s="152"/>
      <c r="K54" s="158"/>
      <c r="L54" s="158"/>
      <c r="M54" s="251"/>
      <c r="N54" s="152"/>
      <c r="O54" s="244"/>
      <c r="P54" s="244"/>
      <c r="Q54" s="244"/>
      <c r="R54" s="183"/>
      <c r="S54" s="183"/>
      <c r="T54" s="183"/>
      <c r="U54" s="183"/>
    </row>
    <row r="55" spans="1:21">
      <c r="A55" s="154"/>
      <c r="G55" s="250"/>
      <c r="H55" s="152"/>
      <c r="I55" s="158"/>
      <c r="J55" s="152"/>
      <c r="K55" s="158"/>
      <c r="L55" s="158"/>
      <c r="M55" s="251"/>
      <c r="N55" s="152"/>
      <c r="O55" s="244"/>
      <c r="P55" s="244"/>
      <c r="Q55" s="244"/>
      <c r="R55" s="183"/>
      <c r="S55" s="183"/>
      <c r="T55" s="183"/>
      <c r="U55" s="183"/>
    </row>
    <row r="56" spans="1:21">
      <c r="A56" s="154"/>
      <c r="G56" s="250"/>
      <c r="H56" s="152"/>
      <c r="I56" s="158"/>
      <c r="J56" s="152"/>
      <c r="K56" s="158"/>
      <c r="L56" s="158"/>
      <c r="M56" s="251"/>
      <c r="N56" s="152"/>
      <c r="O56" s="244"/>
      <c r="P56" s="244"/>
      <c r="Q56" s="244"/>
      <c r="R56" s="183"/>
      <c r="S56" s="183"/>
      <c r="T56" s="183"/>
      <c r="U56" s="183"/>
    </row>
    <row r="57" spans="1:21">
      <c r="A57" s="154"/>
      <c r="G57" s="250"/>
      <c r="H57" s="152"/>
      <c r="I57" s="158"/>
      <c r="J57" s="152"/>
      <c r="K57" s="158"/>
      <c r="L57" s="158"/>
      <c r="M57" s="251"/>
      <c r="N57" s="152"/>
      <c r="O57" s="244"/>
      <c r="P57" s="244"/>
      <c r="Q57" s="244"/>
      <c r="R57" s="183"/>
      <c r="S57" s="183"/>
      <c r="T57" s="183"/>
      <c r="U57" s="183"/>
    </row>
    <row r="58" spans="1:21">
      <c r="A58" s="154"/>
      <c r="G58" s="250"/>
      <c r="H58" s="152"/>
      <c r="I58" s="158"/>
      <c r="J58" s="152"/>
      <c r="K58" s="158"/>
      <c r="L58" s="158"/>
      <c r="M58" s="251"/>
      <c r="N58" s="152"/>
      <c r="O58" s="244"/>
      <c r="P58" s="244"/>
      <c r="Q58" s="244"/>
      <c r="R58" s="183"/>
      <c r="S58" s="183"/>
      <c r="T58" s="183"/>
      <c r="U58" s="183"/>
    </row>
    <row r="59" spans="1:21">
      <c r="A59" s="154"/>
      <c r="G59" s="250"/>
      <c r="H59" s="152"/>
      <c r="I59" s="158"/>
      <c r="J59" s="152"/>
      <c r="K59" s="158"/>
      <c r="L59" s="158"/>
      <c r="M59" s="251"/>
      <c r="N59" s="152"/>
      <c r="O59" s="244"/>
      <c r="P59" s="244"/>
      <c r="Q59" s="244"/>
      <c r="R59" s="183"/>
      <c r="S59" s="183"/>
      <c r="T59" s="183"/>
      <c r="U59" s="183"/>
    </row>
    <row r="60" spans="1:21">
      <c r="A60" s="154"/>
      <c r="G60" s="250"/>
      <c r="H60" s="152"/>
      <c r="I60" s="158"/>
      <c r="J60" s="152"/>
      <c r="K60" s="158"/>
      <c r="L60" s="158"/>
      <c r="M60" s="251"/>
      <c r="N60" s="152"/>
      <c r="O60" s="244"/>
      <c r="P60" s="244"/>
      <c r="Q60" s="244"/>
      <c r="R60" s="183"/>
      <c r="S60" s="183"/>
      <c r="T60" s="183"/>
      <c r="U60" s="183"/>
    </row>
    <row r="61" spans="1:21">
      <c r="A61" s="154"/>
      <c r="G61" s="250"/>
      <c r="H61" s="152"/>
      <c r="I61" s="158"/>
      <c r="J61" s="152"/>
      <c r="K61" s="158"/>
      <c r="L61" s="158"/>
      <c r="M61" s="251"/>
      <c r="N61" s="152"/>
      <c r="O61" s="244"/>
      <c r="P61" s="152"/>
      <c r="Q61" s="158"/>
    </row>
    <row r="62" spans="1:21">
      <c r="A62" s="154"/>
      <c r="G62" s="250"/>
      <c r="H62" s="152"/>
      <c r="I62" s="158"/>
      <c r="J62" s="152"/>
      <c r="K62" s="158"/>
      <c r="L62" s="158"/>
      <c r="M62" s="251"/>
      <c r="N62" s="152"/>
      <c r="O62" s="244"/>
      <c r="P62" s="152"/>
      <c r="Q62" s="158"/>
    </row>
    <row r="63" spans="1:21">
      <c r="A63" s="154"/>
      <c r="G63" s="250"/>
      <c r="H63" s="152"/>
      <c r="I63" s="158"/>
      <c r="J63" s="152"/>
      <c r="K63" s="158"/>
      <c r="L63" s="158"/>
      <c r="M63" s="251"/>
      <c r="N63" s="152"/>
      <c r="O63" s="244"/>
      <c r="P63" s="152"/>
      <c r="Q63" s="158"/>
    </row>
    <row r="64" spans="1:21">
      <c r="A64" s="154"/>
      <c r="G64" s="250"/>
      <c r="H64" s="152"/>
      <c r="I64" s="158"/>
      <c r="J64" s="152"/>
      <c r="K64" s="158"/>
      <c r="L64" s="158"/>
      <c r="M64" s="251"/>
      <c r="N64" s="152"/>
      <c r="O64" s="244"/>
      <c r="P64" s="152"/>
      <c r="Q64" s="158"/>
    </row>
    <row r="65" spans="1:17">
      <c r="A65" s="154"/>
      <c r="G65" s="250"/>
      <c r="H65" s="152"/>
      <c r="I65" s="158"/>
      <c r="J65" s="152"/>
      <c r="K65" s="158"/>
      <c r="L65" s="158"/>
      <c r="M65" s="251"/>
      <c r="N65" s="152"/>
      <c r="O65" s="244"/>
      <c r="P65" s="152"/>
      <c r="Q65" s="158"/>
    </row>
    <row r="66" spans="1:17">
      <c r="A66" s="154"/>
      <c r="G66" s="250"/>
      <c r="H66" s="152"/>
      <c r="I66" s="158"/>
      <c r="J66" s="152"/>
      <c r="K66" s="158"/>
      <c r="L66" s="158"/>
      <c r="M66" s="251"/>
      <c r="N66" s="152"/>
      <c r="O66" s="244"/>
      <c r="P66" s="152"/>
      <c r="Q66" s="158"/>
    </row>
    <row r="67" spans="1:17">
      <c r="A67" s="154"/>
      <c r="G67" s="250"/>
      <c r="H67" s="152"/>
      <c r="I67" s="158"/>
      <c r="J67" s="152"/>
      <c r="K67" s="158"/>
      <c r="L67" s="158"/>
      <c r="M67" s="251"/>
      <c r="N67" s="152"/>
      <c r="O67" s="244"/>
      <c r="P67" s="152"/>
      <c r="Q67" s="158"/>
    </row>
    <row r="68" spans="1:17">
      <c r="A68" s="154"/>
      <c r="G68" s="250"/>
      <c r="H68" s="152"/>
      <c r="I68" s="158"/>
      <c r="J68" s="152"/>
      <c r="K68" s="158"/>
      <c r="L68" s="158"/>
      <c r="M68" s="251"/>
      <c r="N68" s="152"/>
      <c r="O68" s="244"/>
      <c r="P68" s="152"/>
      <c r="Q68" s="158"/>
    </row>
    <row r="69" spans="1:17">
      <c r="A69" s="154"/>
      <c r="G69" s="250"/>
      <c r="H69" s="152"/>
      <c r="I69" s="158"/>
      <c r="J69" s="152"/>
      <c r="K69" s="158"/>
      <c r="L69" s="158"/>
      <c r="M69" s="251"/>
      <c r="N69" s="152"/>
      <c r="O69" s="244"/>
      <c r="P69" s="152"/>
      <c r="Q69" s="158"/>
    </row>
    <row r="70" spans="1:17">
      <c r="A70" s="154"/>
      <c r="G70" s="250"/>
      <c r="H70" s="152"/>
      <c r="I70" s="158"/>
      <c r="J70" s="152"/>
      <c r="K70" s="158"/>
      <c r="L70" s="158"/>
      <c r="M70" s="251"/>
      <c r="N70" s="152"/>
      <c r="O70" s="244"/>
      <c r="P70" s="152"/>
      <c r="Q70" s="158"/>
    </row>
    <row r="71" spans="1:17">
      <c r="A71" s="154"/>
      <c r="G71" s="250"/>
      <c r="H71" s="152"/>
      <c r="I71" s="158"/>
      <c r="J71" s="152"/>
      <c r="K71" s="158"/>
      <c r="L71" s="158"/>
      <c r="M71" s="251"/>
      <c r="N71" s="152"/>
      <c r="O71" s="244"/>
      <c r="P71" s="152"/>
      <c r="Q71" s="158"/>
    </row>
    <row r="72" spans="1:17">
      <c r="A72" s="154"/>
      <c r="G72" s="250"/>
      <c r="H72" s="152"/>
      <c r="I72" s="158"/>
      <c r="J72" s="152"/>
      <c r="K72" s="158"/>
      <c r="L72" s="158"/>
      <c r="M72" s="251"/>
      <c r="N72" s="152"/>
      <c r="O72" s="244"/>
      <c r="P72" s="152"/>
      <c r="Q72" s="158"/>
    </row>
  </sheetData>
  <phoneticPr fontId="39" type="noConversion"/>
  <printOptions horizontalCentered="1"/>
  <pageMargins left="0.75" right="0.75" top="1" bottom="0.5" header="0.5" footer="0.2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V67"/>
  <sheetViews>
    <sheetView tabSelected="1" zoomScale="70" zoomScaleNormal="70" zoomScalePageLayoutView="70" workbookViewId="0">
      <selection activeCell="U6" sqref="U6"/>
    </sheetView>
  </sheetViews>
  <sheetFormatPr defaultColWidth="8.875" defaultRowHeight="15.75"/>
  <cols>
    <col min="1" max="1" width="4.625" style="6" customWidth="1"/>
    <col min="2" max="2" width="1.625" style="6" customWidth="1"/>
    <col min="3" max="3" width="35.625" style="6" customWidth="1"/>
    <col min="4" max="4" width="1.5" style="26" customWidth="1"/>
    <col min="5" max="5" width="7.5" style="6" bestFit="1" customWidth="1"/>
    <col min="6" max="6" width="0.625" style="26" customWidth="1"/>
    <col min="7" max="7" width="10.625" style="26" bestFit="1" customWidth="1"/>
    <col min="8" max="8" width="0.625" style="26" customWidth="1"/>
    <col min="9" max="9" width="12.125" style="26" bestFit="1" customWidth="1"/>
    <col min="10" max="10" width="1.625" style="26" customWidth="1"/>
    <col min="11" max="11" width="12.125" style="26" bestFit="1" customWidth="1"/>
    <col min="12" max="12" width="1.625" style="26" customWidth="1"/>
    <col min="13" max="13" width="13.625" style="26" customWidth="1"/>
    <col min="14" max="14" width="1.625" style="26" customWidth="1"/>
    <col min="15" max="15" width="13.625" style="26" bestFit="1" customWidth="1"/>
    <col min="16" max="16" width="1.625" style="26" customWidth="1"/>
    <col min="17" max="17" width="8.125" style="27" bestFit="1" customWidth="1"/>
    <col min="18" max="18" width="1.625" style="26" customWidth="1"/>
    <col min="19" max="19" width="6.875" style="28" bestFit="1" customWidth="1"/>
    <col min="20" max="20" width="2.875" style="6" customWidth="1"/>
    <col min="21" max="21" width="11.125" style="6" bestFit="1" customWidth="1"/>
    <col min="22" max="16384" width="8.875" style="6"/>
  </cols>
  <sheetData>
    <row r="1" spans="1:22">
      <c r="A1" s="1" t="s">
        <v>371</v>
      </c>
      <c r="B1" s="1"/>
      <c r="C1" s="1"/>
      <c r="D1" s="2"/>
      <c r="E1" s="1"/>
      <c r="F1" s="2"/>
      <c r="G1" s="2"/>
      <c r="H1" s="2"/>
      <c r="I1" s="2"/>
      <c r="J1" s="2"/>
      <c r="K1" s="3"/>
      <c r="L1" s="2"/>
      <c r="M1" s="3"/>
      <c r="N1" s="2"/>
      <c r="O1" s="439" t="s">
        <v>449</v>
      </c>
      <c r="P1" s="2"/>
      <c r="Q1" s="4"/>
      <c r="R1" s="2"/>
      <c r="S1" s="5"/>
    </row>
    <row r="2" spans="1:22" s="8" customFormat="1">
      <c r="A2" s="1" t="s">
        <v>372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440" t="s">
        <v>448</v>
      </c>
      <c r="P2" s="7"/>
      <c r="Q2" s="7"/>
      <c r="R2" s="7"/>
      <c r="S2" s="7"/>
    </row>
    <row r="3" spans="1:22" s="8" customFormat="1">
      <c r="A3" s="1" t="s">
        <v>373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2" s="8" customFormat="1">
      <c r="A4" s="1" t="s">
        <v>374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2" s="8" customFormat="1">
      <c r="A5" s="1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2">
      <c r="A6" s="1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3"/>
      <c r="M6" s="9"/>
      <c r="N6" s="9"/>
      <c r="O6" s="9"/>
      <c r="P6" s="9"/>
      <c r="Q6" s="9"/>
      <c r="R6" s="9"/>
      <c r="S6" s="9"/>
    </row>
    <row r="7" spans="1:22">
      <c r="A7" s="1"/>
      <c r="B7" s="1"/>
      <c r="C7" s="1"/>
      <c r="D7" s="2"/>
      <c r="E7" s="1"/>
      <c r="F7" s="2"/>
      <c r="G7" s="2"/>
      <c r="H7" s="2"/>
      <c r="I7" s="2"/>
      <c r="J7" s="2"/>
      <c r="K7" s="3"/>
      <c r="L7" s="2"/>
      <c r="M7" s="3"/>
      <c r="N7" s="2"/>
      <c r="O7" s="3"/>
      <c r="P7" s="2"/>
      <c r="Q7" s="4"/>
      <c r="R7" s="2"/>
      <c r="S7" s="5"/>
    </row>
    <row r="8" spans="1:22" ht="12" customHeight="1">
      <c r="A8" s="1"/>
      <c r="B8" s="1"/>
      <c r="C8" s="1"/>
      <c r="D8" s="2"/>
      <c r="E8" s="1"/>
      <c r="F8" s="2"/>
      <c r="G8" s="2"/>
      <c r="H8" s="2"/>
      <c r="I8" s="2"/>
      <c r="J8" s="2"/>
      <c r="K8" s="3"/>
      <c r="L8" s="2"/>
      <c r="M8" s="3"/>
      <c r="N8" s="2"/>
      <c r="O8" s="3"/>
      <c r="P8" s="2"/>
      <c r="Q8" s="4"/>
      <c r="R8" s="2"/>
      <c r="S8" s="5"/>
    </row>
    <row r="9" spans="1:22">
      <c r="D9" s="10"/>
      <c r="E9" s="11"/>
      <c r="F9" s="10"/>
      <c r="G9" s="10" t="s">
        <v>375</v>
      </c>
      <c r="H9" s="10"/>
      <c r="I9" s="10"/>
      <c r="J9" s="10"/>
      <c r="K9" s="12" t="s">
        <v>376</v>
      </c>
      <c r="L9" s="10"/>
      <c r="M9" s="12" t="s">
        <v>377</v>
      </c>
      <c r="N9" s="13"/>
      <c r="O9" s="13"/>
      <c r="P9" s="13"/>
      <c r="Q9" s="13"/>
      <c r="R9" s="13"/>
      <c r="S9" s="14"/>
    </row>
    <row r="10" spans="1:22" s="15" customFormat="1">
      <c r="A10" s="15" t="s">
        <v>378</v>
      </c>
      <c r="D10" s="10"/>
      <c r="E10" s="11" t="s">
        <v>379</v>
      </c>
      <c r="F10" s="10"/>
      <c r="G10" s="12" t="s">
        <v>380</v>
      </c>
      <c r="H10" s="10"/>
      <c r="I10" s="10" t="s">
        <v>381</v>
      </c>
      <c r="J10" s="12"/>
      <c r="K10" s="10" t="s">
        <v>382</v>
      </c>
      <c r="L10" s="12"/>
      <c r="M10" s="12" t="s">
        <v>382</v>
      </c>
      <c r="N10" s="12"/>
      <c r="O10" s="13"/>
      <c r="P10" s="13"/>
      <c r="Q10" s="16"/>
      <c r="R10" s="12"/>
      <c r="S10" s="17" t="s">
        <v>383</v>
      </c>
    </row>
    <row r="11" spans="1:22" s="15" customFormat="1">
      <c r="A11" s="15" t="s">
        <v>384</v>
      </c>
      <c r="C11" s="11" t="s">
        <v>385</v>
      </c>
      <c r="E11" s="18" t="s">
        <v>384</v>
      </c>
      <c r="G11" s="19" t="s">
        <v>386</v>
      </c>
      <c r="I11" s="19" t="s">
        <v>386</v>
      </c>
      <c r="K11" s="20" t="s">
        <v>387</v>
      </c>
      <c r="M11" s="20" t="s">
        <v>387</v>
      </c>
      <c r="O11" s="19" t="s">
        <v>388</v>
      </c>
      <c r="Q11" s="21" t="s">
        <v>389</v>
      </c>
      <c r="S11" s="22" t="s">
        <v>390</v>
      </c>
    </row>
    <row r="12" spans="1:22" s="15" customFormat="1">
      <c r="C12" s="23">
        <v>-1</v>
      </c>
      <c r="D12" s="24"/>
      <c r="E12" s="23">
        <f>MIN($A12:D12)-1</f>
        <v>-2</v>
      </c>
      <c r="F12" s="24"/>
      <c r="G12" s="23">
        <f>MIN($A12:F12)-1</f>
        <v>-3</v>
      </c>
      <c r="H12" s="24"/>
      <c r="I12" s="23">
        <f>MIN($A12:H12)-1</f>
        <v>-4</v>
      </c>
      <c r="J12" s="24"/>
      <c r="K12" s="23">
        <f>MIN($A12:J12)-1</f>
        <v>-5</v>
      </c>
      <c r="L12" s="24"/>
      <c r="M12" s="23">
        <f>MIN($A12:L12)-1</f>
        <v>-6</v>
      </c>
      <c r="N12" s="24"/>
      <c r="O12" s="23">
        <f>MIN($A12:N12)-1</f>
        <v>-7</v>
      </c>
      <c r="P12" s="24"/>
      <c r="Q12" s="23">
        <f>MIN($A12:P12)-1</f>
        <v>-8</v>
      </c>
      <c r="R12" s="24"/>
      <c r="S12" s="23">
        <f>MIN($A12:R12)-1</f>
        <v>-9</v>
      </c>
    </row>
    <row r="13" spans="1:22" s="15" customFormat="1">
      <c r="D13" s="25"/>
      <c r="F13" s="25"/>
      <c r="G13" s="25"/>
      <c r="H13" s="25"/>
      <c r="I13" s="25"/>
      <c r="J13" s="25"/>
      <c r="K13" s="25"/>
      <c r="L13" s="25"/>
      <c r="M13" s="25"/>
      <c r="N13" s="25"/>
      <c r="O13" s="10" t="str">
        <f>"(" &amp; -M12&amp; ")-(" &amp; -K12 &amp; ")"</f>
        <v>(6)-(5)</v>
      </c>
      <c r="P13" s="25"/>
      <c r="Q13" s="10" t="str">
        <f>"(" &amp; -O12 &amp; ")/(" &amp; -K12 &amp; ")"</f>
        <v>(7)/(5)</v>
      </c>
      <c r="R13" s="25"/>
      <c r="S13" s="10" t="str">
        <f>"(" &amp; -M12 &amp; ")/(" &amp; -I12 &amp; ")"</f>
        <v>(6)/(4)</v>
      </c>
      <c r="U13" s="11" t="s">
        <v>391</v>
      </c>
    </row>
    <row r="14" spans="1:22" ht="18.75" customHeight="1">
      <c r="C14" s="15" t="s">
        <v>392</v>
      </c>
    </row>
    <row r="15" spans="1:22">
      <c r="A15" s="6">
        <v>1</v>
      </c>
      <c r="C15" s="6" t="s">
        <v>392</v>
      </c>
      <c r="E15" s="29" t="s">
        <v>393</v>
      </c>
      <c r="G15" s="30">
        <v>719579.21600691369</v>
      </c>
      <c r="I15" s="30">
        <f>('Resid Rate Calc (rev WRG-3)'!G32+'Resid Rate Calc (rev WRG-3)'!G55)/1000</f>
        <v>6618984.2947155023</v>
      </c>
      <c r="K15" s="31">
        <f>('Resid Rate Calc (rev WRG-3)'!M32+'Resid Rate Calc (rev WRG-3)'!M55)/1000</f>
        <v>649669.90700000001</v>
      </c>
      <c r="L15" s="32"/>
      <c r="M15" s="31">
        <f>K15+O15</f>
        <v>680173.17799999996</v>
      </c>
      <c r="N15" s="32"/>
      <c r="O15" s="31">
        <f>ROUND(K15*Q15,3)</f>
        <v>30503.271000000001</v>
      </c>
      <c r="Q15" s="33">
        <f>$O$58</f>
        <v>4.6951952351651595E-2</v>
      </c>
      <c r="S15" s="28">
        <f>ROUND(100*M15/I15,2)</f>
        <v>10.28</v>
      </c>
      <c r="U15" s="34">
        <f>M15-'Exhibit RMP(WRG-1)'!M15</f>
        <v>1.1809999999823049</v>
      </c>
      <c r="V15" s="33">
        <f>O15/K15</f>
        <v>4.6951953093927128E-2</v>
      </c>
    </row>
    <row r="16" spans="1:22">
      <c r="A16" s="6">
        <f>MAX(A$14:A15)+1</f>
        <v>2</v>
      </c>
      <c r="C16" s="6" t="s">
        <v>394</v>
      </c>
      <c r="E16" s="35">
        <v>2</v>
      </c>
      <c r="G16" s="30">
        <v>360.45065975289282</v>
      </c>
      <c r="I16" s="30">
        <f>'Resid Rate Calc (rev WRG-3)'!G74/1000</f>
        <v>3259.9751844998164</v>
      </c>
      <c r="K16" s="31">
        <f>('Resid Rate Calc (rev WRG-3)'!M74)/1000</f>
        <v>310.99200000000002</v>
      </c>
      <c r="L16" s="32"/>
      <c r="M16" s="31">
        <f>K16+O16</f>
        <v>325.59399999999999</v>
      </c>
      <c r="N16" s="32"/>
      <c r="O16" s="31">
        <f>ROUND(K16*Q16,3)</f>
        <v>14.602</v>
      </c>
      <c r="Q16" s="33">
        <f>$O$58</f>
        <v>4.6951952351651595E-2</v>
      </c>
      <c r="S16" s="28">
        <f>ROUND(100*M16/I16,2)</f>
        <v>9.99</v>
      </c>
      <c r="U16" s="34">
        <f>M16-'Exhibit RMP(WRG-1)'!M16</f>
        <v>-0.82600000000002183</v>
      </c>
      <c r="V16" s="33">
        <f t="shared" ref="V16:V52" si="0">O16/K16</f>
        <v>4.6952976282348097E-2</v>
      </c>
    </row>
    <row r="17" spans="1:22">
      <c r="A17" s="6">
        <f>MAX(A$14:A16)+1</f>
        <v>3</v>
      </c>
      <c r="C17" s="36" t="s">
        <v>395</v>
      </c>
      <c r="E17" s="37" t="s">
        <v>396</v>
      </c>
      <c r="G17" s="38"/>
      <c r="I17" s="38"/>
      <c r="K17" s="39">
        <v>36.561</v>
      </c>
      <c r="L17" s="32"/>
      <c r="M17" s="39">
        <f>K17+O17</f>
        <v>36.561</v>
      </c>
      <c r="N17" s="32"/>
      <c r="O17" s="40">
        <f>ROUND(K17*Q17,3)</f>
        <v>0</v>
      </c>
      <c r="Q17" s="41">
        <v>0</v>
      </c>
      <c r="S17" s="42"/>
      <c r="U17" s="43">
        <f>M17-'Exhibit RMP(WRG-1)'!M17</f>
        <v>0</v>
      </c>
      <c r="V17" s="33">
        <f t="shared" si="0"/>
        <v>0</v>
      </c>
    </row>
    <row r="18" spans="1:22">
      <c r="A18" s="6">
        <f>MAX(A$14:A17)+1</f>
        <v>4</v>
      </c>
      <c r="C18" s="15" t="s">
        <v>397</v>
      </c>
      <c r="G18" s="30">
        <f>SUM(G15:G17)</f>
        <v>719939.66666666663</v>
      </c>
      <c r="I18" s="30">
        <f>SUM(I15:I17)</f>
        <v>6622244.2699000025</v>
      </c>
      <c r="K18" s="31">
        <f>SUM(K15:K17)</f>
        <v>650017.46</v>
      </c>
      <c r="L18" s="32"/>
      <c r="M18" s="31">
        <f>SUM(M15:M17)</f>
        <v>680535.33299999998</v>
      </c>
      <c r="N18" s="32"/>
      <c r="O18" s="31">
        <f>SUM(O15:O17)</f>
        <v>30517.873</v>
      </c>
      <c r="Q18" s="44">
        <f>O18/K18</f>
        <v>4.6949312715384599E-2</v>
      </c>
      <c r="S18" s="28">
        <f>ROUND(100*M18/I18,2)</f>
        <v>10.28</v>
      </c>
      <c r="U18" s="34">
        <f>SUM(U15:U17)</f>
        <v>0.35499999998228304</v>
      </c>
      <c r="V18" s="33">
        <f t="shared" si="0"/>
        <v>4.6949312715384599E-2</v>
      </c>
    </row>
    <row r="19" spans="1:22" ht="24.75" customHeight="1">
      <c r="C19" s="15" t="s">
        <v>398</v>
      </c>
      <c r="G19" s="30"/>
      <c r="I19" s="30"/>
      <c r="K19" s="45"/>
      <c r="L19" s="32"/>
      <c r="M19" s="31"/>
      <c r="N19" s="32"/>
      <c r="O19" s="31"/>
      <c r="Q19" s="44"/>
      <c r="U19" s="34"/>
      <c r="V19" s="33"/>
    </row>
    <row r="20" spans="1:22">
      <c r="A20" s="6">
        <f>MAX(A$14:A19)+1</f>
        <v>5</v>
      </c>
      <c r="C20" s="6" t="s">
        <v>399</v>
      </c>
      <c r="E20" s="46">
        <v>6</v>
      </c>
      <c r="G20" s="30">
        <v>13479.916666666668</v>
      </c>
      <c r="I20" s="30">
        <f>SUM('Resid Rate Calc (rev WRG-3)'!G86)/1000</f>
        <v>5746434.2788172225</v>
      </c>
      <c r="K20" s="31">
        <f>('Resid Rate Calc (rev WRG-3)'!M86)/1000</f>
        <v>443566.413</v>
      </c>
      <c r="L20" s="32"/>
      <c r="M20" s="31">
        <f>K20+O20</f>
        <v>459957.05800000002</v>
      </c>
      <c r="N20" s="32"/>
      <c r="O20" s="31">
        <f>ROUND(K20*Q20,3)</f>
        <v>16390.645</v>
      </c>
      <c r="Q20" s="33">
        <f>O59</f>
        <v>3.6951952351651593E-2</v>
      </c>
      <c r="S20" s="28">
        <f t="shared" ref="S20:S36" si="1">ROUND(100*M20/I20,2)</f>
        <v>8</v>
      </c>
      <c r="U20" s="34">
        <f>M20-'Exhibit RMP(WRG-1)'!M20</f>
        <v>-0.27299999998649582</v>
      </c>
      <c r="V20" s="33">
        <f>O20/K20</f>
        <v>3.6951952446408518E-2</v>
      </c>
    </row>
    <row r="21" spans="1:22">
      <c r="A21" s="6">
        <f>MAX(A$14:A20)+1</f>
        <v>6</v>
      </c>
      <c r="C21" s="6" t="s">
        <v>400</v>
      </c>
      <c r="E21" s="35" t="s">
        <v>401</v>
      </c>
      <c r="G21" s="30">
        <v>2394.25</v>
      </c>
      <c r="I21" s="30">
        <f>SUM('Resid Rate Calc (rev WRG-3)'!G170)/1000</f>
        <v>277735.08199999999</v>
      </c>
      <c r="K21" s="31">
        <f>('Resid Rate Calc (rev WRG-3)'!M170)/1000</f>
        <v>29859.053</v>
      </c>
      <c r="L21" s="32"/>
      <c r="M21" s="31">
        <f>K21+O21</f>
        <v>30962.402999999998</v>
      </c>
      <c r="N21" s="32"/>
      <c r="O21" s="31">
        <f>ROUND(K21*Q21,3)</f>
        <v>1103.3499999999999</v>
      </c>
      <c r="Q21" s="44">
        <f>Q20</f>
        <v>3.6951952351651593E-2</v>
      </c>
      <c r="S21" s="28">
        <f t="shared" si="1"/>
        <v>11.15</v>
      </c>
      <c r="U21" s="34">
        <f>M21-'Exhibit RMP(WRG-1)'!M21</f>
        <v>-1.9000000000232831E-2</v>
      </c>
      <c r="V21" s="33">
        <f t="shared" si="0"/>
        <v>3.6951942179813936E-2</v>
      </c>
    </row>
    <row r="22" spans="1:22">
      <c r="A22" s="6">
        <f>MAX(A$14:A21)+1</f>
        <v>7</v>
      </c>
      <c r="C22" s="6" t="s">
        <v>402</v>
      </c>
      <c r="E22" s="35" t="s">
        <v>403</v>
      </c>
      <c r="G22" s="47">
        <v>32</v>
      </c>
      <c r="I22" s="47">
        <f>'Resid Rate Calc (rev WRG-3)'!G134/1000</f>
        <v>21133.17</v>
      </c>
      <c r="K22" s="39">
        <f>'Resid Rate Calc (rev WRG-3)'!M134/1000</f>
        <v>1657.327</v>
      </c>
      <c r="L22" s="32"/>
      <c r="M22" s="39">
        <f>K22+O22</f>
        <v>1718.568</v>
      </c>
      <c r="N22" s="32"/>
      <c r="O22" s="39">
        <f>ROUND(K22*Q22,3)</f>
        <v>61.241</v>
      </c>
      <c r="Q22" s="48">
        <f>Q20</f>
        <v>3.6951952351651593E-2</v>
      </c>
      <c r="S22" s="42">
        <f t="shared" si="1"/>
        <v>8.1300000000000008</v>
      </c>
      <c r="U22" s="43">
        <f>M22-'Exhibit RMP(WRG-1)'!M22</f>
        <v>3.8999999999987267E-2</v>
      </c>
      <c r="V22" s="33">
        <f t="shared" si="0"/>
        <v>3.6951669767040542E-2</v>
      </c>
    </row>
    <row r="23" spans="1:22">
      <c r="A23" s="6">
        <f>MAX(A$14:A22)+1</f>
        <v>8</v>
      </c>
      <c r="C23" s="49" t="s">
        <v>404</v>
      </c>
      <c r="G23" s="30">
        <f>SUM(G20:G22)</f>
        <v>15906.166666666668</v>
      </c>
      <c r="I23" s="30">
        <f>SUM(I20:I22)</f>
        <v>6045302.5308172228</v>
      </c>
      <c r="K23" s="31">
        <f>SUM(K20:K22)</f>
        <v>475082.79300000001</v>
      </c>
      <c r="L23" s="32"/>
      <c r="M23" s="31">
        <f>SUM(M20:M22)</f>
        <v>492638.02900000004</v>
      </c>
      <c r="N23" s="32"/>
      <c r="O23" s="31">
        <f>SUM(O20:O22)</f>
        <v>17555.236000000001</v>
      </c>
      <c r="Q23" s="44">
        <f>O23/K23</f>
        <v>3.6951950815023518E-2</v>
      </c>
      <c r="S23" s="28">
        <f t="shared" si="1"/>
        <v>8.15</v>
      </c>
      <c r="U23" s="34">
        <f>SUM(U20:U22)</f>
        <v>-0.25299999998674139</v>
      </c>
      <c r="V23" s="33">
        <f t="shared" si="0"/>
        <v>3.6951950815023518E-2</v>
      </c>
    </row>
    <row r="24" spans="1:22" ht="23.1" customHeight="1">
      <c r="A24" s="6">
        <f>MAX(A$14:A23)+1</f>
        <v>9</v>
      </c>
      <c r="C24" s="36" t="s">
        <v>405</v>
      </c>
      <c r="E24" s="6">
        <v>8</v>
      </c>
      <c r="F24" s="30"/>
      <c r="G24" s="30">
        <v>297.08333333333331</v>
      </c>
      <c r="I24" s="30">
        <f>'Resid Rate Calc (rev WRG-3)'!G246/1000</f>
        <v>2076915.6910000001</v>
      </c>
      <c r="K24" s="31">
        <f>('Resid Rate Calc (rev WRG-3)'!M246)/1000</f>
        <v>141558.614</v>
      </c>
      <c r="L24" s="32"/>
      <c r="M24" s="31">
        <f>K24+O24</f>
        <v>148205.06700000001</v>
      </c>
      <c r="N24" s="32"/>
      <c r="O24" s="31">
        <f>ROUND(K24*Q24,3)</f>
        <v>6646.4530000000004</v>
      </c>
      <c r="Q24" s="33">
        <f>O60</f>
        <v>4.6951952351651595E-2</v>
      </c>
      <c r="S24" s="28">
        <f t="shared" si="1"/>
        <v>7.14</v>
      </c>
      <c r="U24" s="34">
        <f>M24-'Exhibit RMP(WRG-1)'!M24</f>
        <v>1.0000000009313226E-2</v>
      </c>
      <c r="V24" s="33">
        <f t="shared" si="0"/>
        <v>4.6951950235963741E-2</v>
      </c>
    </row>
    <row r="25" spans="1:22" ht="23.1" customHeight="1">
      <c r="A25" s="6">
        <f>MAX(A$14:A24)+1</f>
        <v>10</v>
      </c>
      <c r="C25" s="6" t="s">
        <v>406</v>
      </c>
      <c r="E25" s="6">
        <v>9</v>
      </c>
      <c r="G25" s="30">
        <v>142.5</v>
      </c>
      <c r="I25" s="30">
        <f>('Resid Rate Calc (rev WRG-3)'!G281)/1000</f>
        <v>4538067.2419739999</v>
      </c>
      <c r="K25" s="31">
        <f>('Resid Rate Calc (rev WRG-3)'!M281)/1000</f>
        <v>226409.34400000001</v>
      </c>
      <c r="L25" s="32"/>
      <c r="M25" s="31">
        <f>K25+O25</f>
        <v>241567.89200000002</v>
      </c>
      <c r="N25" s="32"/>
      <c r="O25" s="31">
        <f>ROUND(K25*Q25,3)</f>
        <v>15158.548000000001</v>
      </c>
      <c r="Q25" s="33">
        <f>O61</f>
        <v>6.6951952351651592E-2</v>
      </c>
      <c r="S25" s="28">
        <f t="shared" si="1"/>
        <v>5.32</v>
      </c>
      <c r="U25" s="34">
        <f>M25-'Exhibit RMP(WRG-1)'!M25</f>
        <v>-2.7529999999678694</v>
      </c>
      <c r="V25" s="33">
        <f t="shared" si="0"/>
        <v>6.6951954067761443E-2</v>
      </c>
    </row>
    <row r="26" spans="1:22">
      <c r="A26" s="6">
        <f>MAX(A$14:A25)+1</f>
        <v>11</v>
      </c>
      <c r="C26" s="6" t="s">
        <v>407</v>
      </c>
      <c r="E26" s="35" t="s">
        <v>408</v>
      </c>
      <c r="G26" s="47">
        <v>8.9999986111111081</v>
      </c>
      <c r="I26" s="47">
        <f>'Resid Rate Calc (rev WRG-3)'!G322/1000</f>
        <v>42717.705999999998</v>
      </c>
      <c r="K26" s="39">
        <f>'Resid Rate Calc (rev WRG-3)'!M322/1000</f>
        <v>2911.8290000000002</v>
      </c>
      <c r="L26" s="32"/>
      <c r="M26" s="39">
        <f>K26+O26</f>
        <v>3106.7820000000002</v>
      </c>
      <c r="N26" s="32"/>
      <c r="O26" s="39">
        <f>ROUND(K26*Q26,3)</f>
        <v>194.953</v>
      </c>
      <c r="Q26" s="48">
        <f>Q25</f>
        <v>6.6951952351651592E-2</v>
      </c>
      <c r="S26" s="42">
        <f t="shared" si="1"/>
        <v>7.27</v>
      </c>
      <c r="U26" s="43">
        <f>M26-'Exhibit RMP(WRG-1)'!M26</f>
        <v>1.0000000002037268E-3</v>
      </c>
      <c r="V26" s="33">
        <f t="shared" si="0"/>
        <v>6.6952077199588303E-2</v>
      </c>
    </row>
    <row r="27" spans="1:22">
      <c r="A27" s="6">
        <f>MAX(A$14:A26)+1</f>
        <v>12</v>
      </c>
      <c r="C27" s="49" t="s">
        <v>409</v>
      </c>
      <c r="G27" s="30">
        <f>SUM(G25:G26)</f>
        <v>151.4999986111111</v>
      </c>
      <c r="I27" s="30">
        <f>SUM(I25:I26)</f>
        <v>4580784.9479740001</v>
      </c>
      <c r="K27" s="31">
        <f>SUM(K25:K26)</f>
        <v>229321.17300000001</v>
      </c>
      <c r="L27" s="32"/>
      <c r="M27" s="31">
        <f>SUM(M25:M26)</f>
        <v>244674.67400000003</v>
      </c>
      <c r="N27" s="32"/>
      <c r="O27" s="31">
        <f>SUM(O25:O26)</f>
        <v>15353.501</v>
      </c>
      <c r="Q27" s="44">
        <f>O27/K27</f>
        <v>6.6951955631240387E-2</v>
      </c>
      <c r="S27" s="28">
        <f t="shared" si="1"/>
        <v>5.34</v>
      </c>
      <c r="U27" s="34">
        <f>SUM(U25:U26)</f>
        <v>-2.7519999999676656</v>
      </c>
      <c r="V27" s="33">
        <f t="shared" si="0"/>
        <v>6.6951955631240387E-2</v>
      </c>
    </row>
    <row r="28" spans="1:22" ht="23.1" customHeight="1">
      <c r="A28" s="6">
        <f>MAX(A$14:A27)+1</f>
        <v>13</v>
      </c>
      <c r="C28" s="6" t="s">
        <v>410</v>
      </c>
      <c r="E28" s="35">
        <v>10</v>
      </c>
      <c r="G28" s="30">
        <f>'Resid Rate Calc (rev WRG-3)'!G341+'Resid Rate Calc (rev WRG-3)'!G342</f>
        <v>2647</v>
      </c>
      <c r="I28" s="30">
        <f>'Resid Rate Calc (rev WRG-3)'!G354/1000</f>
        <v>170955.53200000001</v>
      </c>
      <c r="K28" s="31">
        <f>('Resid Rate Calc (rev WRG-3)'!M354)/1000</f>
        <v>11991.091</v>
      </c>
      <c r="L28" s="32"/>
      <c r="M28" s="31">
        <f>K28+O28</f>
        <v>12554.096</v>
      </c>
      <c r="N28" s="32"/>
      <c r="O28" s="31">
        <f>ROUND(K28*Q28,3)</f>
        <v>563.005</v>
      </c>
      <c r="Q28" s="33">
        <f>O62</f>
        <v>4.6951952351651595E-2</v>
      </c>
      <c r="S28" s="28">
        <f t="shared" si="1"/>
        <v>7.34</v>
      </c>
      <c r="U28" s="34">
        <f>M28-'Exhibit RMP(WRG-1)'!M28</f>
        <v>-0.73300000000017462</v>
      </c>
      <c r="V28" s="33">
        <f t="shared" si="0"/>
        <v>4.6951941237040065E-2</v>
      </c>
    </row>
    <row r="29" spans="1:22">
      <c r="A29" s="6">
        <f>MAX(A$14:A28)+1</f>
        <v>14</v>
      </c>
      <c r="C29" s="6" t="s">
        <v>411</v>
      </c>
      <c r="E29" s="35" t="s">
        <v>412</v>
      </c>
      <c r="G29" s="47">
        <f>'Resid Rate Calc (rev WRG-3)'!G357+'Resid Rate Calc (rev WRG-3)'!G358</f>
        <v>263</v>
      </c>
      <c r="I29" s="47">
        <f>'Resid Rate Calc (rev WRG-3)'!G370/1000</f>
        <v>16324.472</v>
      </c>
      <c r="K29" s="39">
        <f>('Resid Rate Calc (rev WRG-3)'!M370)/1000</f>
        <v>1183.432</v>
      </c>
      <c r="L29" s="32"/>
      <c r="M29" s="39">
        <f>K29+O29</f>
        <v>1238.9960000000001</v>
      </c>
      <c r="N29" s="32"/>
      <c r="O29" s="39">
        <f>ROUND(K29*Q29,3)</f>
        <v>55.564</v>
      </c>
      <c r="Q29" s="48">
        <f>Q28</f>
        <v>4.6951952351651595E-2</v>
      </c>
      <c r="S29" s="42">
        <f t="shared" si="1"/>
        <v>7.59</v>
      </c>
      <c r="U29" s="43">
        <f>M29-'Exhibit RMP(WRG-1)'!M29</f>
        <v>0.73300000000017462</v>
      </c>
      <c r="V29" s="33">
        <f t="shared" si="0"/>
        <v>4.6951578121936871E-2</v>
      </c>
    </row>
    <row r="30" spans="1:22">
      <c r="A30" s="6">
        <f>MAX(A$14:A29)+1</f>
        <v>15</v>
      </c>
      <c r="C30" s="49" t="s">
        <v>413</v>
      </c>
      <c r="G30" s="30">
        <f>SUM(G28:G29)</f>
        <v>2910</v>
      </c>
      <c r="I30" s="30">
        <f>SUM(I28:I29)</f>
        <v>187280.00400000002</v>
      </c>
      <c r="K30" s="31">
        <f>SUM(K28:K29)</f>
        <v>13174.523000000001</v>
      </c>
      <c r="L30" s="32"/>
      <c r="M30" s="31">
        <f>SUM(M28:M29)</f>
        <v>13793.092000000001</v>
      </c>
      <c r="N30" s="32"/>
      <c r="O30" s="31">
        <f>SUM(O28:O29)</f>
        <v>618.56899999999996</v>
      </c>
      <c r="Q30" s="44">
        <f>O30/K30</f>
        <v>4.6951908619386064E-2</v>
      </c>
      <c r="S30" s="28">
        <f t="shared" si="1"/>
        <v>7.36</v>
      </c>
      <c r="U30" s="34">
        <f>SUM(U28:U29)</f>
        <v>0</v>
      </c>
      <c r="V30" s="33">
        <f t="shared" si="0"/>
        <v>4.6951908619386064E-2</v>
      </c>
    </row>
    <row r="31" spans="1:22" ht="23.1" customHeight="1">
      <c r="A31" s="6">
        <f>MAX(A$14:A30)+1</f>
        <v>16</v>
      </c>
      <c r="C31" s="6" t="s">
        <v>414</v>
      </c>
      <c r="E31" s="6">
        <v>21</v>
      </c>
      <c r="G31" s="30">
        <v>5</v>
      </c>
      <c r="I31" s="30">
        <f>'Resid Rate Calc (rev WRG-3)'!G548/1000</f>
        <v>3287.9389999999999</v>
      </c>
      <c r="K31" s="31">
        <f>('Resid Rate Calc (rev WRG-3)'!M548)/1000</f>
        <v>342.79199999999997</v>
      </c>
      <c r="L31" s="32"/>
      <c r="M31" s="31">
        <f t="shared" ref="M31:M37" si="2">K31+O31</f>
        <v>365.74299999999999</v>
      </c>
      <c r="N31" s="32"/>
      <c r="O31" s="31">
        <f t="shared" ref="O31:O37" si="3">ROUND(K31*Q31,3)</f>
        <v>22.951000000000001</v>
      </c>
      <c r="Q31" s="33">
        <f>O61</f>
        <v>6.6951952351651592E-2</v>
      </c>
      <c r="S31" s="28">
        <f t="shared" si="1"/>
        <v>11.12</v>
      </c>
      <c r="U31" s="34">
        <f>M31-'Exhibit RMP(WRG-1)'!M31</f>
        <v>0</v>
      </c>
      <c r="V31" s="33">
        <f t="shared" si="0"/>
        <v>6.6953137762841619E-2</v>
      </c>
    </row>
    <row r="32" spans="1:22">
      <c r="A32" s="6">
        <f>MAX(A$14:A31)+1</f>
        <v>17</v>
      </c>
      <c r="C32" s="6" t="s">
        <v>415</v>
      </c>
      <c r="E32" s="46">
        <v>23</v>
      </c>
      <c r="G32" s="30">
        <v>78052</v>
      </c>
      <c r="I32" s="30">
        <f>SUM('Resid Rate Calc (rev WRG-3)'!G561)/1000</f>
        <v>1419326.149632778</v>
      </c>
      <c r="K32" s="31">
        <f>('Resid Rate Calc (rev WRG-3)'!M561)/1000</f>
        <v>129897.91099999999</v>
      </c>
      <c r="L32" s="32"/>
      <c r="M32" s="31">
        <f t="shared" si="2"/>
        <v>134697.89199999999</v>
      </c>
      <c r="N32" s="32"/>
      <c r="O32" s="31">
        <f t="shared" si="3"/>
        <v>4799.9809999999998</v>
      </c>
      <c r="Q32" s="33">
        <f>O59</f>
        <v>3.6951952351651593E-2</v>
      </c>
      <c r="S32" s="28">
        <f t="shared" si="1"/>
        <v>9.49</v>
      </c>
      <c r="U32" s="34">
        <f>M32-'Exhibit RMP(WRG-1)'!M32</f>
        <v>1.592000000004191</v>
      </c>
      <c r="V32" s="33">
        <f t="shared" si="0"/>
        <v>3.6951949134886398E-2</v>
      </c>
    </row>
    <row r="33" spans="1:22">
      <c r="A33" s="6">
        <f>MAX(A$14:A32)+1</f>
        <v>18</v>
      </c>
      <c r="C33" s="6" t="s">
        <v>418</v>
      </c>
      <c r="E33" s="6">
        <v>31</v>
      </c>
      <c r="G33" s="30">
        <v>4</v>
      </c>
      <c r="I33" s="30">
        <f>'Resid Rate Calc (rev WRG-3)'!G643/1000</f>
        <v>59778.839026000001</v>
      </c>
      <c r="K33" s="31">
        <f>'Resid Rate Calc (rev WRG-3)'!M643/1000</f>
        <v>4870.0309999999999</v>
      </c>
      <c r="L33" s="32"/>
      <c r="M33" s="31">
        <f t="shared" si="2"/>
        <v>5196.0889999999999</v>
      </c>
      <c r="N33" s="32"/>
      <c r="O33" s="31">
        <f>ROUND(K33*Q33,3)</f>
        <v>326.05799999999999</v>
      </c>
      <c r="Q33" s="33">
        <f>O61</f>
        <v>6.6951952351651592E-2</v>
      </c>
      <c r="S33" s="28">
        <f t="shared" si="1"/>
        <v>8.69</v>
      </c>
      <c r="U33" s="34">
        <f>M33-'Exhibit RMP(WRG-1)'!M33</f>
        <v>31.940999999999804</v>
      </c>
      <c r="V33" s="33">
        <f>O33/K33</f>
        <v>6.6951935213554081E-2</v>
      </c>
    </row>
    <row r="34" spans="1:22">
      <c r="A34" s="6">
        <f>MAX(A$14:A33)+1</f>
        <v>19</v>
      </c>
      <c r="C34" s="36" t="s">
        <v>419</v>
      </c>
      <c r="E34" s="35" t="s">
        <v>396</v>
      </c>
      <c r="G34" s="30">
        <v>1</v>
      </c>
      <c r="I34" s="30">
        <f>'Resid Rate Calc (rev WRG-3)'!G737/1000</f>
        <v>543970.59100000001</v>
      </c>
      <c r="K34" s="31">
        <f>('Resid Rate Calc (rev WRG-3)'!M737)/1000</f>
        <v>24224.835012471453</v>
      </c>
      <c r="L34" s="32"/>
      <c r="M34" s="31">
        <f t="shared" si="2"/>
        <v>24224.835012471453</v>
      </c>
      <c r="N34" s="32"/>
      <c r="O34" s="50">
        <f t="shared" si="3"/>
        <v>0</v>
      </c>
      <c r="Q34" s="33">
        <v>0</v>
      </c>
      <c r="S34" s="28">
        <f t="shared" si="1"/>
        <v>4.45</v>
      </c>
      <c r="U34" s="34">
        <f>M34-'Exhibit RMP(WRG-1)'!M34</f>
        <v>0</v>
      </c>
      <c r="V34" s="33">
        <f t="shared" si="0"/>
        <v>0</v>
      </c>
    </row>
    <row r="35" spans="1:22">
      <c r="A35" s="6">
        <f>MAX(A$14:A34)+1</f>
        <v>20</v>
      </c>
      <c r="C35" s="36" t="s">
        <v>420</v>
      </c>
      <c r="E35" s="35" t="s">
        <v>396</v>
      </c>
      <c r="G35" s="30">
        <v>1</v>
      </c>
      <c r="I35" s="30">
        <f>'Resid Rate Calc (rev WRG-3)'!G742/1000</f>
        <v>717800.15174999996</v>
      </c>
      <c r="K35" s="31">
        <f>'Resid Rate Calc (rev WRG-3)'!M742/1000</f>
        <v>26946.217696695003</v>
      </c>
      <c r="L35" s="32"/>
      <c r="M35" s="31">
        <f t="shared" si="2"/>
        <v>26946.217696695003</v>
      </c>
      <c r="N35" s="32"/>
      <c r="O35" s="50">
        <f t="shared" si="3"/>
        <v>0</v>
      </c>
      <c r="Q35" s="33">
        <v>0</v>
      </c>
      <c r="S35" s="28">
        <f t="shared" si="1"/>
        <v>3.75</v>
      </c>
      <c r="U35" s="34">
        <f>M35-'Exhibit RMP(WRG-1)'!M35</f>
        <v>0</v>
      </c>
      <c r="V35" s="33">
        <f t="shared" si="0"/>
        <v>0</v>
      </c>
    </row>
    <row r="36" spans="1:22">
      <c r="A36" s="6">
        <f>MAX(A$14:A35)+1</f>
        <v>21</v>
      </c>
      <c r="C36" s="36" t="s">
        <v>421</v>
      </c>
      <c r="E36" s="35" t="s">
        <v>396</v>
      </c>
      <c r="G36" s="30">
        <v>1</v>
      </c>
      <c r="I36" s="30">
        <f>'Resid Rate Calc (rev WRG-3)'!G758/1000</f>
        <v>1371599.1</v>
      </c>
      <c r="K36" s="31">
        <f>('Resid Rate Calc (rev WRG-3)'!M758)/1000</f>
        <v>59055.879000000001</v>
      </c>
      <c r="L36" s="32"/>
      <c r="M36" s="31">
        <f t="shared" si="2"/>
        <v>63009.785000000003</v>
      </c>
      <c r="N36" s="32"/>
      <c r="O36" s="31">
        <f>ROUND(K36*Q36,3)</f>
        <v>3953.9059999999999</v>
      </c>
      <c r="Q36" s="33">
        <f>O61</f>
        <v>6.6951952351651592E-2</v>
      </c>
      <c r="S36" s="28">
        <f t="shared" si="1"/>
        <v>4.59</v>
      </c>
      <c r="U36" s="34">
        <f>M36-'Exhibit RMP(WRG-1)'!M36</f>
        <v>-29.19199999999546</v>
      </c>
      <c r="V36" s="33">
        <f>O36/K36</f>
        <v>6.6951945631018375E-2</v>
      </c>
    </row>
    <row r="37" spans="1:22">
      <c r="A37" s="6">
        <f>MAX(A$14:A36)+1</f>
        <v>22</v>
      </c>
      <c r="C37" s="36" t="s">
        <v>395</v>
      </c>
      <c r="E37" s="37" t="s">
        <v>396</v>
      </c>
      <c r="G37" s="38"/>
      <c r="I37" s="38" t="s">
        <v>396</v>
      </c>
      <c r="K37" s="39">
        <v>4490.4250999999995</v>
      </c>
      <c r="L37" s="32"/>
      <c r="M37" s="39">
        <f t="shared" si="2"/>
        <v>4490.4250999999995</v>
      </c>
      <c r="N37" s="32"/>
      <c r="O37" s="51">
        <f t="shared" si="3"/>
        <v>0</v>
      </c>
      <c r="Q37" s="41">
        <v>0</v>
      </c>
      <c r="S37" s="42"/>
      <c r="U37" s="34">
        <f>M37-'Exhibit RMP(WRG-1)'!M37</f>
        <v>0</v>
      </c>
      <c r="V37" s="33">
        <f t="shared" si="0"/>
        <v>0</v>
      </c>
    </row>
    <row r="38" spans="1:22">
      <c r="A38" s="6">
        <f>MAX(A$14:A37)+1</f>
        <v>23</v>
      </c>
      <c r="C38" s="15" t="s">
        <v>422</v>
      </c>
      <c r="G38" s="30">
        <f>SUM(G20:G22,G24:G26,G28:G29,G31:G37)</f>
        <v>97328.749998611107</v>
      </c>
      <c r="I38" s="30">
        <f>SUM(I20:I22,I24:I26,I28:I29,I31:I37)</f>
        <v>17006045.944200002</v>
      </c>
      <c r="K38" s="31">
        <f>SUM(K20:K22,K24:K26,K28:K29,K31:K37)</f>
        <v>1108965.1938091666</v>
      </c>
      <c r="L38" s="32">
        <f>SUM(L20:L22,L24:L26,L28:L29,L31:L37)</f>
        <v>0</v>
      </c>
      <c r="M38" s="31">
        <f>SUM(M20:M22,M24:M26,M28:M29,M31:M37)</f>
        <v>1158241.8488091666</v>
      </c>
      <c r="N38" s="32">
        <f>SUM(N20:N22,N24:N26,N28:N29,N31:N37)</f>
        <v>0</v>
      </c>
      <c r="O38" s="31">
        <f>SUM(O20:O22,O24:O26,O28:O29,O31:O37)</f>
        <v>49276.654999999999</v>
      </c>
      <c r="Q38" s="44">
        <f>O38/K38</f>
        <v>4.4434807580155347E-2</v>
      </c>
      <c r="S38" s="28">
        <f>ROUND(100*M38/I38,2)</f>
        <v>6.81</v>
      </c>
      <c r="U38" s="34">
        <f>SUM(U23,U24,U27,U30:U37)</f>
        <v>1.3460000000634409</v>
      </c>
      <c r="V38" s="33">
        <f t="shared" si="0"/>
        <v>4.4434807580155347E-2</v>
      </c>
    </row>
    <row r="39" spans="1:22" ht="31.5">
      <c r="A39" s="6">
        <f>MAX(A$14:A38)+1</f>
        <v>24</v>
      </c>
      <c r="C39" s="52" t="s">
        <v>423</v>
      </c>
      <c r="G39" s="30">
        <f>G38-SUM(G34:G35,G37)</f>
        <v>97326.749998611107</v>
      </c>
      <c r="I39" s="30">
        <f>I38-SUM(I34:I35,I37)</f>
        <v>15744275.201450001</v>
      </c>
      <c r="K39" s="31">
        <f>K38-SUM(K34:K35,K37)</f>
        <v>1053303.716</v>
      </c>
      <c r="L39" s="32">
        <f>L38-SUM(L34:L37)</f>
        <v>0</v>
      </c>
      <c r="M39" s="31">
        <f>M38-SUM(M34:M35,M37)</f>
        <v>1102580.371</v>
      </c>
      <c r="N39" s="32">
        <f>N38-SUM(N34:N37)</f>
        <v>0</v>
      </c>
      <c r="O39" s="31">
        <f>O38-SUM(O34:O35,O37)</f>
        <v>49276.654999999999</v>
      </c>
      <c r="Q39" s="44">
        <f>O39/K39</f>
        <v>4.6782949923628671E-2</v>
      </c>
      <c r="S39" s="28">
        <f>ROUND(100*M39/I39,2)</f>
        <v>7</v>
      </c>
      <c r="U39" s="34">
        <f>U38-U34-U37</f>
        <v>1.3460000000634409</v>
      </c>
      <c r="V39" s="33">
        <f t="shared" si="0"/>
        <v>4.6782949923628671E-2</v>
      </c>
    </row>
    <row r="40" spans="1:22" ht="28.5" customHeight="1">
      <c r="C40" s="15" t="s">
        <v>424</v>
      </c>
      <c r="G40" s="30"/>
      <c r="I40" s="30"/>
      <c r="K40" s="31"/>
      <c r="L40" s="32"/>
      <c r="M40" s="31"/>
      <c r="N40" s="32"/>
      <c r="O40" s="31"/>
      <c r="Q40" s="44"/>
      <c r="U40" s="34"/>
      <c r="V40" s="33"/>
    </row>
    <row r="41" spans="1:22">
      <c r="A41" s="6">
        <f>MAX(A$14:A40)+1</f>
        <v>25</v>
      </c>
      <c r="C41" s="6" t="s">
        <v>425</v>
      </c>
      <c r="E41" s="6">
        <v>7</v>
      </c>
      <c r="G41" s="30">
        <v>7865</v>
      </c>
      <c r="I41" s="30">
        <f>'Resid Rate Calc (rev WRG-3)'!G234/1000</f>
        <v>12321.574480000001</v>
      </c>
      <c r="K41" s="31">
        <f>('Resid Rate Calc (rev WRG-3)'!M234)/1000</f>
        <v>2964.7280000000001</v>
      </c>
      <c r="L41" s="32"/>
      <c r="M41" s="31">
        <f t="shared" ref="M41:M49" si="4">K41+O41</f>
        <v>2964.7280000000001</v>
      </c>
      <c r="N41" s="32"/>
      <c r="O41" s="31">
        <f>ROUND(K41*Q41,3)</f>
        <v>0</v>
      </c>
      <c r="Q41" s="33">
        <f>O63</f>
        <v>0</v>
      </c>
      <c r="S41" s="28">
        <f t="shared" ref="S41:S48" si="5">ROUND(100*M41/I41,2)</f>
        <v>24.06</v>
      </c>
      <c r="U41" s="34">
        <f>M41-'Exhibit RMP(WRG-1)'!M41</f>
        <v>0</v>
      </c>
      <c r="V41" s="33">
        <f t="shared" si="0"/>
        <v>0</v>
      </c>
    </row>
    <row r="42" spans="1:22">
      <c r="A42" s="6">
        <f>MAX(A$14:A41)+1</f>
        <v>26</v>
      </c>
      <c r="C42" s="6" t="s">
        <v>426</v>
      </c>
      <c r="E42" s="6">
        <v>11</v>
      </c>
      <c r="G42" s="30">
        <f>'Resid Rate Calc (rev WRG-3)'!G420</f>
        <v>834.33333333333337</v>
      </c>
      <c r="I42" s="30">
        <f>'Resid Rate Calc (rev WRG-3)'!G422/1000</f>
        <v>17077.687000000002</v>
      </c>
      <c r="K42" s="31">
        <f>('Resid Rate Calc (rev WRG-3)'!M422)/1000</f>
        <v>5089.2430000000004</v>
      </c>
      <c r="L42" s="32"/>
      <c r="M42" s="31">
        <f t="shared" si="4"/>
        <v>5089.2430000000004</v>
      </c>
      <c r="N42" s="32"/>
      <c r="O42" s="31">
        <f>ROUND(K42*Q42,3)</f>
        <v>0</v>
      </c>
      <c r="Q42" s="33">
        <f>Q41</f>
        <v>0</v>
      </c>
      <c r="S42" s="28">
        <f t="shared" si="5"/>
        <v>29.8</v>
      </c>
      <c r="U42" s="34">
        <f>M42-'Exhibit RMP(WRG-1)'!M42</f>
        <v>0</v>
      </c>
      <c r="V42" s="33">
        <f t="shared" si="0"/>
        <v>0</v>
      </c>
    </row>
    <row r="43" spans="1:22">
      <c r="A43" s="6">
        <f>MAX(A$14:A42)+1</f>
        <v>27</v>
      </c>
      <c r="C43" s="6" t="s">
        <v>427</v>
      </c>
      <c r="E43" s="6">
        <v>12</v>
      </c>
      <c r="G43" s="30">
        <f>'Resid Rate Calc (rev WRG-3)'!G514</f>
        <v>781.66666666666674</v>
      </c>
      <c r="I43" s="53">
        <f>'Resid Rate Calc (rev WRG-3)'!G516/1000</f>
        <v>55429.428999999996</v>
      </c>
      <c r="K43" s="31">
        <f>('Resid Rate Calc (rev WRG-3)'!M516)/1000</f>
        <v>4058.8130000000001</v>
      </c>
      <c r="L43" s="32"/>
      <c r="M43" s="31">
        <f t="shared" si="4"/>
        <v>4058.8130000000001</v>
      </c>
      <c r="N43" s="32"/>
      <c r="O43" s="31">
        <f>ROUND(K43*Q43,3)</f>
        <v>0</v>
      </c>
      <c r="Q43" s="33">
        <f>Q41</f>
        <v>0</v>
      </c>
      <c r="S43" s="28">
        <f t="shared" si="5"/>
        <v>7.32</v>
      </c>
      <c r="U43" s="34">
        <f>M43-'Exhibit RMP(WRG-1)'!M43</f>
        <v>0</v>
      </c>
      <c r="V43" s="33">
        <f t="shared" si="0"/>
        <v>0</v>
      </c>
    </row>
    <row r="44" spans="1:22">
      <c r="A44" s="54">
        <f>MAX(A$14:A43)+1</f>
        <v>28</v>
      </c>
      <c r="B44" s="54"/>
      <c r="C44" s="54" t="s">
        <v>428</v>
      </c>
      <c r="D44" s="55"/>
      <c r="E44" s="54">
        <v>15</v>
      </c>
      <c r="F44" s="55"/>
      <c r="G44" s="56">
        <f>('Resid Rate Calc (rev WRG-3)'!G522)/12</f>
        <v>538.91666666666663</v>
      </c>
      <c r="H44" s="55"/>
      <c r="I44" s="56">
        <f>('Resid Rate Calc (rev WRG-3)'!G525)/1000</f>
        <v>15717.486000000001</v>
      </c>
      <c r="J44" s="55"/>
      <c r="K44" s="57">
        <f>('Resid Rate Calc (rev WRG-3)'!M525)/1000</f>
        <v>1144.626</v>
      </c>
      <c r="L44" s="58"/>
      <c r="M44" s="57">
        <f t="shared" si="4"/>
        <v>1144.626</v>
      </c>
      <c r="N44" s="58"/>
      <c r="O44" s="57">
        <f>ROUND(K44*Q44,3)</f>
        <v>0</v>
      </c>
      <c r="P44" s="55"/>
      <c r="Q44" s="59">
        <f>Q41</f>
        <v>0</v>
      </c>
      <c r="R44" s="55"/>
      <c r="S44" s="60">
        <f t="shared" si="5"/>
        <v>7.28</v>
      </c>
      <c r="U44" s="34">
        <f>M44-'Exhibit RMP(WRG-1)'!M44</f>
        <v>0</v>
      </c>
      <c r="V44" s="33">
        <f t="shared" si="0"/>
        <v>0</v>
      </c>
    </row>
    <row r="45" spans="1:22">
      <c r="A45" s="6">
        <f>MAX(A$14:A44)+1</f>
        <v>29</v>
      </c>
      <c r="C45" s="6" t="s">
        <v>429</v>
      </c>
      <c r="E45" s="6">
        <v>15</v>
      </c>
      <c r="G45" s="47">
        <f>'Resid Rate Calc (rev WRG-3)'!G528/12</f>
        <v>2478.6666666666665</v>
      </c>
      <c r="I45" s="47">
        <f>'Resid Rate Calc (rev WRG-3)'!G531/1000</f>
        <v>5662.7629999999999</v>
      </c>
      <c r="K45" s="39">
        <f>('Resid Rate Calc (rev WRG-3)'!M531)/1000</f>
        <v>584.89400000000001</v>
      </c>
      <c r="L45" s="32"/>
      <c r="M45" s="39">
        <f>K45+O45</f>
        <v>612.35599999999999</v>
      </c>
      <c r="N45" s="32"/>
      <c r="O45" s="39">
        <f>ROUND(K45*Q45,3)</f>
        <v>27.462</v>
      </c>
      <c r="Q45" s="41">
        <f>O60</f>
        <v>4.6951952351651595E-2</v>
      </c>
      <c r="S45" s="42">
        <f>ROUND(100*M45/I45,2)</f>
        <v>10.81</v>
      </c>
      <c r="U45" s="34">
        <f>M45-'Exhibit RMP(WRG-1)'!M45</f>
        <v>-3.0000000000427463E-3</v>
      </c>
      <c r="V45" s="33">
        <f t="shared" si="0"/>
        <v>4.6952097303101077E-2</v>
      </c>
    </row>
    <row r="46" spans="1:22">
      <c r="A46" s="6">
        <f>MAX(A$14:A45)+1</f>
        <v>30</v>
      </c>
      <c r="C46" s="49" t="s">
        <v>430</v>
      </c>
      <c r="D46" s="61"/>
      <c r="F46" s="61"/>
      <c r="G46" s="30">
        <f>SUM(G41:G45)</f>
        <v>12498.583333333332</v>
      </c>
      <c r="H46" s="61"/>
      <c r="I46" s="30">
        <f>SUM(I41:I45)</f>
        <v>106208.93948</v>
      </c>
      <c r="J46" s="61"/>
      <c r="K46" s="31">
        <f>SUM(K41:K45)</f>
        <v>13842.304</v>
      </c>
      <c r="L46" s="31"/>
      <c r="M46" s="31">
        <f>SUM(M41:N45)</f>
        <v>13869.766</v>
      </c>
      <c r="N46" s="31"/>
      <c r="O46" s="31">
        <f>SUM(O41:P45)</f>
        <v>27.462</v>
      </c>
      <c r="P46" s="61"/>
      <c r="Q46" s="44">
        <f>O46/K46</f>
        <v>1.983918284123799E-3</v>
      </c>
      <c r="R46" s="61"/>
      <c r="S46" s="28">
        <f t="shared" si="5"/>
        <v>13.06</v>
      </c>
      <c r="U46" s="34">
        <f>SUM(U41:U45)</f>
        <v>-3.0000000000427463E-3</v>
      </c>
      <c r="V46" s="33">
        <f t="shared" si="0"/>
        <v>1.983918284123799E-3</v>
      </c>
    </row>
    <row r="47" spans="1:22" ht="23.1" customHeight="1">
      <c r="A47" s="6">
        <f>MAX(A$14:A46)+1</f>
        <v>31</v>
      </c>
      <c r="C47" s="36" t="s">
        <v>431</v>
      </c>
      <c r="E47" s="35" t="s">
        <v>396</v>
      </c>
      <c r="G47" s="30">
        <v>5</v>
      </c>
      <c r="I47" s="30">
        <f>'Resid Rate Calc (rev WRG-3)'!G800/1000</f>
        <v>7.9721299999999999</v>
      </c>
      <c r="K47" s="31">
        <f>'Resid Rate Calc (rev WRG-3)'!M800/1000</f>
        <v>0.60099999999999998</v>
      </c>
      <c r="L47" s="32"/>
      <c r="M47" s="31">
        <f t="shared" si="4"/>
        <v>0.60099999999999998</v>
      </c>
      <c r="N47" s="32"/>
      <c r="O47" s="31">
        <f>ROUND(K47*Q47,3)</f>
        <v>0</v>
      </c>
      <c r="Q47" s="33">
        <v>0</v>
      </c>
      <c r="S47" s="28">
        <f t="shared" si="5"/>
        <v>7.54</v>
      </c>
      <c r="U47" s="34">
        <f>M47-'Exhibit RMP(WRG-1)'!M47</f>
        <v>0</v>
      </c>
      <c r="V47" s="33">
        <f t="shared" si="0"/>
        <v>0</v>
      </c>
    </row>
    <row r="48" spans="1:22">
      <c r="A48" s="6">
        <f>MAX(A$14:A47)+1</f>
        <v>32</v>
      </c>
      <c r="C48" s="62" t="s">
        <v>432</v>
      </c>
      <c r="E48" s="35" t="s">
        <v>396</v>
      </c>
      <c r="G48" s="30">
        <v>1</v>
      </c>
      <c r="I48" s="30">
        <f>'Resid Rate Calc (rev WRG-3)'!G791/1000</f>
        <v>135.42099999999999</v>
      </c>
      <c r="K48" s="31">
        <f>'Resid Rate Calc (rev WRG-3)'!M791/1000</f>
        <v>17.277000000000001</v>
      </c>
      <c r="L48" s="32"/>
      <c r="M48" s="31">
        <f t="shared" si="4"/>
        <v>17.277000000000001</v>
      </c>
      <c r="N48" s="32"/>
      <c r="O48" s="31">
        <f>ROUND(K48*Q48,3)</f>
        <v>0</v>
      </c>
      <c r="Q48" s="33">
        <v>0</v>
      </c>
      <c r="S48" s="28">
        <f t="shared" si="5"/>
        <v>12.76</v>
      </c>
      <c r="U48" s="34">
        <f>M48-'Exhibit RMP(WRG-1)'!M48</f>
        <v>0</v>
      </c>
      <c r="V48" s="33">
        <f t="shared" si="0"/>
        <v>0</v>
      </c>
    </row>
    <row r="49" spans="1:22">
      <c r="A49" s="6">
        <f>MAX(A$14:A48)+1</f>
        <v>33</v>
      </c>
      <c r="C49" s="36" t="s">
        <v>395</v>
      </c>
      <c r="D49" s="63"/>
      <c r="E49" s="37" t="s">
        <v>396</v>
      </c>
      <c r="F49" s="63"/>
      <c r="G49" s="64"/>
      <c r="H49" s="63"/>
      <c r="I49" s="64" t="s">
        <v>396</v>
      </c>
      <c r="J49" s="63"/>
      <c r="K49" s="39">
        <v>4.6616400000000002</v>
      </c>
      <c r="L49" s="32"/>
      <c r="M49" s="39">
        <f t="shared" si="4"/>
        <v>4.6616400000000002</v>
      </c>
      <c r="N49" s="32"/>
      <c r="O49" s="51">
        <f>ROUND(K49*Q49,3)</f>
        <v>0</v>
      </c>
      <c r="P49" s="63"/>
      <c r="Q49" s="41">
        <v>0</v>
      </c>
      <c r="R49" s="63"/>
      <c r="S49" s="42"/>
      <c r="U49" s="43">
        <f>M49-'Exhibit RMP(WRG-1)'!M49</f>
        <v>0</v>
      </c>
      <c r="V49" s="33">
        <f t="shared" si="0"/>
        <v>0</v>
      </c>
    </row>
    <row r="50" spans="1:22">
      <c r="A50" s="6">
        <f>MAX(A$14:A49)+1</f>
        <v>34</v>
      </c>
      <c r="C50" s="15" t="s">
        <v>433</v>
      </c>
      <c r="E50" s="54"/>
      <c r="G50" s="47">
        <f>SUM(G47:G49)+G46</f>
        <v>12504.583333333332</v>
      </c>
      <c r="I50" s="47">
        <f>SUM(I47:I49)+I46</f>
        <v>106352.33261</v>
      </c>
      <c r="K50" s="39">
        <f>SUM(K47:K49)+K46</f>
        <v>13864.843640000001</v>
      </c>
      <c r="L50" s="32"/>
      <c r="M50" s="65">
        <f>SUM(M46:M49)</f>
        <v>13892.30564</v>
      </c>
      <c r="N50" s="32"/>
      <c r="O50" s="65">
        <f>SUM(O46:O49)</f>
        <v>27.462</v>
      </c>
      <c r="Q50" s="48">
        <f>O50/K50</f>
        <v>1.9806930906001905E-3</v>
      </c>
      <c r="S50" s="42">
        <f>ROUND(100*M50/I50,2)</f>
        <v>13.06</v>
      </c>
      <c r="U50" s="34">
        <f>SUM(U46:U49)</f>
        <v>-3.0000000000427463E-3</v>
      </c>
      <c r="V50" s="33">
        <f t="shared" si="0"/>
        <v>1.9806930906001905E-3</v>
      </c>
    </row>
    <row r="51" spans="1:22" ht="27.75" customHeight="1" thickBot="1">
      <c r="A51" s="6">
        <f>MAX(A$14:A50)+1</f>
        <v>35</v>
      </c>
      <c r="C51" s="15" t="s">
        <v>434</v>
      </c>
      <c r="E51" s="54"/>
      <c r="G51" s="66">
        <f>G50+G38+G18</f>
        <v>829772.99999861105</v>
      </c>
      <c r="I51" s="66">
        <f>I50+I38+I18</f>
        <v>23734642.546710003</v>
      </c>
      <c r="K51" s="67">
        <f>K50+K38+K18</f>
        <v>1772847.4974491666</v>
      </c>
      <c r="L51" s="32"/>
      <c r="M51" s="67">
        <f>M50+M38+M18</f>
        <v>1852669.4874491664</v>
      </c>
      <c r="N51" s="32"/>
      <c r="O51" s="67">
        <f>O50+O38+O18</f>
        <v>79821.989999999991</v>
      </c>
      <c r="Q51" s="68">
        <f>O51/K51</f>
        <v>4.5024735694892307E-2</v>
      </c>
      <c r="S51" s="69">
        <f>ROUND(100*M51/I51,2)</f>
        <v>7.81</v>
      </c>
      <c r="U51" s="70">
        <f>U18+U38+U50</f>
        <v>1.6980000000456812</v>
      </c>
      <c r="V51" s="33">
        <f t="shared" si="0"/>
        <v>4.5024735694892307E-2</v>
      </c>
    </row>
    <row r="52" spans="1:22" ht="39.75" customHeight="1" thickTop="1" thickBot="1">
      <c r="A52" s="6">
        <f>MAX(A$14:A51)+1</f>
        <v>36</v>
      </c>
      <c r="C52" s="71" t="s">
        <v>435</v>
      </c>
      <c r="E52" s="54"/>
      <c r="G52" s="66">
        <f>G46+G39+G18-G17</f>
        <v>829764.99999861105</v>
      </c>
      <c r="I52" s="66">
        <f>I46+I39+I18-I17</f>
        <v>22472728.410830002</v>
      </c>
      <c r="K52" s="67">
        <f>K46+K39+K18-K17</f>
        <v>1717126.919</v>
      </c>
      <c r="L52" s="32"/>
      <c r="M52" s="67">
        <f>M46+M39+M18-M17</f>
        <v>1796948.9090000002</v>
      </c>
      <c r="N52" s="32"/>
      <c r="O52" s="67">
        <f>O46+O39+O18-O17</f>
        <v>79821.989999999991</v>
      </c>
      <c r="Q52" s="68">
        <f>O52/K52</f>
        <v>4.6485783384309053E-2</v>
      </c>
      <c r="S52" s="69">
        <f>ROUND(100*M52/I52,2)</f>
        <v>8</v>
      </c>
      <c r="U52" s="70">
        <f>U51-U17-U34-U37-U47-U48-U49</f>
        <v>1.6980000000456812</v>
      </c>
      <c r="V52" s="33">
        <f t="shared" si="0"/>
        <v>4.6485783384309053E-2</v>
      </c>
    </row>
    <row r="53" spans="1:22" ht="16.5" thickTop="1">
      <c r="C53" s="15"/>
      <c r="E53" s="54"/>
    </row>
    <row r="54" spans="1:22">
      <c r="I54" s="72"/>
      <c r="J54" s="73"/>
      <c r="K54" s="73"/>
      <c r="L54" s="73"/>
      <c r="M54" s="74" t="s">
        <v>436</v>
      </c>
      <c r="N54" s="73"/>
      <c r="O54" s="75">
        <v>80000</v>
      </c>
      <c r="P54" s="73"/>
      <c r="Q54" s="76"/>
    </row>
    <row r="55" spans="1:22">
      <c r="I55" s="77"/>
      <c r="J55" s="55"/>
      <c r="K55" s="55"/>
      <c r="L55" s="55"/>
      <c r="M55" s="78" t="s">
        <v>437</v>
      </c>
      <c r="N55" s="55"/>
      <c r="O55" s="79">
        <f>O54/K51</f>
        <v>4.5125144782676867E-2</v>
      </c>
      <c r="P55" s="55"/>
      <c r="Q55" s="80"/>
    </row>
    <row r="56" spans="1:22">
      <c r="I56" s="77"/>
      <c r="J56" s="55"/>
      <c r="K56" s="55"/>
      <c r="L56" s="55"/>
      <c r="M56" s="78" t="s">
        <v>438</v>
      </c>
      <c r="N56" s="55"/>
      <c r="O56" s="79">
        <f>O54/K52</f>
        <v>4.6589450735877724E-2</v>
      </c>
      <c r="P56" s="55"/>
      <c r="Q56" s="80"/>
    </row>
    <row r="57" spans="1:22">
      <c r="I57" s="77"/>
      <c r="J57" s="55"/>
      <c r="K57" s="55"/>
      <c r="L57" s="55"/>
      <c r="M57" s="78" t="s">
        <v>439</v>
      </c>
      <c r="N57" s="55"/>
      <c r="O57" s="79">
        <f>O54/(K52-(K46-K45))</f>
        <v>4.6951952351651595E-2</v>
      </c>
      <c r="P57" s="55"/>
      <c r="Q57" s="81" t="s">
        <v>440</v>
      </c>
    </row>
    <row r="58" spans="1:22">
      <c r="I58" s="77"/>
      <c r="J58" s="55"/>
      <c r="K58" s="55"/>
      <c r="L58" s="55"/>
      <c r="M58" s="82" t="s">
        <v>441</v>
      </c>
      <c r="N58" s="55"/>
      <c r="O58" s="83">
        <f>RateSpread!$O$57+Q58</f>
        <v>4.6951952351651595E-2</v>
      </c>
      <c r="P58" s="55"/>
      <c r="Q58" s="84">
        <v>0</v>
      </c>
    </row>
    <row r="59" spans="1:22">
      <c r="I59" s="77"/>
      <c r="J59" s="55"/>
      <c r="K59" s="55"/>
      <c r="L59" s="55"/>
      <c r="M59" s="82" t="s">
        <v>442</v>
      </c>
      <c r="N59" s="55"/>
      <c r="O59" s="79">
        <f>RateSpread!$O$58+Q59</f>
        <v>3.6951952351651593E-2</v>
      </c>
      <c r="P59" s="55"/>
      <c r="Q59" s="85">
        <v>-0.01</v>
      </c>
      <c r="S59" s="86"/>
    </row>
    <row r="60" spans="1:22">
      <c r="I60" s="77"/>
      <c r="J60" s="55"/>
      <c r="K60" s="55"/>
      <c r="L60" s="55"/>
      <c r="M60" s="82" t="s">
        <v>443</v>
      </c>
      <c r="N60" s="55"/>
      <c r="O60" s="79">
        <f>RateSpread!$O$58+Q60</f>
        <v>4.6951952351651595E-2</v>
      </c>
      <c r="P60" s="55"/>
      <c r="Q60" s="85">
        <v>0</v>
      </c>
    </row>
    <row r="61" spans="1:22">
      <c r="I61" s="77"/>
      <c r="J61" s="55"/>
      <c r="K61" s="55"/>
      <c r="L61" s="55"/>
      <c r="M61" s="78" t="s">
        <v>444</v>
      </c>
      <c r="N61" s="55"/>
      <c r="O61" s="79">
        <f>RateSpread!$O$58+Q61</f>
        <v>6.6951952351651592E-2</v>
      </c>
      <c r="P61" s="55"/>
      <c r="Q61" s="85">
        <v>0.02</v>
      </c>
    </row>
    <row r="62" spans="1:22">
      <c r="I62" s="77"/>
      <c r="J62" s="55"/>
      <c r="K62" s="55"/>
      <c r="L62" s="55"/>
      <c r="M62" s="78">
        <v>10</v>
      </c>
      <c r="N62" s="55"/>
      <c r="O62" s="79">
        <f>RateSpread!$O$58+Q62</f>
        <v>4.6951952351651595E-2</v>
      </c>
      <c r="P62" s="55"/>
      <c r="Q62" s="85">
        <v>0</v>
      </c>
    </row>
    <row r="63" spans="1:22">
      <c r="I63" s="87"/>
      <c r="J63" s="88"/>
      <c r="K63" s="88"/>
      <c r="L63" s="88"/>
      <c r="M63" s="89" t="s">
        <v>445</v>
      </c>
      <c r="N63" s="88"/>
      <c r="O63" s="90">
        <v>0</v>
      </c>
      <c r="P63" s="88"/>
      <c r="Q63" s="91"/>
      <c r="S63" s="92"/>
    </row>
    <row r="64" spans="1:22">
      <c r="M64" s="93"/>
      <c r="O64" s="79"/>
      <c r="Q64" s="94"/>
    </row>
    <row r="65" spans="13:17">
      <c r="M65" s="93"/>
      <c r="O65" s="79"/>
      <c r="Q65" s="95"/>
    </row>
    <row r="66" spans="13:17">
      <c r="O66" s="33"/>
      <c r="Q66" s="96"/>
    </row>
    <row r="67" spans="13:17">
      <c r="O67" s="33"/>
    </row>
  </sheetData>
  <phoneticPr fontId="39" type="noConversion"/>
  <printOptions horizontalCentered="1"/>
  <pageMargins left="0" right="0" top="0.25" bottom="0.25" header="0.25" footer="0"/>
  <pageSetup scale="6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Exhibit RMP(WRG-1)</vt:lpstr>
      <vt:lpstr>Resid Rate Calc (rev WRG-3)</vt:lpstr>
      <vt:lpstr>OCS Sch 1 bill impacts</vt:lpstr>
      <vt:lpstr>Sch 1 bill impacts (WRG-4) </vt:lpstr>
      <vt:lpstr>RateSpread</vt:lpstr>
      <vt:lpstr>'Exhibit RMP(WRG-1)'!Print_Area</vt:lpstr>
      <vt:lpstr>'OCS Sch 1 bill impacts'!Print_Area</vt:lpstr>
      <vt:lpstr>RateSpread!Print_Area</vt:lpstr>
      <vt:lpstr>'Resid Rate Calc (rev WRG-3)'!Print_Area</vt:lpstr>
      <vt:lpstr>'Sch 1 bill impacts (WRG-4) '!Print_Area</vt:lpstr>
      <vt:lpstr>'Exhibit RMP(WRG-1)'!Print_Titles</vt:lpstr>
      <vt:lpstr>RateSpread!Print_Titles</vt:lpstr>
      <vt:lpstr>'Resid Rate Calc (rev WRG-3)'!Print_Titles</vt:lpstr>
      <vt:lpstr>'Resid Rate Calc (rev WRG-3)'!Print_Titles_MI</vt:lpstr>
    </vt:vector>
  </TitlesOfParts>
  <Company>PacifiCorp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Melissa Robyn Paschal</cp:lastModifiedBy>
  <cp:lastPrinted>2012-06-22T19:50:32Z</cp:lastPrinted>
  <dcterms:created xsi:type="dcterms:W3CDTF">2012-02-10T00:42:23Z</dcterms:created>
  <dcterms:modified xsi:type="dcterms:W3CDTF">2012-06-28T20:18:36Z</dcterms:modified>
</cp:coreProperties>
</file>