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9440" windowHeight="12240"/>
  </bookViews>
  <sheets>
    <sheet name="UAE Exhibit COS 2.1 TNT-1" sheetId="1" r:id="rId1"/>
    <sheet name="UAE Exhibit COS 2.2 TNT-2" sheetId="2" r:id="rId2"/>
    <sheet name="UAE Exhibit COS 2.3 TNT-3" sheetId="3" r:id="rId3"/>
    <sheet name="UAE Exhibit COS 2.4 TNT-4" sheetId="6" r:id="rId4"/>
    <sheet name="UAE Exhibit 2.5 TNT-5" sheetId="7" r:id="rId5"/>
  </sheets>
  <definedNames>
    <definedName name="_Fill" localSheetId="4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Key1" localSheetId="4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Key2" localSheetId="4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hidden="1">#REF!</definedName>
    <definedName name="_Order1" localSheetId="4" hidden="1">255</definedName>
    <definedName name="_Order1" localSheetId="3" hidden="1">255</definedName>
    <definedName name="_Order1" hidden="1">255</definedName>
    <definedName name="_Order2" localSheetId="4" hidden="1">255</definedName>
    <definedName name="_Order2" localSheetId="3" hidden="1">255</definedName>
    <definedName name="_Order2" hidden="1">255</definedName>
    <definedName name="_Regression_Out" localSheetId="4" hidden="1">#REF!</definedName>
    <definedName name="_Regression_Out" localSheetId="3" hidden="1">#REF!</definedName>
    <definedName name="_Regression_Out" hidden="1">#REF!</definedName>
    <definedName name="_Regression_X" localSheetId="4" hidden="1">#REF!</definedName>
    <definedName name="_Regression_X" localSheetId="3" hidden="1">#REF!</definedName>
    <definedName name="_Regression_X" hidden="1">#REF!</definedName>
    <definedName name="_Regression_Y" localSheetId="4" hidden="1">#REF!</definedName>
    <definedName name="_Regression_Y" localSheetId="3" hidden="1">#REF!</definedName>
    <definedName name="_Regression_Y" hidden="1">#REF!</definedName>
    <definedName name="_Sort" localSheetId="4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a" localSheetId="4" hidden="1">#REF!</definedName>
    <definedName name="a" localSheetId="3" hidden="1">#REF!</definedName>
    <definedName name="a" hidden="1">#REF!</definedName>
    <definedName name="limcount" hidden="1">1</definedName>
    <definedName name="_xlnm.Print_Area" localSheetId="3">'UAE Exhibit COS 2.4 TNT-4'!$A$1:$Q$65</definedName>
    <definedName name="wrn.Factors._.Tab._.10." localSheetId="4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YearEnd." localSheetId="4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25725" calcMode="manual" iterate="1"/>
</workbook>
</file>

<file path=xl/calcChain.xml><?xml version="1.0" encoding="utf-8"?>
<calcChain xmlns="http://schemas.openxmlformats.org/spreadsheetml/2006/main">
  <c r="Q10" i="7"/>
  <c r="S10" s="1"/>
  <c r="Q34"/>
  <c r="O34" s="1"/>
  <c r="U34" s="1"/>
  <c r="P52"/>
  <c r="O49"/>
  <c r="Q49"/>
  <c r="S49"/>
  <c r="O48"/>
  <c r="Q48" s="1"/>
  <c r="S48" s="1"/>
  <c r="U48"/>
  <c r="O47"/>
  <c r="Q47" s="1"/>
  <c r="S47"/>
  <c r="K46"/>
  <c r="K50" s="1"/>
  <c r="O44"/>
  <c r="Q44"/>
  <c r="S44"/>
  <c r="O43"/>
  <c r="Q43" s="1"/>
  <c r="S43" s="1"/>
  <c r="O42"/>
  <c r="U42" s="1"/>
  <c r="Q42"/>
  <c r="S42" s="1"/>
  <c r="Q41"/>
  <c r="S41" s="1"/>
  <c r="O41"/>
  <c r="I46"/>
  <c r="G46"/>
  <c r="G50" s="1"/>
  <c r="G51" s="1"/>
  <c r="K38"/>
  <c r="O37"/>
  <c r="Q37"/>
  <c r="S37"/>
  <c r="K30"/>
  <c r="I30"/>
  <c r="G30"/>
  <c r="K27"/>
  <c r="I27"/>
  <c r="G27"/>
  <c r="K23"/>
  <c r="I23"/>
  <c r="G23"/>
  <c r="K18"/>
  <c r="K51"/>
  <c r="O17"/>
  <c r="Q17" s="1"/>
  <c r="S17" s="1"/>
  <c r="A16"/>
  <c r="I18"/>
  <c r="G18"/>
  <c r="O61" i="6"/>
  <c r="M49"/>
  <c r="K49"/>
  <c r="M47"/>
  <c r="K47" s="1"/>
  <c r="Q47"/>
  <c r="O41"/>
  <c r="G46"/>
  <c r="M37"/>
  <c r="K37"/>
  <c r="O34"/>
  <c r="G30"/>
  <c r="G27"/>
  <c r="I23"/>
  <c r="G23"/>
  <c r="M17"/>
  <c r="K17" s="1"/>
  <c r="A16"/>
  <c r="A17"/>
  <c r="I18"/>
  <c r="G18"/>
  <c r="F26" i="1"/>
  <c r="F24"/>
  <c r="F23"/>
  <c r="F22"/>
  <c r="F21"/>
  <c r="F20"/>
  <c r="F19"/>
  <c r="F18"/>
  <c r="F17"/>
  <c r="F16"/>
  <c r="F15"/>
  <c r="F14"/>
  <c r="F27" i="2"/>
  <c r="F25"/>
  <c r="F24"/>
  <c r="F23"/>
  <c r="F22"/>
  <c r="F21"/>
  <c r="F20"/>
  <c r="F19"/>
  <c r="F18"/>
  <c r="F17"/>
  <c r="F16"/>
  <c r="F15"/>
  <c r="F27" i="3"/>
  <c r="F25"/>
  <c r="F24"/>
  <c r="F23"/>
  <c r="F22"/>
  <c r="F21"/>
  <c r="F20"/>
  <c r="F19"/>
  <c r="F18"/>
  <c r="F17"/>
  <c r="F16"/>
  <c r="F15"/>
  <c r="L27"/>
  <c r="K27"/>
  <c r="J27"/>
  <c r="I27"/>
  <c r="H27"/>
  <c r="D27"/>
  <c r="G25"/>
  <c r="M25"/>
  <c r="N25"/>
  <c r="G24"/>
  <c r="M24" s="1"/>
  <c r="N24" s="1"/>
  <c r="G23"/>
  <c r="M23"/>
  <c r="N23" s="1"/>
  <c r="G22"/>
  <c r="M22"/>
  <c r="N22"/>
  <c r="G21"/>
  <c r="M21"/>
  <c r="N21"/>
  <c r="G20"/>
  <c r="M20" s="1"/>
  <c r="N20" s="1"/>
  <c r="G19"/>
  <c r="M19" s="1"/>
  <c r="N19" s="1"/>
  <c r="G18"/>
  <c r="M18"/>
  <c r="N18"/>
  <c r="G17"/>
  <c r="M17"/>
  <c r="N17"/>
  <c r="G16"/>
  <c r="A16"/>
  <c r="A17"/>
  <c r="A18" s="1"/>
  <c r="A19" s="1"/>
  <c r="A20"/>
  <c r="A21"/>
  <c r="A22" s="1"/>
  <c r="A23" s="1"/>
  <c r="A24" s="1"/>
  <c r="A25" s="1"/>
  <c r="A27" s="1"/>
  <c r="G15"/>
  <c r="M15"/>
  <c r="L27" i="2"/>
  <c r="K27"/>
  <c r="J27"/>
  <c r="I27"/>
  <c r="H27"/>
  <c r="D27"/>
  <c r="G25"/>
  <c r="M25"/>
  <c r="N25" s="1"/>
  <c r="G24"/>
  <c r="M24"/>
  <c r="N24"/>
  <c r="G23"/>
  <c r="M23" s="1"/>
  <c r="N23" s="1"/>
  <c r="G22"/>
  <c r="M22"/>
  <c r="N22" s="1"/>
  <c r="G21"/>
  <c r="M21"/>
  <c r="N21"/>
  <c r="G20"/>
  <c r="M20"/>
  <c r="N20"/>
  <c r="G19"/>
  <c r="M19" s="1"/>
  <c r="N19" s="1"/>
  <c r="G18"/>
  <c r="M18"/>
  <c r="N18" s="1"/>
  <c r="G17"/>
  <c r="M17"/>
  <c r="N17"/>
  <c r="G16"/>
  <c r="M16"/>
  <c r="N16"/>
  <c r="A16"/>
  <c r="A17" s="1"/>
  <c r="A18" s="1"/>
  <c r="A19"/>
  <c r="A20" s="1"/>
  <c r="A21" s="1"/>
  <c r="A22" s="1"/>
  <c r="A23" s="1"/>
  <c r="A24" s="1"/>
  <c r="A25" s="1"/>
  <c r="A27" s="1"/>
  <c r="G15"/>
  <c r="G27" s="1"/>
  <c r="L26" i="1"/>
  <c r="K26"/>
  <c r="J26"/>
  <c r="I26"/>
  <c r="H26"/>
  <c r="D26"/>
  <c r="M24"/>
  <c r="N24" s="1"/>
  <c r="G24"/>
  <c r="G23"/>
  <c r="M23"/>
  <c r="N23" s="1"/>
  <c r="G22"/>
  <c r="M22"/>
  <c r="N22"/>
  <c r="G21"/>
  <c r="M21" s="1"/>
  <c r="N21" s="1"/>
  <c r="G20"/>
  <c r="M20"/>
  <c r="N20" s="1"/>
  <c r="N19"/>
  <c r="G19"/>
  <c r="M19" s="1"/>
  <c r="G18"/>
  <c r="M18"/>
  <c r="N18"/>
  <c r="G17"/>
  <c r="M17" s="1"/>
  <c r="N17" s="1"/>
  <c r="G16"/>
  <c r="M16"/>
  <c r="N16" s="1"/>
  <c r="G15"/>
  <c r="M15" s="1"/>
  <c r="N15" s="1"/>
  <c r="A15"/>
  <c r="A16" s="1"/>
  <c r="A17" s="1"/>
  <c r="A18"/>
  <c r="A19"/>
  <c r="A20" s="1"/>
  <c r="A21" s="1"/>
  <c r="A22"/>
  <c r="A23" s="1"/>
  <c r="A24" s="1"/>
  <c r="A26" s="1"/>
  <c r="G14"/>
  <c r="G50" i="6"/>
  <c r="I50" i="7"/>
  <c r="I51"/>
  <c r="K34" i="6"/>
  <c r="Q34"/>
  <c r="I46"/>
  <c r="A17" i="7"/>
  <c r="I38"/>
  <c r="I39"/>
  <c r="I52" s="1"/>
  <c r="U43"/>
  <c r="I30" i="6"/>
  <c r="I38"/>
  <c r="I39" s="1"/>
  <c r="M48"/>
  <c r="K48"/>
  <c r="Q48" s="1"/>
  <c r="G38" i="7"/>
  <c r="G39"/>
  <c r="U44"/>
  <c r="U47"/>
  <c r="I27" i="6"/>
  <c r="G38"/>
  <c r="G39"/>
  <c r="G52"/>
  <c r="U41" i="7"/>
  <c r="I50" i="6"/>
  <c r="I51"/>
  <c r="M55" s="1"/>
  <c r="Q35"/>
  <c r="M35"/>
  <c r="O35" s="1"/>
  <c r="Q35" i="7"/>
  <c r="S35"/>
  <c r="U35"/>
  <c r="G51" i="6"/>
  <c r="M15" i="2"/>
  <c r="A18" i="6"/>
  <c r="A20"/>
  <c r="A21"/>
  <c r="A22"/>
  <c r="S34" i="7" l="1"/>
  <c r="N15" i="2"/>
  <c r="M27"/>
  <c r="N27" s="1"/>
  <c r="A23" i="6"/>
  <c r="G52" i="7"/>
  <c r="G26" i="1"/>
  <c r="M16" i="3"/>
  <c r="N16" s="1"/>
  <c r="G27"/>
  <c r="N15"/>
  <c r="M14" i="1"/>
  <c r="I52" i="6"/>
  <c r="O44"/>
  <c r="M44" s="1"/>
  <c r="K44" s="1"/>
  <c r="Q44" s="1"/>
  <c r="M41"/>
  <c r="O43"/>
  <c r="M43" s="1"/>
  <c r="K43" s="1"/>
  <c r="Q43" s="1"/>
  <c r="O42"/>
  <c r="M42" s="1"/>
  <c r="K42" s="1"/>
  <c r="Q42" s="1"/>
  <c r="A18" i="7"/>
  <c r="K39"/>
  <c r="A21" l="1"/>
  <c r="K52"/>
  <c r="N14" i="1"/>
  <c r="M26"/>
  <c r="N26" s="1"/>
  <c r="M27" i="3"/>
  <c r="N27" s="1"/>
  <c r="A20" i="7"/>
  <c r="K41" i="6"/>
  <c r="A24"/>
  <c r="M56"/>
  <c r="M57"/>
  <c r="A25" l="1"/>
  <c r="M45" i="7"/>
  <c r="M20"/>
  <c r="O20" s="1"/>
  <c r="M21"/>
  <c r="O21" s="1"/>
  <c r="M28"/>
  <c r="O28" s="1"/>
  <c r="M31"/>
  <c r="O31" s="1"/>
  <c r="M26"/>
  <c r="O26" s="1"/>
  <c r="M33"/>
  <c r="O33" s="1"/>
  <c r="M22"/>
  <c r="O22" s="1"/>
  <c r="M15"/>
  <c r="M29"/>
  <c r="O29" s="1"/>
  <c r="M16"/>
  <c r="O16" s="1"/>
  <c r="M32"/>
  <c r="O32" s="1"/>
  <c r="M27"/>
  <c r="M24"/>
  <c r="O24" s="1"/>
  <c r="M30"/>
  <c r="M25"/>
  <c r="O25" s="1"/>
  <c r="M36"/>
  <c r="O36" s="1"/>
  <c r="M38"/>
  <c r="M23"/>
  <c r="A22"/>
  <c r="M58" i="6"/>
  <c r="M61"/>
  <c r="Q41"/>
  <c r="M39" i="7"/>
  <c r="Q24" l="1"/>
  <c r="S24" s="1"/>
  <c r="U24"/>
  <c r="U29"/>
  <c r="Q29"/>
  <c r="S29" s="1"/>
  <c r="Q26"/>
  <c r="S26" s="1"/>
  <c r="U26"/>
  <c r="O23"/>
  <c r="U23" s="1"/>
  <c r="U20"/>
  <c r="Q20"/>
  <c r="O38"/>
  <c r="A26" i="6"/>
  <c r="O36"/>
  <c r="M36" s="1"/>
  <c r="K36" s="1"/>
  <c r="Q36" s="1"/>
  <c r="O33"/>
  <c r="M33" s="1"/>
  <c r="K33" s="1"/>
  <c r="Q33" s="1"/>
  <c r="O31"/>
  <c r="M31" s="1"/>
  <c r="K31" s="1"/>
  <c r="Q31" s="1"/>
  <c r="O25"/>
  <c r="A24" i="7"/>
  <c r="U36"/>
  <c r="Q36"/>
  <c r="S36" s="1"/>
  <c r="O15"/>
  <c r="M18"/>
  <c r="U31"/>
  <c r="Q31"/>
  <c r="S31" s="1"/>
  <c r="O45"/>
  <c r="M46"/>
  <c r="M59" i="6"/>
  <c r="M62"/>
  <c r="O28" s="1"/>
  <c r="M60"/>
  <c r="O15"/>
  <c r="M15" s="1"/>
  <c r="O16"/>
  <c r="M16" s="1"/>
  <c r="K16" s="1"/>
  <c r="Q16" s="1"/>
  <c r="U25" i="7"/>
  <c r="O27"/>
  <c r="U27" s="1"/>
  <c r="Q25"/>
  <c r="Q32"/>
  <c r="S32" s="1"/>
  <c r="U32"/>
  <c r="Q22"/>
  <c r="S22" s="1"/>
  <c r="U22"/>
  <c r="U28"/>
  <c r="O30"/>
  <c r="U30" s="1"/>
  <c r="Q28"/>
  <c r="A23"/>
  <c r="Q16"/>
  <c r="S16" s="1"/>
  <c r="U16"/>
  <c r="Q33"/>
  <c r="S33" s="1"/>
  <c r="U33"/>
  <c r="Q21"/>
  <c r="S21" s="1"/>
  <c r="U21"/>
  <c r="M28" i="6" l="1"/>
  <c r="O29"/>
  <c r="M29" s="1"/>
  <c r="K29" s="1"/>
  <c r="Q29" s="1"/>
  <c r="S25" i="7"/>
  <c r="Q27"/>
  <c r="S27" s="1"/>
  <c r="K15" i="6"/>
  <c r="M18"/>
  <c r="O18" s="1"/>
  <c r="M52" i="7"/>
  <c r="O26" i="6"/>
  <c r="M26" s="1"/>
  <c r="K26" s="1"/>
  <c r="Q26" s="1"/>
  <c r="M25"/>
  <c r="A27"/>
  <c r="S28" i="7"/>
  <c r="Q30"/>
  <c r="S30" s="1"/>
  <c r="O45" i="6"/>
  <c r="M45" s="1"/>
  <c r="O24"/>
  <c r="M24" s="1"/>
  <c r="K24" s="1"/>
  <c r="Q24" s="1"/>
  <c r="Q45" i="7"/>
  <c r="U45"/>
  <c r="O46"/>
  <c r="Q15"/>
  <c r="O18"/>
  <c r="U15"/>
  <c r="O39"/>
  <c r="U39" s="1"/>
  <c r="U38"/>
  <c r="A25"/>
  <c r="O32" i="6"/>
  <c r="M32" s="1"/>
  <c r="K32" s="1"/>
  <c r="Q32" s="1"/>
  <c r="O20"/>
  <c r="Q23" i="7"/>
  <c r="S23" s="1"/>
  <c r="Q38"/>
  <c r="S20"/>
  <c r="O52" l="1"/>
  <c r="U46"/>
  <c r="O50"/>
  <c r="S38"/>
  <c r="Q39"/>
  <c r="S39" s="1"/>
  <c r="K45" i="6"/>
  <c r="M46"/>
  <c r="A26" i="7"/>
  <c r="M30" i="6"/>
  <c r="O30" s="1"/>
  <c r="K28"/>
  <c r="O51" i="7"/>
  <c r="U18"/>
  <c r="S45"/>
  <c r="Q46"/>
  <c r="S46" s="1"/>
  <c r="K25" i="6"/>
  <c r="M27"/>
  <c r="O27" s="1"/>
  <c r="O22"/>
  <c r="M22" s="1"/>
  <c r="K22" s="1"/>
  <c r="Q22" s="1"/>
  <c r="O21"/>
  <c r="M21" s="1"/>
  <c r="K21" s="1"/>
  <c r="Q21" s="1"/>
  <c r="M20"/>
  <c r="A27" i="7"/>
  <c r="S15"/>
  <c r="Q18"/>
  <c r="Q52"/>
  <c r="A28" i="6"/>
  <c r="K18"/>
  <c r="Q18" s="1"/>
  <c r="Q15"/>
  <c r="Q28" l="1"/>
  <c r="K30"/>
  <c r="Q30" s="1"/>
  <c r="K20"/>
  <c r="M38"/>
  <c r="M23"/>
  <c r="O23" s="1"/>
  <c r="Q50" i="7"/>
  <c r="S50" s="1"/>
  <c r="U50"/>
  <c r="M50" i="6"/>
  <c r="O46"/>
  <c r="Q45"/>
  <c r="K46"/>
  <c r="A29"/>
  <c r="Q51" i="7"/>
  <c r="S51" s="1"/>
  <c r="S18"/>
  <c r="Q25" i="6"/>
  <c r="K27"/>
  <c r="Q27" s="1"/>
  <c r="A30"/>
  <c r="A31" s="1"/>
  <c r="A32" s="1"/>
  <c r="A28" i="7"/>
  <c r="A33" i="6" l="1"/>
  <c r="A34" s="1"/>
  <c r="A35" s="1"/>
  <c r="A36" s="1"/>
  <c r="A37" s="1"/>
  <c r="A38" s="1"/>
  <c r="A39" s="1"/>
  <c r="A41" s="1"/>
  <c r="A42" s="1"/>
  <c r="A43" s="1"/>
  <c r="A44" s="1"/>
  <c r="A45" s="1"/>
  <c r="A46" s="1"/>
  <c r="A47" s="1"/>
  <c r="A48" s="1"/>
  <c r="A49" s="1"/>
  <c r="A50" s="1"/>
  <c r="A51" s="1"/>
  <c r="A52" s="1"/>
  <c r="A29" i="7"/>
  <c r="O38" i="6"/>
  <c r="M39"/>
  <c r="Q46"/>
  <c r="K50"/>
  <c r="O50"/>
  <c r="M51"/>
  <c r="O51" s="1"/>
  <c r="K23"/>
  <c r="Q23" s="1"/>
  <c r="K38"/>
  <c r="Q20"/>
  <c r="Q50" l="1"/>
  <c r="K51"/>
  <c r="Q51" s="1"/>
  <c r="Q38"/>
  <c r="K39"/>
  <c r="O39"/>
  <c r="M52"/>
  <c r="O52" s="1"/>
  <c r="A30" i="7"/>
  <c r="A31" s="1"/>
  <c r="A32" s="1"/>
  <c r="A33" s="1"/>
  <c r="A34" s="1"/>
  <c r="A35" s="1"/>
  <c r="A36" s="1"/>
  <c r="A37" s="1"/>
  <c r="A38" s="1"/>
  <c r="A39" s="1"/>
  <c r="A41" s="1"/>
  <c r="A42" s="1"/>
  <c r="A43" s="1"/>
  <c r="A44" s="1"/>
  <c r="A45" s="1"/>
  <c r="A46" s="1"/>
  <c r="A47" s="1"/>
  <c r="A48" s="1"/>
  <c r="A49" s="1"/>
  <c r="A50" s="1"/>
  <c r="A51" s="1"/>
  <c r="A52" s="1"/>
  <c r="Q39" i="6" l="1"/>
  <c r="K52"/>
  <c r="Q52" s="1"/>
</calcChain>
</file>

<file path=xl/comments1.xml><?xml version="1.0" encoding="utf-8"?>
<comments xmlns="http://schemas.openxmlformats.org/spreadsheetml/2006/main">
  <authors>
    <author>Craig Paice</author>
  </authors>
  <commentList>
    <comment ref="G7" authorId="0">
      <text>
        <r>
          <rPr>
            <sz val="10"/>
            <color indexed="81"/>
            <rFont val="Arial"/>
            <family val="2"/>
          </rPr>
          <t>Indicates a target rate of return.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Craig Paice</author>
  </authors>
  <commentList>
    <comment ref="G8" authorId="0">
      <text>
        <r>
          <rPr>
            <sz val="10"/>
            <color indexed="81"/>
            <rFont val="Arial"/>
            <family val="2"/>
          </rPr>
          <t>Indicates a target rate of return.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<sst xmlns="http://schemas.openxmlformats.org/spreadsheetml/2006/main" count="515" uniqueCount="194">
  <si>
    <t>Cost Of Service By Rate Schedule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</si>
  <si>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</si>
  <si>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</si>
  <si>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</si>
  <si>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</si>
  <si>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</si>
  <si>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</si>
  <si>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</si>
  <si>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</si>
  <si>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</si>
  <si>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</si>
  <si>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</si>
  <si>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</si>
  <si>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</si>
  <si>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Return on</t>
  </si>
  <si>
    <t>Rate of</t>
  </si>
  <si>
    <t>Total</t>
  </si>
  <si>
    <t>Generation</t>
  </si>
  <si>
    <t xml:space="preserve">Transmission </t>
  </si>
  <si>
    <t>Distribution</t>
  </si>
  <si>
    <t xml:space="preserve">Retail </t>
  </si>
  <si>
    <t>Misc</t>
  </si>
  <si>
    <t>Increase</t>
  </si>
  <si>
    <t>Percentage</t>
  </si>
  <si>
    <t>Line</t>
  </si>
  <si>
    <t>Schedule</t>
  </si>
  <si>
    <t>Description</t>
  </si>
  <si>
    <t>Annual</t>
  </si>
  <si>
    <t>Rate</t>
  </si>
  <si>
    <t>Return</t>
  </si>
  <si>
    <t>Cost of</t>
  </si>
  <si>
    <t>(Decrease)</t>
  </si>
  <si>
    <t>Change from</t>
  </si>
  <si>
    <t>No.</t>
  </si>
  <si>
    <t>Revenue</t>
  </si>
  <si>
    <t>Base</t>
  </si>
  <si>
    <t>Index</t>
  </si>
  <si>
    <t>Service</t>
  </si>
  <si>
    <t>to = ROR</t>
  </si>
  <si>
    <t>Current Revenues</t>
  </si>
  <si>
    <t>1</t>
  </si>
  <si>
    <t>Residential</t>
  </si>
  <si>
    <t>6</t>
  </si>
  <si>
    <t xml:space="preserve">General Service - Large </t>
  </si>
  <si>
    <t>8</t>
  </si>
  <si>
    <t>General Service - Over 1 MW</t>
  </si>
  <si>
    <t>7,11,12</t>
  </si>
  <si>
    <t>Street &amp; Area Lighting</t>
  </si>
  <si>
    <t>9</t>
  </si>
  <si>
    <t>General Service - High Voltage</t>
  </si>
  <si>
    <t>10</t>
  </si>
  <si>
    <t>Irrigation</t>
  </si>
  <si>
    <t>Traffic Signals</t>
  </si>
  <si>
    <t>Outdoor Lighting</t>
  </si>
  <si>
    <t>23</t>
  </si>
  <si>
    <t xml:space="preserve">General Service - Small </t>
  </si>
  <si>
    <t>SpC</t>
  </si>
  <si>
    <t>Customer 1</t>
  </si>
  <si>
    <t>Customer 2</t>
  </si>
  <si>
    <t>Total Utah Jurisdiction</t>
  </si>
  <si>
    <t>Footnotes :</t>
  </si>
  <si>
    <t>Column C :</t>
  </si>
  <si>
    <t xml:space="preserve">Annual revenues based on Jun 2012 thru May 2013 forecasted data. </t>
  </si>
  <si>
    <t xml:space="preserve">Column D :  </t>
  </si>
  <si>
    <t xml:space="preserve">Calculated Return on Ratebase per Jun 2012 thru May 2013 Embedded Cost of Service Study </t>
  </si>
  <si>
    <t xml:space="preserve">Column E : </t>
  </si>
  <si>
    <t>Rate of Return Index. Rate of return by rate schedule, divided by Utah Jurisdiction's normalized rate of return.</t>
  </si>
  <si>
    <t xml:space="preserve">Column F : </t>
  </si>
  <si>
    <t>Calculated Full Cost of Service at Jurisdictional Rate of Return per the Jun 2012 thru May 2013 Embedded COS Study</t>
  </si>
  <si>
    <t xml:space="preserve">Column G : </t>
  </si>
  <si>
    <t>Calculated Generation Cost of Service at Jurisdictional Rate of Return per the Jun 2012 thru May 2013 Embedded COS Study.</t>
  </si>
  <si>
    <t xml:space="preserve">Column H : </t>
  </si>
  <si>
    <t>Calculated Transmission Cost of Service at Jurisdictional Rate of Return per the Jun 2012 thru May 2013 Embedded COS Study.</t>
  </si>
  <si>
    <t xml:space="preserve">Column I : </t>
  </si>
  <si>
    <t>Calculated Distribution Cost of Service at Jurisdictional Rate of Return per the Jun 2012 thru May 2013 Embedded COS Study.</t>
  </si>
  <si>
    <t xml:space="preserve">Column J :  </t>
  </si>
  <si>
    <t>Calculated Retail Cost of Service at Jurisdictional Rate of Return per the Jun 2012 thru May 2013 Embedded COS Study.</t>
  </si>
  <si>
    <t xml:space="preserve">Column K : </t>
  </si>
  <si>
    <t>Calculated Miscellaneous Cost of Service at Jurisdictional Rate of Return per the Jun 2012 thru May 2013 Embedded COS Study.</t>
  </si>
  <si>
    <t xml:space="preserve">Column L :  </t>
  </si>
  <si>
    <t>Increase or Decrease Required to Move From Annual Revenue to Full Cost of Service Dollars.</t>
  </si>
  <si>
    <t xml:space="preserve">Column M : </t>
  </si>
  <si>
    <t>Increase or Decrease Required to Move From Annual Revenue to Full Cost of Service Percent.</t>
  </si>
  <si>
    <t>Rocky Mountain Power</t>
  </si>
  <si>
    <t>State of Utah</t>
  </si>
  <si>
    <t>12 Months Ended May 2013</t>
  </si>
  <si>
    <t>7.91% = Target Return on Rate Base</t>
  </si>
  <si>
    <t>Monthly Peak Load Weightings Impact</t>
  </si>
  <si>
    <t xml:space="preserve">Present </t>
  </si>
  <si>
    <t>Proposed</t>
  </si>
  <si>
    <t>Sch</t>
  </si>
  <si>
    <t>MWh</t>
  </si>
  <si>
    <t>Revenues</t>
  </si>
  <si>
    <t xml:space="preserve">Avg </t>
  </si>
  <si>
    <t>Forecast</t>
  </si>
  <si>
    <t>($000)</t>
  </si>
  <si>
    <t>Change</t>
  </si>
  <si>
    <t>(%)</t>
  </si>
  <si>
    <t>¢/kWh</t>
  </si>
  <si>
    <t>1,3</t>
  </si>
  <si>
    <t>Residential-Optional TOD</t>
  </si>
  <si>
    <t>AGA/Revenue Credit</t>
  </si>
  <si>
    <t>--</t>
  </si>
  <si>
    <t>Total Residential</t>
  </si>
  <si>
    <t>Commercial &amp; Industrial &amp; OSPA</t>
  </si>
  <si>
    <t>General Service-Distribution</t>
  </si>
  <si>
    <t>General Service-Distribution-Energy TOD</t>
  </si>
  <si>
    <t>6A</t>
  </si>
  <si>
    <t>General Service-Distribution-Demand TOD</t>
  </si>
  <si>
    <t>6B</t>
  </si>
  <si>
    <t>Subtotal Schedule 6</t>
  </si>
  <si>
    <t>General Service-Distribution &gt; 1,000 kW</t>
  </si>
  <si>
    <t>General Service-High Voltage</t>
  </si>
  <si>
    <t>General Service-High Voltage-Energy TOD</t>
  </si>
  <si>
    <t>9A</t>
  </si>
  <si>
    <t>Subtotal Schedule 9</t>
  </si>
  <si>
    <t>Irrigation-Time of Day</t>
  </si>
  <si>
    <t>10TOD</t>
  </si>
  <si>
    <t>Subtotal Irrigation</t>
  </si>
  <si>
    <t>Electric Furnace</t>
  </si>
  <si>
    <t>General Service-Distribution-Small</t>
  </si>
  <si>
    <t>Back-up, Maintenance, &amp; Supplementary</t>
  </si>
  <si>
    <t>Contract 1</t>
  </si>
  <si>
    <t>Contract 2</t>
  </si>
  <si>
    <t>Contract 3</t>
  </si>
  <si>
    <t>Total Commercial &amp; Industrial &amp; OSPA</t>
  </si>
  <si>
    <t>Total Commercial &amp; Industrial 
(excluding Contracts 1, 2, AGA)</t>
  </si>
  <si>
    <t>Public Street Lighting</t>
  </si>
  <si>
    <t>Security Area Lighting</t>
  </si>
  <si>
    <t>Street Lighting - Company Owned</t>
  </si>
  <si>
    <t>Street Lighting - Customer Owned</t>
  </si>
  <si>
    <t>Metered Outdoor Lighting</t>
  </si>
  <si>
    <t>Traffic Signal Systems</t>
  </si>
  <si>
    <t>Subtotal Public Street Lighting</t>
  </si>
  <si>
    <t>Security Area Lighting-Contracts (PTL)</t>
  </si>
  <si>
    <t>Street Lighting-Contract (77)</t>
  </si>
  <si>
    <t>Total Public Street Lighting</t>
  </si>
  <si>
    <t>Total Sales to Ultimate Customers</t>
  </si>
  <si>
    <t>Total Sales to Ultimate Customers 
(excluding Contracts 1, 2, AGA)</t>
  </si>
  <si>
    <t>Target Increase ($000)</t>
  </si>
  <si>
    <t>Total Utah Overall</t>
  </si>
  <si>
    <t>Tariff Overall Including Contracts 3</t>
  </si>
  <si>
    <t>Tariff Excluding Lightings Overall</t>
  </si>
  <si>
    <t>Adj</t>
  </si>
  <si>
    <t>Res (Middle Point)</t>
  </si>
  <si>
    <t>6, 23</t>
  </si>
  <si>
    <t>8, 15T</t>
  </si>
  <si>
    <t>7,11,12,15M</t>
  </si>
  <si>
    <t>Recommended</t>
  </si>
  <si>
    <t xml:space="preserve">Recommended </t>
  </si>
  <si>
    <t>UAE Rate Spread</t>
  </si>
  <si>
    <t>Total Rev Spread</t>
  </si>
  <si>
    <t>Increase Spread</t>
  </si>
  <si>
    <t xml:space="preserve">Increase </t>
  </si>
  <si>
    <t xml:space="preserve">at RMP </t>
  </si>
  <si>
    <t>at Lower Rev Req</t>
  </si>
  <si>
    <t>Requested</t>
  </si>
  <si>
    <t>% Total Revenue</t>
  </si>
  <si>
    <t>% Increase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</si>
  <si>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</si>
  <si>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</si>
  <si>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</si>
  <si>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</si>
  <si>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</si>
  <si>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</si>
  <si>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</si>
  <si>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</si>
  <si>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</si>
  <si>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</si>
  <si>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N/A</t>
  </si>
  <si>
    <t xml:space="preserve">Notes: </t>
  </si>
  <si>
    <t xml:space="preserve">1. For sample derivations of Contract 1 and 2 revenues, see UAE Exhibit RR 1.2, p. 3. </t>
  </si>
  <si>
    <r>
      <t>at Lower Rev Req</t>
    </r>
    <r>
      <rPr>
        <b/>
        <vertAlign val="superscript"/>
        <sz val="11"/>
        <rFont val="Times New Roman"/>
        <family val="1"/>
      </rPr>
      <t>3</t>
    </r>
  </si>
  <si>
    <r>
      <t>at Lower Rev Req</t>
    </r>
    <r>
      <rPr>
        <b/>
        <vertAlign val="superscript"/>
        <sz val="11"/>
        <rFont val="Times New Roman"/>
        <family val="1"/>
      </rPr>
      <t>4</t>
    </r>
  </si>
  <si>
    <r>
      <t>Revenues</t>
    </r>
    <r>
      <rPr>
        <b/>
        <vertAlign val="superscript"/>
        <sz val="11"/>
        <rFont val="Times New Roman"/>
        <family val="1"/>
      </rPr>
      <t>2</t>
    </r>
  </si>
  <si>
    <r>
      <t>Contract 1</t>
    </r>
    <r>
      <rPr>
        <vertAlign val="superscript"/>
        <sz val="11"/>
        <rFont val="Times New Roman"/>
        <family val="1"/>
      </rPr>
      <t>1</t>
    </r>
  </si>
  <si>
    <r>
      <t>Contract 2</t>
    </r>
    <r>
      <rPr>
        <vertAlign val="superscript"/>
        <sz val="11"/>
        <rFont val="Times New Roman"/>
        <family val="1"/>
      </rPr>
      <t xml:space="preserve"> </t>
    </r>
  </si>
  <si>
    <t>UAE Rate Spread Recommendation</t>
  </si>
  <si>
    <t>at Rocky Mountain Power's</t>
  </si>
  <si>
    <t>Requested Revenue Requirement</t>
  </si>
  <si>
    <t xml:space="preserve">Note:1. Schedules 9, 21, 31, and Contract 3 receive the middle point increase. </t>
  </si>
  <si>
    <t xml:space="preserve">Combined Monthly Peak Load Weightings and Revenue Credits </t>
  </si>
  <si>
    <t>Functional Reassignment (P&amp;T Only) Impact</t>
  </si>
  <si>
    <t xml:space="preserve">2010 Protocol (Non-Weighted) </t>
  </si>
  <si>
    <t>with Revenue Credits Functional Reassignment (P&amp;T Only) Impact</t>
  </si>
  <si>
    <t>at Hypothetical $86.1 Million Base Revenue Increase</t>
  </si>
  <si>
    <t>(e)-(d)</t>
  </si>
  <si>
    <t>(f)/(d)</t>
  </si>
  <si>
    <t>(e)/(c)</t>
  </si>
  <si>
    <t>Total Sales to Ultimate Customers 
(excluding Contracts 1, 2, AGA, Street Lighting except Traffic Signals)</t>
  </si>
  <si>
    <t xml:space="preserve">2. Contracts 1 and 2, AGA, and Street Lighting except Traffic Signals are excluded from this portion of analysis. </t>
  </si>
  <si>
    <t xml:space="preserve">4. $86,134(thousand) is 50% of RMP's total requested increase of $172,267(thousand) for all classes. </t>
  </si>
  <si>
    <r>
      <t>9, 21, 31, Contract 3</t>
    </r>
    <r>
      <rPr>
        <vertAlign val="superscript"/>
        <sz val="11"/>
        <rFont val="Times New Roman"/>
        <family val="1"/>
      </rPr>
      <t xml:space="preserve"> 1</t>
    </r>
  </si>
  <si>
    <t xml:space="preserve">3. $1,789,390(thousand) represents total revenues at 50% of RMP's requested increase, excluding Contracts 1 and 2, AGA, and Street Lighting except Traffic Signals.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</si>
</sst>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  <numFmt numFmtId="166" formatCode="0.000%"/>
    <numFmt numFmtId="167" formatCode="General_)"/>
    <numFmt numFmtId="168" formatCode="&quot;$&quot;#,##0"/>
    <numFmt numFmtId="169" formatCode="_(* #,##0_);_(* \(#,##0\);_(* &quot;-&quot;??_);_(@_)"/>
    <numFmt numFmtId="170" formatCode="&quot;$&quot;#,##0.0000_);\(&quot;$&quot;#,##0.0000\)"/>
    <numFmt numFmtId="171" formatCode="0.0000%"/>
    <numFmt numFmtId="172" formatCode="_(&quot;$&quot;* #,##0_);_(&quot;$&quot;* \(#,##0\);_(&quot;$&quot;* &quot;-&quot;??_);_(@_)"/>
    <numFmt numFmtId="173" formatCode="0.00000"/>
    <numFmt numFmtId="174" formatCode="_(* #,##0.00000_);_(* \(#,##0.00000\);_(* &quot;-&quot;??_);_(@_)"/>
    <numFmt numFmtId="175" formatCode="&quot;$&quot;#,##0.00"/>
  </numFmts>
  <fonts count="39">
    <font>
      <sz val="10"/>
      <name val="SWISS"/>
    </font>
    <font>
      <sz val="10"/>
      <name val="Swiss"/>
      <family val="2"/>
    </font>
    <font>
      <sz val="10"/>
      <name val="Arial"/>
      <family val="2"/>
    </font>
    <font>
      <sz val="10"/>
      <color indexed="81"/>
      <name val="Arial"/>
      <family val="2"/>
    </font>
    <font>
      <sz val="8"/>
      <color indexed="81"/>
      <name val="Tahoma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12"/>
      <name val="Times New Roman"/>
      <family val="1"/>
    </font>
    <font>
      <sz val="12"/>
      <color indexed="12"/>
      <name val="Times New Roman"/>
      <family val="1"/>
    </font>
    <font>
      <sz val="7"/>
      <name val="Arial"/>
      <family val="2"/>
    </font>
    <font>
      <sz val="12"/>
      <name val="Arial"/>
      <family val="2"/>
    </font>
    <font>
      <sz val="12"/>
      <name val="Arial MT"/>
    </font>
    <font>
      <sz val="12"/>
      <name val="TimesNewRomanPS"/>
    </font>
    <font>
      <sz val="11"/>
      <color indexed="8"/>
      <name val="Century Schoolbook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sz val="10"/>
      <name val="LinePrinter"/>
      <family val="3"/>
    </font>
    <font>
      <b/>
      <sz val="20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FF"/>
      <name val="Times New Roman"/>
      <family val="1"/>
    </font>
    <font>
      <b/>
      <sz val="11"/>
      <color theme="3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2"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Font="0" applyFill="0" applyBorder="0" applyAlignment="0" applyProtection="0">
      <alignment horizontal="left"/>
    </xf>
    <xf numFmtId="169" fontId="13" fillId="0" borderId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41" fontId="1" fillId="0" borderId="0" applyFont="0" applyFill="0" applyBorder="0" applyAlignment="0" applyProtection="0"/>
    <xf numFmtId="175" fontId="17" fillId="0" borderId="0"/>
    <xf numFmtId="0" fontId="18" fillId="0" borderId="0"/>
    <xf numFmtId="0" fontId="26" fillId="0" borderId="0"/>
    <xf numFmtId="0" fontId="5" fillId="0" borderId="0"/>
    <xf numFmtId="0" fontId="2" fillId="0" borderId="0"/>
    <xf numFmtId="0" fontId="15" fillId="0" borderId="0"/>
    <xf numFmtId="167" fontId="5" fillId="0" borderId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19" fillId="2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/>
    </xf>
    <xf numFmtId="167" fontId="21" fillId="0" borderId="0">
      <alignment horizontal="left"/>
    </xf>
  </cellStyleXfs>
  <cellXfs count="210">
    <xf numFmtId="41" fontId="0" fillId="0" borderId="0" xfId="0"/>
    <xf numFmtId="41" fontId="28" fillId="0" borderId="0" xfId="0" applyFont="1" applyFill="1"/>
    <xf numFmtId="1" fontId="29" fillId="0" borderId="0" xfId="0" applyNumberFormat="1" applyFont="1" applyFill="1" applyAlignment="1">
      <alignment horizontal="centerContinuous"/>
    </xf>
    <xf numFmtId="41" fontId="29" fillId="0" borderId="0" xfId="0" applyFont="1" applyFill="1" applyAlignment="1" applyProtection="1">
      <alignment horizontal="centerContinuous"/>
      <protection locked="0"/>
    </xf>
    <xf numFmtId="166" fontId="29" fillId="0" borderId="0" xfId="99" quotePrefix="1" applyNumberFormat="1" applyFont="1" applyFill="1" applyAlignment="1">
      <alignment horizontal="centerContinuous"/>
    </xf>
    <xf numFmtId="1" fontId="29" fillId="0" borderId="0" xfId="0" quotePrefix="1" applyNumberFormat="1" applyFont="1" applyFill="1" applyAlignment="1">
      <alignment horizontal="centerContinuous"/>
    </xf>
    <xf numFmtId="41" fontId="28" fillId="0" borderId="0" xfId="0" applyFont="1" applyFill="1" applyProtection="1">
      <protection locked="0"/>
    </xf>
    <xf numFmtId="41" fontId="28" fillId="0" borderId="0" xfId="0" applyFont="1" applyFill="1" applyAlignment="1" applyProtection="1">
      <alignment horizontal="center"/>
      <protection locked="0"/>
    </xf>
    <xf numFmtId="41" fontId="28" fillId="0" borderId="1" xfId="98" applyFont="1" applyFill="1" applyBorder="1" applyProtection="1">
      <protection locked="0"/>
    </xf>
    <xf numFmtId="41" fontId="28" fillId="0" borderId="1" xfId="98" applyFont="1" applyFill="1" applyBorder="1" applyAlignment="1" applyProtection="1">
      <alignment horizontal="center"/>
      <protection locked="0"/>
    </xf>
    <xf numFmtId="41" fontId="28" fillId="0" borderId="0" xfId="98" applyFont="1" applyFill="1"/>
    <xf numFmtId="41" fontId="28" fillId="0" borderId="2" xfId="98" applyFont="1" applyFill="1" applyBorder="1" applyAlignment="1" applyProtection="1">
      <alignment horizontal="center"/>
      <protection locked="0"/>
    </xf>
    <xf numFmtId="41" fontId="28" fillId="0" borderId="3" xfId="98" applyFont="1" applyFill="1" applyBorder="1" applyAlignment="1" applyProtection="1">
      <alignment horizontal="center"/>
      <protection locked="0"/>
    </xf>
    <xf numFmtId="41" fontId="28" fillId="0" borderId="3" xfId="98" applyFont="1" applyFill="1" applyBorder="1" applyProtection="1">
      <protection locked="0"/>
    </xf>
    <xf numFmtId="164" fontId="28" fillId="0" borderId="4" xfId="98" applyNumberFormat="1" applyFont="1" applyFill="1" applyBorder="1" applyAlignment="1" applyProtection="1">
      <alignment horizontal="center"/>
      <protection locked="0"/>
    </xf>
    <xf numFmtId="41" fontId="28" fillId="0" borderId="4" xfId="98" applyFont="1" applyFill="1" applyBorder="1" applyAlignment="1" applyProtection="1">
      <alignment horizontal="center"/>
      <protection locked="0"/>
    </xf>
    <xf numFmtId="41" fontId="28" fillId="0" borderId="4" xfId="98" applyFont="1" applyFill="1" applyBorder="1" applyProtection="1">
      <protection locked="0"/>
    </xf>
    <xf numFmtId="37" fontId="28" fillId="0" borderId="4" xfId="98" applyNumberFormat="1" applyFont="1" applyFill="1" applyBorder="1" applyProtection="1">
      <protection locked="0"/>
    </xf>
    <xf numFmtId="10" fontId="28" fillId="0" borderId="4" xfId="98" applyNumberFormat="1" applyFont="1" applyFill="1" applyBorder="1" applyProtection="1">
      <protection locked="0"/>
    </xf>
    <xf numFmtId="39" fontId="28" fillId="0" borderId="4" xfId="98" applyNumberFormat="1" applyFont="1" applyFill="1" applyBorder="1" applyProtection="1">
      <protection locked="0"/>
    </xf>
    <xf numFmtId="10" fontId="28" fillId="0" borderId="0" xfId="99" applyNumberFormat="1" applyFont="1" applyFill="1"/>
    <xf numFmtId="37" fontId="28" fillId="0" borderId="4" xfId="98" applyNumberFormat="1" applyFont="1" applyFill="1" applyBorder="1" applyAlignment="1" applyProtection="1">
      <alignment horizontal="center"/>
      <protection locked="0"/>
    </xf>
    <xf numFmtId="41" fontId="28" fillId="0" borderId="4" xfId="98" quotePrefix="1" applyFont="1" applyFill="1" applyBorder="1" applyAlignment="1" applyProtection="1">
      <alignment horizontal="center"/>
      <protection locked="0"/>
    </xf>
    <xf numFmtId="0" fontId="28" fillId="0" borderId="4" xfId="98" applyNumberFormat="1" applyFont="1" applyFill="1" applyBorder="1" applyAlignment="1" applyProtection="1">
      <alignment horizontal="center"/>
      <protection locked="0"/>
    </xf>
    <xf numFmtId="37" fontId="28" fillId="0" borderId="2" xfId="98" applyNumberFormat="1" applyFont="1" applyFill="1" applyBorder="1" applyAlignment="1" applyProtection="1">
      <alignment horizontal="center"/>
      <protection locked="0"/>
    </xf>
    <xf numFmtId="41" fontId="28" fillId="0" borderId="2" xfId="98" applyFont="1" applyFill="1" applyBorder="1" applyProtection="1">
      <protection locked="0"/>
    </xf>
    <xf numFmtId="37" fontId="28" fillId="0" borderId="2" xfId="98" applyNumberFormat="1" applyFont="1" applyFill="1" applyBorder="1" applyProtection="1">
      <protection locked="0"/>
    </xf>
    <xf numFmtId="39" fontId="28" fillId="0" borderId="2" xfId="98" applyNumberFormat="1" applyFont="1" applyFill="1" applyBorder="1" applyProtection="1">
      <protection locked="0"/>
    </xf>
    <xf numFmtId="10" fontId="28" fillId="0" borderId="2" xfId="98" applyNumberFormat="1" applyFont="1" applyFill="1" applyBorder="1" applyProtection="1">
      <protection locked="0"/>
    </xf>
    <xf numFmtId="10" fontId="28" fillId="0" borderId="2" xfId="99" applyNumberFormat="1" applyFont="1" applyFill="1" applyBorder="1" applyProtection="1">
      <protection locked="0"/>
    </xf>
    <xf numFmtId="37" fontId="28" fillId="0" borderId="3" xfId="98" applyNumberFormat="1" applyFont="1" applyFill="1" applyBorder="1" applyAlignment="1" applyProtection="1">
      <alignment horizontal="center"/>
      <protection locked="0"/>
    </xf>
    <xf numFmtId="5" fontId="28" fillId="0" borderId="3" xfId="98" applyNumberFormat="1" applyFont="1" applyFill="1" applyBorder="1" applyProtection="1">
      <protection locked="0"/>
    </xf>
    <xf numFmtId="10" fontId="28" fillId="0" borderId="3" xfId="98" applyNumberFormat="1" applyFont="1" applyFill="1" applyBorder="1" applyProtection="1">
      <protection locked="0"/>
    </xf>
    <xf numFmtId="39" fontId="28" fillId="0" borderId="3" xfId="98" applyNumberFormat="1" applyFont="1" applyFill="1" applyBorder="1" applyProtection="1">
      <protection locked="0"/>
    </xf>
    <xf numFmtId="37" fontId="28" fillId="0" borderId="3" xfId="98" applyNumberFormat="1" applyFont="1" applyFill="1" applyBorder="1" applyProtection="1">
      <protection locked="0"/>
    </xf>
    <xf numFmtId="10" fontId="28" fillId="0" borderId="3" xfId="99" applyNumberFormat="1" applyFont="1" applyFill="1" applyBorder="1" applyProtection="1">
      <protection locked="0"/>
    </xf>
    <xf numFmtId="41" fontId="30" fillId="0" borderId="0" xfId="0" applyFont="1" applyFill="1" applyProtection="1">
      <protection locked="0"/>
    </xf>
    <xf numFmtId="37" fontId="28" fillId="0" borderId="0" xfId="0" applyNumberFormat="1" applyFont="1" applyFill="1" applyProtection="1">
      <protection locked="0"/>
    </xf>
    <xf numFmtId="167" fontId="7" fillId="0" borderId="0" xfId="97" applyNumberFormat="1" applyFont="1" applyAlignment="1">
      <alignment horizontal="centerContinuous"/>
    </xf>
    <xf numFmtId="167" fontId="7" fillId="0" borderId="0" xfId="97" applyNumberFormat="1" applyFont="1" applyFill="1" applyAlignment="1">
      <alignment horizontal="centerContinuous"/>
    </xf>
    <xf numFmtId="167" fontId="8" fillId="0" borderId="0" xfId="97" applyNumberFormat="1" applyFont="1" applyFill="1" applyAlignment="1">
      <alignment horizontal="centerContinuous"/>
    </xf>
    <xf numFmtId="167" fontId="8" fillId="0" borderId="0" xfId="97" applyNumberFormat="1" applyFont="1"/>
    <xf numFmtId="167" fontId="8" fillId="0" borderId="0" xfId="97" applyNumberFormat="1" applyFont="1" applyAlignment="1">
      <alignment horizontal="centerContinuous"/>
    </xf>
    <xf numFmtId="167" fontId="7" fillId="0" borderId="0" xfId="97" applyNumberFormat="1" applyFont="1"/>
    <xf numFmtId="167" fontId="7" fillId="0" borderId="0" xfId="97" applyNumberFormat="1" applyFont="1" applyAlignment="1">
      <alignment horizontal="center"/>
    </xf>
    <xf numFmtId="167" fontId="7" fillId="0" borderId="0" xfId="97" applyNumberFormat="1" applyFont="1" applyFill="1" applyAlignment="1">
      <alignment horizontal="center"/>
    </xf>
    <xf numFmtId="167" fontId="7" fillId="0" borderId="0" xfId="97" applyNumberFormat="1" applyFont="1" applyFill="1" applyBorder="1" applyAlignment="1">
      <alignment horizontal="center"/>
    </xf>
    <xf numFmtId="167" fontId="7" fillId="0" borderId="0" xfId="97" applyNumberFormat="1" applyFont="1" applyFill="1" applyBorder="1" applyAlignment="1">
      <alignment horizontal="centerContinuous"/>
    </xf>
    <xf numFmtId="167" fontId="7" fillId="0" borderId="0" xfId="97" applyNumberFormat="1" applyFont="1" applyBorder="1" applyAlignment="1">
      <alignment horizontal="center"/>
    </xf>
    <xf numFmtId="168" fontId="7" fillId="0" borderId="0" xfId="1" applyNumberFormat="1" applyFont="1" applyBorder="1" applyAlignment="1">
      <alignment horizontal="center"/>
    </xf>
    <xf numFmtId="168" fontId="7" fillId="0" borderId="0" xfId="97" applyNumberFormat="1" applyFont="1" applyAlignment="1">
      <alignment horizontal="center"/>
    </xf>
    <xf numFmtId="167" fontId="7" fillId="0" borderId="5" xfId="97" applyNumberFormat="1" applyFont="1" applyBorder="1" applyAlignment="1">
      <alignment horizontal="center"/>
    </xf>
    <xf numFmtId="167" fontId="7" fillId="0" borderId="5" xfId="97" applyNumberFormat="1" applyFont="1" applyFill="1" applyBorder="1" applyAlignment="1">
      <alignment horizontal="center"/>
    </xf>
    <xf numFmtId="167" fontId="7" fillId="0" borderId="5" xfId="97" quotePrefix="1" applyNumberFormat="1" applyFont="1" applyFill="1" applyBorder="1" applyAlignment="1">
      <alignment horizontal="center"/>
    </xf>
    <xf numFmtId="168" fontId="7" fillId="0" borderId="5" xfId="1" applyNumberFormat="1" applyFont="1" applyBorder="1" applyAlignment="1">
      <alignment horizontal="center"/>
    </xf>
    <xf numFmtId="37" fontId="7" fillId="0" borderId="0" xfId="97" applyNumberFormat="1" applyFont="1" applyAlignment="1">
      <alignment horizontal="center"/>
    </xf>
    <xf numFmtId="37" fontId="7" fillId="0" borderId="0" xfId="97" quotePrefix="1" applyNumberFormat="1" applyFont="1" applyFill="1" applyAlignment="1">
      <alignment horizontal="center"/>
    </xf>
    <xf numFmtId="167" fontId="7" fillId="0" borderId="0" xfId="97" applyNumberFormat="1" applyFont="1" applyFill="1"/>
    <xf numFmtId="168" fontId="7" fillId="0" borderId="0" xfId="97" applyNumberFormat="1" applyFont="1"/>
    <xf numFmtId="2" fontId="7" fillId="0" borderId="0" xfId="97" applyNumberFormat="1" applyFont="1"/>
    <xf numFmtId="167" fontId="8" fillId="0" borderId="0" xfId="97" applyNumberFormat="1" applyFont="1" applyFill="1"/>
    <xf numFmtId="168" fontId="8" fillId="0" borderId="0" xfId="97" applyNumberFormat="1" applyFont="1"/>
    <xf numFmtId="168" fontId="8" fillId="0" borderId="0" xfId="97" applyNumberFormat="1" applyFont="1" applyFill="1"/>
    <xf numFmtId="2" fontId="8" fillId="0" borderId="0" xfId="97" applyNumberFormat="1" applyFont="1"/>
    <xf numFmtId="167" fontId="8" fillId="0" borderId="0" xfId="97" applyNumberFormat="1" applyFont="1" applyAlignment="1">
      <alignment horizontal="right"/>
    </xf>
    <xf numFmtId="169" fontId="8" fillId="0" borderId="0" xfId="1" applyNumberFormat="1" applyFont="1" applyFill="1"/>
    <xf numFmtId="5" fontId="8" fillId="0" borderId="0" xfId="97" applyNumberFormat="1" applyFont="1" applyFill="1"/>
    <xf numFmtId="168" fontId="8" fillId="0" borderId="0" xfId="1" applyNumberFormat="1" applyFont="1"/>
    <xf numFmtId="168" fontId="8" fillId="0" borderId="0" xfId="1" applyNumberFormat="1" applyFont="1" applyFill="1"/>
    <xf numFmtId="167" fontId="8" fillId="0" borderId="0" xfId="97" applyNumberFormat="1" applyFont="1" applyBorder="1" applyAlignment="1">
      <alignment horizontal="right"/>
    </xf>
    <xf numFmtId="167" fontId="8" fillId="0" borderId="5" xfId="97" applyNumberFormat="1" applyFont="1" applyFill="1" applyBorder="1" applyAlignment="1">
      <alignment horizontal="right"/>
    </xf>
    <xf numFmtId="168" fontId="8" fillId="0" borderId="5" xfId="1" applyNumberFormat="1" applyFont="1" applyFill="1" applyBorder="1"/>
    <xf numFmtId="168" fontId="8" fillId="0" borderId="5" xfId="1" applyNumberFormat="1" applyFont="1" applyBorder="1"/>
    <xf numFmtId="167" fontId="8" fillId="0" borderId="0" xfId="97" quotePrefix="1" applyNumberFormat="1" applyFont="1" applyAlignment="1">
      <alignment horizontal="right"/>
    </xf>
    <xf numFmtId="169" fontId="8" fillId="0" borderId="5" xfId="1" applyNumberFormat="1" applyFont="1" applyFill="1" applyBorder="1"/>
    <xf numFmtId="167" fontId="10" fillId="0" borderId="0" xfId="97" applyNumberFormat="1" applyFont="1"/>
    <xf numFmtId="167" fontId="8" fillId="0" borderId="5" xfId="97" applyNumberFormat="1" applyFont="1" applyBorder="1" applyAlignment="1">
      <alignment horizontal="right"/>
    </xf>
    <xf numFmtId="167" fontId="7" fillId="0" borderId="0" xfId="97" applyNumberFormat="1" applyFont="1" applyAlignment="1">
      <alignment wrapText="1"/>
    </xf>
    <xf numFmtId="3" fontId="8" fillId="0" borderId="0" xfId="97" applyNumberFormat="1" applyFont="1" applyFill="1"/>
    <xf numFmtId="167" fontId="8" fillId="0" borderId="0" xfId="97" applyNumberFormat="1" applyFont="1" applyBorder="1"/>
    <xf numFmtId="167" fontId="8" fillId="0" borderId="0" xfId="97" applyNumberFormat="1" applyFont="1" applyFill="1" applyBorder="1"/>
    <xf numFmtId="169" fontId="8" fillId="0" borderId="0" xfId="1" applyNumberFormat="1" applyFont="1" applyFill="1" applyBorder="1"/>
    <xf numFmtId="5" fontId="8" fillId="0" borderId="0" xfId="97" applyNumberFormat="1" applyFont="1" applyFill="1" applyBorder="1"/>
    <xf numFmtId="172" fontId="8" fillId="0" borderId="0" xfId="97" applyNumberFormat="1" applyFont="1" applyFill="1"/>
    <xf numFmtId="169" fontId="8" fillId="0" borderId="5" xfId="1" applyNumberFormat="1" applyFont="1" applyFill="1" applyBorder="1" applyAlignment="1">
      <alignment horizontal="right"/>
    </xf>
    <xf numFmtId="5" fontId="8" fillId="0" borderId="5" xfId="1" applyNumberFormat="1" applyFont="1" applyFill="1" applyBorder="1"/>
    <xf numFmtId="168" fontId="8" fillId="0" borderId="6" xfId="1" applyNumberFormat="1" applyFont="1" applyFill="1" applyBorder="1" applyAlignment="1">
      <alignment horizontal="right"/>
    </xf>
    <xf numFmtId="168" fontId="8" fillId="0" borderId="0" xfId="1" applyNumberFormat="1" applyFont="1" applyFill="1" applyBorder="1" applyAlignment="1">
      <alignment horizontal="right"/>
    </xf>
    <xf numFmtId="168" fontId="8" fillId="0" borderId="6" xfId="1" applyNumberFormat="1" applyFont="1" applyBorder="1"/>
    <xf numFmtId="169" fontId="8" fillId="0" borderId="7" xfId="1" applyNumberFormat="1" applyFont="1" applyFill="1" applyBorder="1"/>
    <xf numFmtId="168" fontId="8" fillId="0" borderId="8" xfId="1" applyNumberFormat="1" applyFont="1" applyFill="1" applyBorder="1"/>
    <xf numFmtId="168" fontId="8" fillId="0" borderId="8" xfId="1" applyNumberFormat="1" applyFont="1" applyBorder="1"/>
    <xf numFmtId="10" fontId="8" fillId="0" borderId="0" xfId="97" applyNumberFormat="1" applyFont="1"/>
    <xf numFmtId="167" fontId="7" fillId="0" borderId="0" xfId="97" applyNumberFormat="1" applyFont="1" applyAlignment="1">
      <alignment horizontal="left" wrapText="1"/>
    </xf>
    <xf numFmtId="168" fontId="8" fillId="0" borderId="9" xfId="1" applyNumberFormat="1" applyFont="1" applyFill="1" applyBorder="1"/>
    <xf numFmtId="174" fontId="8" fillId="0" borderId="0" xfId="1" applyNumberFormat="1" applyFont="1"/>
    <xf numFmtId="169" fontId="8" fillId="0" borderId="0" xfId="1" applyNumberFormat="1" applyFont="1"/>
    <xf numFmtId="167" fontId="8" fillId="0" borderId="0" xfId="97" applyNumberFormat="1" applyFont="1" applyFill="1" applyBorder="1" applyAlignment="1">
      <alignment horizontal="right"/>
    </xf>
    <xf numFmtId="10" fontId="8" fillId="0" borderId="0" xfId="97" applyNumberFormat="1" applyFont="1" applyFill="1" applyBorder="1" applyAlignment="1">
      <alignment horizontal="right"/>
    </xf>
    <xf numFmtId="10" fontId="8" fillId="0" borderId="0" xfId="97" applyNumberFormat="1" applyFont="1" applyFill="1" applyAlignment="1">
      <alignment horizontal="centerContinuous"/>
    </xf>
    <xf numFmtId="2" fontId="8" fillId="0" borderId="0" xfId="97" applyNumberFormat="1" applyFont="1" applyFill="1" applyAlignment="1">
      <alignment horizontal="centerContinuous"/>
    </xf>
    <xf numFmtId="2" fontId="8" fillId="0" borderId="0" xfId="97" applyNumberFormat="1" applyFont="1" applyFill="1" applyBorder="1" applyAlignment="1">
      <alignment horizontal="centerContinuous"/>
    </xf>
    <xf numFmtId="10" fontId="7" fillId="0" borderId="0" xfId="97" applyNumberFormat="1" applyFont="1" applyFill="1" applyBorder="1" applyAlignment="1">
      <alignment horizontal="centerContinuous"/>
    </xf>
    <xf numFmtId="2" fontId="7" fillId="0" borderId="0" xfId="97" applyNumberFormat="1" applyFont="1" applyFill="1" applyBorder="1" applyAlignment="1">
      <alignment horizontal="center"/>
    </xf>
    <xf numFmtId="10" fontId="7" fillId="0" borderId="5" xfId="97" applyNumberFormat="1" applyFont="1" applyFill="1" applyBorder="1" applyAlignment="1">
      <alignment horizontal="center"/>
    </xf>
    <xf numFmtId="2" fontId="7" fillId="0" borderId="5" xfId="97" applyNumberFormat="1" applyFont="1" applyFill="1" applyBorder="1" applyAlignment="1">
      <alignment horizontal="center"/>
    </xf>
    <xf numFmtId="10" fontId="8" fillId="0" borderId="0" xfId="97" applyNumberFormat="1" applyFont="1" applyFill="1"/>
    <xf numFmtId="2" fontId="8" fillId="0" borderId="0" xfId="97" applyNumberFormat="1" applyFont="1" applyFill="1"/>
    <xf numFmtId="2" fontId="8" fillId="0" borderId="5" xfId="97" applyNumberFormat="1" applyFont="1" applyFill="1" applyBorder="1"/>
    <xf numFmtId="171" fontId="8" fillId="0" borderId="0" xfId="97" applyNumberFormat="1" applyFont="1"/>
    <xf numFmtId="168" fontId="8" fillId="0" borderId="0" xfId="1" applyNumberFormat="1" applyFont="1" applyFill="1" applyAlignment="1">
      <alignment horizontal="right"/>
    </xf>
    <xf numFmtId="2" fontId="8" fillId="0" borderId="0" xfId="97" applyNumberFormat="1" applyFont="1" applyFill="1" applyBorder="1"/>
    <xf numFmtId="2" fontId="8" fillId="0" borderId="7" xfId="97" applyNumberFormat="1" applyFont="1" applyFill="1" applyBorder="1"/>
    <xf numFmtId="167" fontId="8" fillId="0" borderId="10" xfId="97" applyNumberFormat="1" applyFont="1" applyFill="1" applyBorder="1"/>
    <xf numFmtId="167" fontId="8" fillId="0" borderId="11" xfId="97" applyNumberFormat="1" applyFont="1" applyFill="1" applyBorder="1"/>
    <xf numFmtId="167" fontId="8" fillId="0" borderId="11" xfId="97" applyNumberFormat="1" applyFont="1" applyFill="1" applyBorder="1" applyAlignment="1">
      <alignment horizontal="right"/>
    </xf>
    <xf numFmtId="167" fontId="8" fillId="0" borderId="12" xfId="97" applyNumberFormat="1" applyFont="1" applyFill="1" applyBorder="1"/>
    <xf numFmtId="167" fontId="8" fillId="0" borderId="13" xfId="97" applyNumberFormat="1" applyFont="1" applyFill="1" applyBorder="1"/>
    <xf numFmtId="10" fontId="28" fillId="0" borderId="0" xfId="97" applyNumberFormat="1" applyFont="1" applyFill="1" applyBorder="1"/>
    <xf numFmtId="167" fontId="8" fillId="0" borderId="14" xfId="97" applyNumberFormat="1" applyFont="1" applyFill="1" applyBorder="1"/>
    <xf numFmtId="173" fontId="8" fillId="0" borderId="0" xfId="97" applyNumberFormat="1" applyFont="1"/>
    <xf numFmtId="10" fontId="12" fillId="0" borderId="0" xfId="97" applyNumberFormat="1" applyFont="1" applyFill="1" applyBorder="1"/>
    <xf numFmtId="167" fontId="8" fillId="0" borderId="15" xfId="97" applyNumberFormat="1" applyFont="1" applyFill="1" applyBorder="1"/>
    <xf numFmtId="167" fontId="8" fillId="0" borderId="5" xfId="97" applyNumberFormat="1" applyFont="1" applyFill="1" applyBorder="1"/>
    <xf numFmtId="10" fontId="8" fillId="0" borderId="14" xfId="97" applyNumberFormat="1" applyFont="1" applyFill="1" applyBorder="1" applyAlignment="1">
      <alignment horizontal="center"/>
    </xf>
    <xf numFmtId="41" fontId="28" fillId="0" borderId="0" xfId="0" applyFont="1" applyFill="1" applyAlignment="1" applyProtection="1">
      <alignment horizontal="left"/>
      <protection locked="0"/>
    </xf>
    <xf numFmtId="1" fontId="31" fillId="0" borderId="0" xfId="0" applyNumberFormat="1" applyFont="1" applyFill="1" applyAlignment="1">
      <alignment horizontal="centerContinuous"/>
    </xf>
    <xf numFmtId="41" fontId="31" fillId="0" borderId="0" xfId="0" applyFont="1" applyFill="1" applyAlignment="1" applyProtection="1">
      <alignment horizontal="centerContinuous"/>
      <protection locked="0"/>
    </xf>
    <xf numFmtId="41" fontId="32" fillId="0" borderId="0" xfId="0" applyFont="1" applyFill="1"/>
    <xf numFmtId="166" fontId="31" fillId="0" borderId="0" xfId="99" quotePrefix="1" applyNumberFormat="1" applyFont="1" applyFill="1" applyAlignment="1">
      <alignment horizontal="centerContinuous"/>
    </xf>
    <xf numFmtId="1" fontId="31" fillId="0" borderId="0" xfId="0" quotePrefix="1" applyNumberFormat="1" applyFont="1" applyFill="1" applyAlignment="1">
      <alignment horizontal="centerContinuous"/>
    </xf>
    <xf numFmtId="10" fontId="28" fillId="0" borderId="16" xfId="97" applyNumberFormat="1" applyFont="1" applyFill="1" applyBorder="1"/>
    <xf numFmtId="0" fontId="8" fillId="0" borderId="0" xfId="89" applyFont="1" applyAlignment="1">
      <alignment horizontal="centerContinuous"/>
    </xf>
    <xf numFmtId="0" fontId="8" fillId="0" borderId="0" xfId="89" applyFont="1" applyAlignment="1"/>
    <xf numFmtId="5" fontId="8" fillId="0" borderId="0" xfId="29" applyNumberFormat="1" applyFont="1" applyFill="1"/>
    <xf numFmtId="168" fontId="8" fillId="0" borderId="0" xfId="29" applyNumberFormat="1" applyFont="1" applyFill="1"/>
    <xf numFmtId="10" fontId="12" fillId="0" borderId="0" xfId="29" applyNumberFormat="1" applyFont="1" applyFill="1"/>
    <xf numFmtId="5" fontId="8" fillId="0" borderId="5" xfId="29" applyNumberFormat="1" applyFont="1" applyFill="1" applyBorder="1"/>
    <xf numFmtId="168" fontId="8" fillId="0" borderId="5" xfId="29" applyNumberFormat="1" applyFont="1" applyFill="1" applyBorder="1"/>
    <xf numFmtId="170" fontId="8" fillId="0" borderId="0" xfId="29" applyNumberFormat="1" applyFont="1" applyFill="1"/>
    <xf numFmtId="168" fontId="8" fillId="0" borderId="0" xfId="29" applyNumberFormat="1" applyFont="1" applyFill="1" applyAlignment="1">
      <alignment horizontal="right"/>
    </xf>
    <xf numFmtId="168" fontId="8" fillId="0" borderId="5" xfId="29" applyNumberFormat="1" applyFont="1" applyFill="1" applyBorder="1" applyAlignment="1">
      <alignment horizontal="right"/>
    </xf>
    <xf numFmtId="5" fontId="6" fillId="0" borderId="5" xfId="29" applyNumberFormat="1" applyFont="1" applyFill="1" applyBorder="1"/>
    <xf numFmtId="5" fontId="8" fillId="0" borderId="0" xfId="29" applyNumberFormat="1" applyFont="1" applyFill="1" applyBorder="1"/>
    <xf numFmtId="168" fontId="8" fillId="0" borderId="0" xfId="29" applyNumberFormat="1" applyFont="1" applyFill="1" applyBorder="1"/>
    <xf numFmtId="172" fontId="8" fillId="0" borderId="0" xfId="29" applyNumberFormat="1" applyFont="1" applyFill="1"/>
    <xf numFmtId="5" fontId="8" fillId="0" borderId="7" xfId="29" applyNumberFormat="1" applyFont="1" applyFill="1" applyBorder="1"/>
    <xf numFmtId="168" fontId="8" fillId="0" borderId="7" xfId="29" applyNumberFormat="1" applyFont="1" applyFill="1" applyBorder="1"/>
    <xf numFmtId="172" fontId="28" fillId="0" borderId="11" xfId="29" applyNumberFormat="1" applyFont="1" applyFill="1" applyBorder="1"/>
    <xf numFmtId="10" fontId="8" fillId="0" borderId="0" xfId="97" quotePrefix="1" applyNumberFormat="1" applyFont="1" applyFill="1"/>
    <xf numFmtId="167" fontId="8" fillId="0" borderId="0" xfId="97" applyNumberFormat="1" applyFont="1" applyFill="1" applyAlignment="1">
      <alignment horizontal="right"/>
    </xf>
    <xf numFmtId="167" fontId="33" fillId="0" borderId="0" xfId="97" applyNumberFormat="1" applyFont="1" applyFill="1"/>
    <xf numFmtId="10" fontId="33" fillId="0" borderId="0" xfId="97" quotePrefix="1" applyNumberFormat="1" applyFont="1" applyFill="1"/>
    <xf numFmtId="168" fontId="8" fillId="0" borderId="0" xfId="89" applyNumberFormat="1" applyFont="1" applyAlignment="1"/>
    <xf numFmtId="5" fontId="8" fillId="0" borderId="0" xfId="89" applyNumberFormat="1" applyFont="1" applyAlignment="1"/>
    <xf numFmtId="9" fontId="34" fillId="0" borderId="0" xfId="128" applyFont="1" applyAlignment="1">
      <alignment horizontal="center"/>
    </xf>
    <xf numFmtId="166" fontId="7" fillId="0" borderId="0" xfId="128" applyNumberFormat="1" applyFont="1" applyAlignment="1">
      <alignment horizontal="center"/>
    </xf>
    <xf numFmtId="10" fontId="7" fillId="0" borderId="0" xfId="128" applyNumberFormat="1" applyFont="1"/>
    <xf numFmtId="166" fontId="7" fillId="0" borderId="0" xfId="128" applyNumberFormat="1" applyFont="1"/>
    <xf numFmtId="10" fontId="8" fillId="0" borderId="0" xfId="128" applyNumberFormat="1" applyFont="1"/>
    <xf numFmtId="166" fontId="8" fillId="0" borderId="0" xfId="128" applyNumberFormat="1" applyFont="1"/>
    <xf numFmtId="165" fontId="8" fillId="0" borderId="5" xfId="128" applyNumberFormat="1" applyFont="1" applyBorder="1" applyAlignment="1">
      <alignment horizontal="right"/>
    </xf>
    <xf numFmtId="165" fontId="8" fillId="0" borderId="0" xfId="128" applyNumberFormat="1" applyFont="1" applyAlignment="1">
      <alignment horizontal="right"/>
    </xf>
    <xf numFmtId="10" fontId="8" fillId="0" borderId="5" xfId="128" applyNumberFormat="1" applyFont="1" applyBorder="1"/>
    <xf numFmtId="166" fontId="8" fillId="0" borderId="5" xfId="128" applyNumberFormat="1" applyFont="1" applyBorder="1"/>
    <xf numFmtId="168" fontId="8" fillId="0" borderId="0" xfId="29" applyNumberFormat="1" applyFont="1"/>
    <xf numFmtId="9" fontId="8" fillId="0" borderId="0" xfId="128" applyNumberFormat="1" applyFont="1" applyAlignment="1">
      <alignment horizontal="right"/>
    </xf>
    <xf numFmtId="166" fontId="8" fillId="0" borderId="0" xfId="128" applyNumberFormat="1" applyFont="1" applyAlignment="1">
      <alignment horizontal="right"/>
    </xf>
    <xf numFmtId="166" fontId="8" fillId="0" borderId="5" xfId="128" applyNumberFormat="1" applyFont="1" applyBorder="1" applyAlignment="1">
      <alignment horizontal="right"/>
    </xf>
    <xf numFmtId="166" fontId="8" fillId="0" borderId="6" xfId="128" applyNumberFormat="1" applyFont="1" applyBorder="1" applyAlignment="1">
      <alignment horizontal="right"/>
    </xf>
    <xf numFmtId="10" fontId="8" fillId="0" borderId="6" xfId="128" applyNumberFormat="1" applyFont="1" applyBorder="1"/>
    <xf numFmtId="9" fontId="8" fillId="0" borderId="0" xfId="128" applyNumberFormat="1" applyFont="1"/>
    <xf numFmtId="9" fontId="8" fillId="0" borderId="0" xfId="128" applyFont="1"/>
    <xf numFmtId="10" fontId="28" fillId="0" borderId="16" xfId="97" quotePrefix="1" applyNumberFormat="1" applyFont="1" applyFill="1" applyBorder="1"/>
    <xf numFmtId="10" fontId="28" fillId="0" borderId="14" xfId="97" quotePrefix="1" applyNumberFormat="1" applyFont="1" applyFill="1" applyBorder="1"/>
    <xf numFmtId="10" fontId="28" fillId="0" borderId="17" xfId="97" quotePrefix="1" applyNumberFormat="1" applyFont="1" applyFill="1" applyBorder="1"/>
    <xf numFmtId="10" fontId="28" fillId="0" borderId="5" xfId="97" applyNumberFormat="1" applyFont="1" applyFill="1" applyBorder="1"/>
    <xf numFmtId="10" fontId="28" fillId="0" borderId="0" xfId="97" applyNumberFormat="1" applyFont="1" applyFill="1"/>
    <xf numFmtId="10" fontId="28" fillId="0" borderId="0" xfId="29" applyNumberFormat="1" applyFont="1" applyFill="1"/>
    <xf numFmtId="10" fontId="28" fillId="0" borderId="5" xfId="29" applyNumberFormat="1" applyFont="1" applyFill="1" applyBorder="1"/>
    <xf numFmtId="10" fontId="28" fillId="0" borderId="0" xfId="29" applyNumberFormat="1" applyFont="1" applyFill="1" applyBorder="1"/>
    <xf numFmtId="10" fontId="28" fillId="0" borderId="7" xfId="29" applyNumberFormat="1" applyFont="1" applyFill="1" applyBorder="1"/>
    <xf numFmtId="167" fontId="28" fillId="0" borderId="0" xfId="97" applyNumberFormat="1" applyFont="1" applyFill="1"/>
    <xf numFmtId="5" fontId="28" fillId="0" borderId="0" xfId="29" applyNumberFormat="1" applyFont="1" applyFill="1"/>
    <xf numFmtId="5" fontId="28" fillId="0" borderId="5" xfId="29" applyNumberFormat="1" applyFont="1" applyFill="1" applyBorder="1"/>
    <xf numFmtId="1" fontId="35" fillId="0" borderId="0" xfId="0" applyNumberFormat="1" applyFont="1" applyFill="1" applyAlignment="1">
      <alignment horizontal="centerContinuous"/>
    </xf>
    <xf numFmtId="41" fontId="35" fillId="0" borderId="0" xfId="0" applyFont="1" applyFill="1" applyAlignment="1">
      <alignment horizontal="centerContinuous"/>
    </xf>
    <xf numFmtId="37" fontId="35" fillId="0" borderId="0" xfId="0" applyNumberFormat="1" applyFont="1" applyFill="1" applyAlignment="1" applyProtection="1">
      <alignment horizontal="centerContinuous"/>
      <protection locked="0"/>
    </xf>
    <xf numFmtId="41" fontId="36" fillId="0" borderId="0" xfId="0" applyFont="1" applyFill="1" applyAlignment="1">
      <alignment horizontal="centerContinuous"/>
    </xf>
    <xf numFmtId="37" fontId="36" fillId="0" borderId="0" xfId="0" applyNumberFormat="1" applyFont="1" applyFill="1" applyAlignment="1" applyProtection="1">
      <alignment horizontal="centerContinuous"/>
      <protection locked="0"/>
    </xf>
    <xf numFmtId="1" fontId="36" fillId="0" borderId="0" xfId="0" applyNumberFormat="1" applyFont="1" applyFill="1" applyAlignment="1">
      <alignment horizontal="centerContinuous"/>
    </xf>
    <xf numFmtId="41" fontId="36" fillId="0" borderId="0" xfId="0" applyFont="1" applyFill="1" applyAlignment="1" applyProtection="1">
      <alignment horizontal="centerContinuous"/>
      <protection locked="0"/>
    </xf>
    <xf numFmtId="41" fontId="37" fillId="0" borderId="0" xfId="0" applyFont="1" applyFill="1"/>
    <xf numFmtId="166" fontId="36" fillId="0" borderId="0" xfId="99" quotePrefix="1" applyNumberFormat="1" applyFont="1" applyFill="1" applyAlignment="1">
      <alignment horizontal="centerContinuous"/>
    </xf>
    <xf numFmtId="1" fontId="36" fillId="0" borderId="0" xfId="0" quotePrefix="1" applyNumberFormat="1" applyFont="1" applyFill="1" applyAlignment="1">
      <alignment horizontal="centerContinuous"/>
    </xf>
    <xf numFmtId="1" fontId="35" fillId="0" borderId="0" xfId="0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Continuous"/>
    </xf>
    <xf numFmtId="167" fontId="22" fillId="0" borderId="0" xfId="97" applyNumberFormat="1" applyFont="1" applyAlignment="1">
      <alignment horizontal="centerContinuous"/>
    </xf>
    <xf numFmtId="167" fontId="22" fillId="0" borderId="0" xfId="97" applyNumberFormat="1" applyFont="1" applyFill="1" applyAlignment="1">
      <alignment horizontal="centerContinuous"/>
    </xf>
    <xf numFmtId="167" fontId="23" fillId="0" borderId="0" xfId="97" applyNumberFormat="1" applyFont="1" applyFill="1" applyAlignment="1">
      <alignment horizontal="centerContinuous"/>
    </xf>
    <xf numFmtId="10" fontId="23" fillId="0" borderId="0" xfId="97" applyNumberFormat="1" applyFont="1" applyFill="1" applyAlignment="1">
      <alignment horizontal="centerContinuous"/>
    </xf>
    <xf numFmtId="2" fontId="23" fillId="0" borderId="0" xfId="97" applyNumberFormat="1" applyFont="1" applyFill="1" applyAlignment="1">
      <alignment horizontal="centerContinuous"/>
    </xf>
    <xf numFmtId="0" fontId="23" fillId="0" borderId="0" xfId="89" applyFont="1" applyAlignment="1">
      <alignment horizontal="centerContinuous"/>
    </xf>
    <xf numFmtId="9" fontId="29" fillId="0" borderId="0" xfId="128" applyFont="1" applyAlignment="1">
      <alignment horizontal="center"/>
    </xf>
    <xf numFmtId="167" fontId="29" fillId="0" borderId="0" xfId="97" applyNumberFormat="1" applyFont="1" applyAlignment="1">
      <alignment horizontal="center"/>
    </xf>
    <xf numFmtId="10" fontId="8" fillId="0" borderId="8" xfId="97" applyNumberFormat="1" applyFont="1" applyBorder="1"/>
    <xf numFmtId="41" fontId="36" fillId="0" borderId="0" xfId="0" applyFont="1" applyFill="1" applyAlignment="1" applyProtection="1">
      <alignment horizontal="center"/>
      <protection locked="0"/>
    </xf>
    <xf numFmtId="1" fontId="35" fillId="0" borderId="0" xfId="0" applyNumberFormat="1" applyFont="1" applyFill="1" applyAlignment="1">
      <alignment horizontal="center"/>
    </xf>
    <xf numFmtId="1" fontId="36" fillId="0" borderId="0" xfId="0" applyNumberFormat="1" applyFont="1" applyFill="1" applyAlignment="1">
      <alignment horizontal="center"/>
    </xf>
    <xf numFmtId="167" fontId="24" fillId="0" borderId="0" xfId="97" applyNumberFormat="1" applyFont="1" applyAlignment="1">
      <alignment horizontal="center"/>
    </xf>
  </cellXfs>
  <cellStyles count="132">
    <cellStyle name="Comma" xfId="1" builtinId="3"/>
    <cellStyle name="Comma 11" xfId="2"/>
    <cellStyle name="Comma 19" xfId="3"/>
    <cellStyle name="Comma 2" xfId="4"/>
    <cellStyle name="Comma 2 10" xfId="5"/>
    <cellStyle name="Comma 2 11" xfId="6"/>
    <cellStyle name="Comma 2 12" xfId="7"/>
    <cellStyle name="Comma 2 13" xfId="8"/>
    <cellStyle name="Comma 2 14" xfId="9"/>
    <cellStyle name="Comma 2 15" xfId="10"/>
    <cellStyle name="Comma 2 16" xfId="11"/>
    <cellStyle name="Comma 2 17" xfId="12"/>
    <cellStyle name="Comma 2 18" xfId="13"/>
    <cellStyle name="Comma 2 19" xfId="14"/>
    <cellStyle name="Comma 2 2" xfId="15"/>
    <cellStyle name="Comma 2 20" xfId="16"/>
    <cellStyle name="Comma 2 21" xfId="17"/>
    <cellStyle name="Comma 2 3" xfId="18"/>
    <cellStyle name="Comma 2 4" xfId="19"/>
    <cellStyle name="Comma 2 5" xfId="20"/>
    <cellStyle name="Comma 2 6" xfId="21"/>
    <cellStyle name="Comma 2 7" xfId="22"/>
    <cellStyle name="Comma 2 8" xfId="23"/>
    <cellStyle name="Comma 2 9" xfId="24"/>
    <cellStyle name="Comma 21" xfId="25"/>
    <cellStyle name="Comma 22" xfId="26"/>
    <cellStyle name="Comma 4" xfId="27"/>
    <cellStyle name="Comma 5" xfId="28"/>
    <cellStyle name="Currency 2" xfId="29"/>
    <cellStyle name="Currency 2 10" xfId="30"/>
    <cellStyle name="Currency 2 11" xfId="31"/>
    <cellStyle name="Currency 2 12" xfId="32"/>
    <cellStyle name="Currency 2 13" xfId="33"/>
    <cellStyle name="Currency 2 14" xfId="34"/>
    <cellStyle name="Currency 2 15" xfId="35"/>
    <cellStyle name="Currency 2 16" xfId="36"/>
    <cellStyle name="Currency 2 17" xfId="37"/>
    <cellStyle name="Currency 2 18" xfId="38"/>
    <cellStyle name="Currency 2 19" xfId="39"/>
    <cellStyle name="Currency 2 2" xfId="40"/>
    <cellStyle name="Currency 2 20" xfId="41"/>
    <cellStyle name="Currency 2 21" xfId="42"/>
    <cellStyle name="Currency 2 3" xfId="43"/>
    <cellStyle name="Currency 2 4" xfId="44"/>
    <cellStyle name="Currency 2 5" xfId="45"/>
    <cellStyle name="Currency 2 6" xfId="46"/>
    <cellStyle name="Currency 2 7" xfId="47"/>
    <cellStyle name="Currency 2 8" xfId="48"/>
    <cellStyle name="Currency 2 9" xfId="49"/>
    <cellStyle name="General" xfId="50"/>
    <cellStyle name="nONE" xfId="51"/>
    <cellStyle name="Normal" xfId="0" builtinId="0"/>
    <cellStyle name="Normal 10" xfId="52"/>
    <cellStyle name="Normal 11" xfId="53"/>
    <cellStyle name="Normal 12" xfId="54"/>
    <cellStyle name="Normal 13" xfId="55"/>
    <cellStyle name="Normal 14" xfId="56"/>
    <cellStyle name="Normal 16" xfId="57"/>
    <cellStyle name="Normal 17" xfId="58"/>
    <cellStyle name="Normal 18" xfId="59"/>
    <cellStyle name="Normal 19" xfId="60"/>
    <cellStyle name="Normal 2" xfId="61"/>
    <cellStyle name="Normal 2 10" xfId="62"/>
    <cellStyle name="Normal 2 11" xfId="63"/>
    <cellStyle name="Normal 2 12" xfId="64"/>
    <cellStyle name="Normal 2 13" xfId="65"/>
    <cellStyle name="Normal 2 14" xfId="66"/>
    <cellStyle name="Normal 2 15" xfId="67"/>
    <cellStyle name="Normal 2 16" xfId="68"/>
    <cellStyle name="Normal 2 17" xfId="69"/>
    <cellStyle name="Normal 2 18" xfId="70"/>
    <cellStyle name="Normal 2 19" xfId="71"/>
    <cellStyle name="Normal 2 2" xfId="72"/>
    <cellStyle name="Normal 2 20" xfId="73"/>
    <cellStyle name="Normal 2 21" xfId="74"/>
    <cellStyle name="Normal 2 22" xfId="75"/>
    <cellStyle name="Normal 2 3" xfId="76"/>
    <cellStyle name="Normal 2 4" xfId="77"/>
    <cellStyle name="Normal 2 5" xfId="78"/>
    <cellStyle name="Normal 2 6" xfId="79"/>
    <cellStyle name="Normal 2 7" xfId="80"/>
    <cellStyle name="Normal 2 8" xfId="81"/>
    <cellStyle name="Normal 2 9" xfId="82"/>
    <cellStyle name="Normal 2_Book1" xfId="83"/>
    <cellStyle name="Normal 20" xfId="84"/>
    <cellStyle name="Normal 21" xfId="85"/>
    <cellStyle name="Normal 22" xfId="86"/>
    <cellStyle name="Normal 23" xfId="87"/>
    <cellStyle name="Normal 24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rmal_Blocking 03-01" xfId="97"/>
    <cellStyle name="Normal_Ut98 COS Study 5 Function" xfId="98"/>
    <cellStyle name="Percent" xfId="99" builtinId="5"/>
    <cellStyle name="Percent 13" xfId="100"/>
    <cellStyle name="Percent 19" xfId="101"/>
    <cellStyle name="Percent 2" xfId="102"/>
    <cellStyle name="Percent 2 10" xfId="103"/>
    <cellStyle name="Percent 2 11" xfId="104"/>
    <cellStyle name="Percent 2 12" xfId="105"/>
    <cellStyle name="Percent 2 13" xfId="106"/>
    <cellStyle name="Percent 2 14" xfId="107"/>
    <cellStyle name="Percent 2 15" xfId="108"/>
    <cellStyle name="Percent 2 16" xfId="109"/>
    <cellStyle name="Percent 2 17" xfId="110"/>
    <cellStyle name="Percent 2 18" xfId="111"/>
    <cellStyle name="Percent 2 19" xfId="112"/>
    <cellStyle name="Percent 2 2" xfId="113"/>
    <cellStyle name="Percent 2 20" xfId="114"/>
    <cellStyle name="Percent 2 21" xfId="115"/>
    <cellStyle name="Percent 2 3" xfId="116"/>
    <cellStyle name="Percent 2 4" xfId="117"/>
    <cellStyle name="Percent 2 5" xfId="118"/>
    <cellStyle name="Percent 2 6" xfId="119"/>
    <cellStyle name="Percent 2 7" xfId="120"/>
    <cellStyle name="Percent 2 8" xfId="121"/>
    <cellStyle name="Percent 2 9" xfId="122"/>
    <cellStyle name="Percent 22" xfId="123"/>
    <cellStyle name="Percent 3" xfId="124"/>
    <cellStyle name="Percent 4" xfId="125"/>
    <cellStyle name="Percent 5" xfId="126"/>
    <cellStyle name="Percent 6" xfId="127"/>
    <cellStyle name="Percent 7" xfId="128"/>
    <cellStyle name="SAPBEXchaText" xfId="129"/>
    <cellStyle name="SAPBEXtitle" xfId="130"/>
    <cellStyle name="TRANSMISSION RELIABILITY PORTION OF PROJECT" xfId="1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Sheet2">
    <pageSetUpPr fitToPage="1"/>
  </sheetPr>
  <dimension ref="A1:R43"/>
  <sheetViews>
    <sheetView tabSelected="1" zoomScale="80" zoomScaleNormal="80" workbookViewId="0">
      <selection activeCell="C8" sqref="C8"/>
    </sheetView>
  </sheetViews>
  <sheetFormatPr defaultColWidth="9.7109375" defaultRowHeight="15" customHeight="1"/>
  <cols>
    <col min="1" max="1" width="5.42578125" style="1" customWidth="1"/>
    <col min="2" max="2" width="12" style="1" customWidth="1"/>
    <col min="3" max="3" width="29.28515625" style="1" bestFit="1" customWidth="1"/>
    <col min="4" max="4" width="14.85546875" style="1" bestFit="1" customWidth="1"/>
    <col min="5" max="5" width="11" style="1" customWidth="1"/>
    <col min="6" max="6" width="9.85546875" style="1" customWidth="1"/>
    <col min="7" max="7" width="15.5703125" style="1" bestFit="1" customWidth="1"/>
    <col min="8" max="8" width="14.5703125" style="1" customWidth="1"/>
    <col min="9" max="10" width="14.85546875" style="1" bestFit="1" customWidth="1"/>
    <col min="11" max="11" width="13.7109375" style="1" customWidth="1"/>
    <col min="12" max="12" width="14.42578125" style="1" bestFit="1" customWidth="1"/>
    <col min="13" max="13" width="13.7109375" style="1" customWidth="1"/>
    <col min="14" max="14" width="18" style="1" bestFit="1" customWidth="1"/>
    <col min="15" max="15" width="18.28515625" style="1" bestFit="1" customWidth="1"/>
    <col min="16" max="16" width="13.42578125" style="1" bestFit="1" customWidth="1"/>
    <col min="17" max="17" width="18.7109375" style="1" bestFit="1" customWidth="1"/>
    <col min="18" max="19" width="10.28515625" style="1" bestFit="1" customWidth="1"/>
    <col min="20" max="20" width="9.7109375" style="1"/>
    <col min="21" max="21" width="12.140625" style="1" bestFit="1" customWidth="1"/>
    <col min="22" max="22" width="9.5703125" style="1" customWidth="1"/>
    <col min="23" max="16384" width="9.7109375" style="1"/>
  </cols>
  <sheetData>
    <row r="1" spans="1:18" ht="21.75" customHeight="1">
      <c r="A1" s="196" t="s">
        <v>87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8" ht="18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8" s="192" customFormat="1" ht="18" customHeight="1">
      <c r="A3" s="188" t="s">
        <v>83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8" s="192" customFormat="1" ht="18" customHeight="1">
      <c r="A4" s="189" t="s">
        <v>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8" s="192" customFormat="1" ht="18" customHeight="1">
      <c r="A5" s="190" t="s">
        <v>84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1:18" s="192" customFormat="1" ht="18" customHeight="1">
      <c r="A6" s="190" t="s">
        <v>85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</row>
    <row r="7" spans="1:18" s="192" customFormat="1" ht="18" customHeight="1">
      <c r="A7" s="191" t="s">
        <v>86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</row>
    <row r="8" spans="1:18" s="192" customFormat="1" ht="18" customHeight="1">
      <c r="A8" s="191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</row>
    <row r="9" spans="1:18" ht="15" customHeight="1">
      <c r="A9" s="128"/>
      <c r="B9" s="127"/>
      <c r="C9" s="127"/>
      <c r="D9" s="127"/>
      <c r="E9" s="127"/>
      <c r="F9" s="127"/>
      <c r="G9" s="129"/>
      <c r="H9" s="130"/>
      <c r="I9" s="127"/>
      <c r="J9" s="127"/>
      <c r="K9" s="127"/>
      <c r="L9" s="127"/>
      <c r="M9" s="127"/>
      <c r="N9" s="127"/>
    </row>
    <row r="10" spans="1:18" ht="15" customHeight="1" thickBot="1">
      <c r="A10" s="6"/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7" t="s">
        <v>9</v>
      </c>
      <c r="K10" s="7" t="s">
        <v>10</v>
      </c>
      <c r="L10" s="7" t="s">
        <v>11</v>
      </c>
      <c r="M10" s="7" t="s">
        <v>12</v>
      </c>
      <c r="N10" s="7" t="s">
        <v>13</v>
      </c>
    </row>
    <row r="11" spans="1:18" s="10" customFormat="1" ht="15" customHeight="1">
      <c r="A11" s="8"/>
      <c r="B11" s="8"/>
      <c r="C11" s="8"/>
      <c r="D11" s="8"/>
      <c r="E11" s="9" t="s">
        <v>14</v>
      </c>
      <c r="F11" s="9" t="s">
        <v>15</v>
      </c>
      <c r="G11" s="9" t="s">
        <v>16</v>
      </c>
      <c r="H11" s="9" t="s">
        <v>17</v>
      </c>
      <c r="I11" s="9" t="s">
        <v>18</v>
      </c>
      <c r="J11" s="9" t="s">
        <v>19</v>
      </c>
      <c r="K11" s="9" t="s">
        <v>20</v>
      </c>
      <c r="L11" s="9" t="s">
        <v>21</v>
      </c>
      <c r="M11" s="9" t="s">
        <v>22</v>
      </c>
      <c r="N11" s="9" t="s">
        <v>23</v>
      </c>
      <c r="P11" s="1"/>
    </row>
    <row r="12" spans="1:18" s="10" customFormat="1" ht="15" customHeight="1">
      <c r="A12" s="11" t="s">
        <v>24</v>
      </c>
      <c r="B12" s="11" t="s">
        <v>25</v>
      </c>
      <c r="C12" s="11" t="s">
        <v>26</v>
      </c>
      <c r="D12" s="11" t="s">
        <v>27</v>
      </c>
      <c r="E12" s="11" t="s">
        <v>28</v>
      </c>
      <c r="F12" s="11" t="s">
        <v>29</v>
      </c>
      <c r="G12" s="11" t="s">
        <v>30</v>
      </c>
      <c r="H12" s="11" t="s">
        <v>30</v>
      </c>
      <c r="I12" s="11" t="s">
        <v>30</v>
      </c>
      <c r="J12" s="11" t="s">
        <v>30</v>
      </c>
      <c r="K12" s="11" t="s">
        <v>30</v>
      </c>
      <c r="L12" s="11" t="s">
        <v>30</v>
      </c>
      <c r="M12" s="11" t="s">
        <v>31</v>
      </c>
      <c r="N12" s="11" t="s">
        <v>32</v>
      </c>
      <c r="P12" s="1"/>
      <c r="Q12" s="1"/>
      <c r="R12" s="1"/>
    </row>
    <row r="13" spans="1:18" s="10" customFormat="1" ht="15" customHeight="1" thickBot="1">
      <c r="A13" s="12" t="s">
        <v>33</v>
      </c>
      <c r="B13" s="12" t="s">
        <v>33</v>
      </c>
      <c r="C13" s="13"/>
      <c r="D13" s="12" t="s">
        <v>34</v>
      </c>
      <c r="E13" s="12" t="s">
        <v>35</v>
      </c>
      <c r="F13" s="12" t="s">
        <v>36</v>
      </c>
      <c r="G13" s="12" t="s">
        <v>37</v>
      </c>
      <c r="H13" s="12" t="s">
        <v>37</v>
      </c>
      <c r="I13" s="12" t="s">
        <v>37</v>
      </c>
      <c r="J13" s="12" t="s">
        <v>37</v>
      </c>
      <c r="K13" s="12" t="s">
        <v>37</v>
      </c>
      <c r="L13" s="12" t="s">
        <v>37</v>
      </c>
      <c r="M13" s="12" t="s">
        <v>38</v>
      </c>
      <c r="N13" s="12" t="s">
        <v>39</v>
      </c>
      <c r="P13" s="1"/>
    </row>
    <row r="14" spans="1:18" s="10" customFormat="1" ht="15" customHeight="1">
      <c r="A14" s="14">
        <v>1</v>
      </c>
      <c r="B14" s="15" t="s">
        <v>40</v>
      </c>
      <c r="C14" s="16" t="s">
        <v>41</v>
      </c>
      <c r="D14" s="17">
        <v>649980899</v>
      </c>
      <c r="E14" s="18">
        <v>5.5881608189483734E-2</v>
      </c>
      <c r="F14" s="19">
        <f>(E14/E$26)</f>
        <v>0.92341926647311356</v>
      </c>
      <c r="G14" s="17">
        <f t="shared" ref="G14:G24" si="0">SUM(H14:L14)</f>
        <v>731449944.48808241</v>
      </c>
      <c r="H14" s="17">
        <v>394250615.00452501</v>
      </c>
      <c r="I14" s="17">
        <v>90698201.692489445</v>
      </c>
      <c r="J14" s="17">
        <v>203085811.65375924</v>
      </c>
      <c r="K14" s="17">
        <v>40320706.537585191</v>
      </c>
      <c r="L14" s="17">
        <v>3094609.5997235477</v>
      </c>
      <c r="M14" s="17">
        <f t="shared" ref="M14:M24" si="1">G14-D14</f>
        <v>81469045.488082409</v>
      </c>
      <c r="N14" s="18">
        <f t="shared" ref="N14:N24" si="2">M14/D14</f>
        <v>0.12534067633898641</v>
      </c>
      <c r="O14" s="20"/>
      <c r="P14" s="1"/>
      <c r="Q14" s="1"/>
      <c r="R14" s="1"/>
    </row>
    <row r="15" spans="1:18" s="10" customFormat="1" ht="15" customHeight="1">
      <c r="A15" s="21">
        <f>A14+1</f>
        <v>2</v>
      </c>
      <c r="B15" s="15" t="s">
        <v>42</v>
      </c>
      <c r="C15" s="16" t="s">
        <v>43</v>
      </c>
      <c r="D15" s="17">
        <v>475082792</v>
      </c>
      <c r="E15" s="18">
        <v>7.1722499728974168E-2</v>
      </c>
      <c r="F15" s="19">
        <f t="shared" ref="F15:F24" si="3">(E15/E$26)</f>
        <v>1.1851831082737363</v>
      </c>
      <c r="G15" s="17">
        <f t="shared" si="0"/>
        <v>504069050.07408577</v>
      </c>
      <c r="H15" s="17">
        <v>342949893.67203522</v>
      </c>
      <c r="I15" s="17">
        <v>76217575.811537206</v>
      </c>
      <c r="J15" s="17">
        <v>82589470.737626389</v>
      </c>
      <c r="K15" s="17">
        <v>231798.01741191559</v>
      </c>
      <c r="L15" s="17">
        <v>2080311.8354750841</v>
      </c>
      <c r="M15" s="17">
        <f t="shared" si="1"/>
        <v>28986258.074085772</v>
      </c>
      <c r="N15" s="18">
        <f t="shared" si="2"/>
        <v>6.1013066695300912E-2</v>
      </c>
      <c r="O15" s="20"/>
      <c r="P15" s="1"/>
    </row>
    <row r="16" spans="1:18" s="10" customFormat="1" ht="15" customHeight="1">
      <c r="A16" s="21">
        <f t="shared" ref="A16:A21" si="4">A15+1</f>
        <v>3</v>
      </c>
      <c r="B16" s="22" t="s">
        <v>44</v>
      </c>
      <c r="C16" s="16" t="s">
        <v>45</v>
      </c>
      <c r="D16" s="17">
        <v>141558614</v>
      </c>
      <c r="E16" s="18">
        <v>6.4627340751808648E-2</v>
      </c>
      <c r="F16" s="19">
        <f t="shared" si="3"/>
        <v>1.0679386926157546</v>
      </c>
      <c r="G16" s="17">
        <f t="shared" si="0"/>
        <v>153391222.43346041</v>
      </c>
      <c r="H16" s="17">
        <v>108351435.86349848</v>
      </c>
      <c r="I16" s="17">
        <v>22550997.391486671</v>
      </c>
      <c r="J16" s="17">
        <v>22086405.50388727</v>
      </c>
      <c r="K16" s="17">
        <v>-210975.62459086871</v>
      </c>
      <c r="L16" s="17">
        <v>613359.29917885549</v>
      </c>
      <c r="M16" s="17">
        <f t="shared" si="1"/>
        <v>11832608.433460414</v>
      </c>
      <c r="N16" s="18">
        <f t="shared" si="2"/>
        <v>8.3588049494892722E-2</v>
      </c>
      <c r="O16" s="20"/>
      <c r="P16" s="1"/>
      <c r="Q16" s="1"/>
      <c r="R16" s="1"/>
    </row>
    <row r="17" spans="1:18" s="10" customFormat="1" ht="15" customHeight="1">
      <c r="A17" s="21">
        <f t="shared" si="4"/>
        <v>4</v>
      </c>
      <c r="B17" s="15" t="s">
        <v>46</v>
      </c>
      <c r="C17" s="16" t="s">
        <v>47</v>
      </c>
      <c r="D17" s="17">
        <v>12130663</v>
      </c>
      <c r="E17" s="18">
        <v>0.10448432442995421</v>
      </c>
      <c r="F17" s="19">
        <f t="shared" si="3"/>
        <v>1.7265580098534832</v>
      </c>
      <c r="G17" s="17">
        <f t="shared" si="0"/>
        <v>11780211.235304061</v>
      </c>
      <c r="H17" s="17">
        <v>3676303.1068658531</v>
      </c>
      <c r="I17" s="17">
        <v>596114.7432449105</v>
      </c>
      <c r="J17" s="17">
        <v>7102242.5535409339</v>
      </c>
      <c r="K17" s="17">
        <v>362166.6760123485</v>
      </c>
      <c r="L17" s="17">
        <v>43384.155640015175</v>
      </c>
      <c r="M17" s="17">
        <f t="shared" si="1"/>
        <v>-350451.76469593868</v>
      </c>
      <c r="N17" s="18">
        <f t="shared" si="2"/>
        <v>-2.8889745325209239E-2</v>
      </c>
      <c r="O17" s="20"/>
      <c r="P17" s="1"/>
    </row>
    <row r="18" spans="1:18" s="10" customFormat="1" ht="15" customHeight="1">
      <c r="A18" s="21">
        <f t="shared" si="4"/>
        <v>5</v>
      </c>
      <c r="B18" s="15" t="s">
        <v>48</v>
      </c>
      <c r="C18" s="16" t="s">
        <v>49</v>
      </c>
      <c r="D18" s="17">
        <v>229321174</v>
      </c>
      <c r="E18" s="18">
        <v>4.6996744472773258E-2</v>
      </c>
      <c r="F18" s="19">
        <f t="shared" si="3"/>
        <v>0.77660075852719601</v>
      </c>
      <c r="G18" s="17">
        <f t="shared" si="0"/>
        <v>261264661.65244174</v>
      </c>
      <c r="H18" s="17">
        <v>217263342.8299492</v>
      </c>
      <c r="I18" s="17">
        <v>43438969.417854294</v>
      </c>
      <c r="J18" s="17">
        <v>313649.88314823958</v>
      </c>
      <c r="K18" s="17">
        <v>-733071.20330071414</v>
      </c>
      <c r="L18" s="17">
        <v>981770.72479068744</v>
      </c>
      <c r="M18" s="17">
        <f t="shared" si="1"/>
        <v>31943487.65244174</v>
      </c>
      <c r="N18" s="18">
        <f t="shared" si="2"/>
        <v>0.13929584911527507</v>
      </c>
      <c r="O18" s="20"/>
      <c r="P18" s="1"/>
      <c r="Q18" s="1"/>
      <c r="R18" s="1"/>
    </row>
    <row r="19" spans="1:18" s="10" customFormat="1" ht="15" customHeight="1">
      <c r="A19" s="21">
        <f t="shared" si="4"/>
        <v>6</v>
      </c>
      <c r="B19" s="15" t="s">
        <v>50</v>
      </c>
      <c r="C19" s="16" t="s">
        <v>51</v>
      </c>
      <c r="D19" s="17">
        <v>13174523</v>
      </c>
      <c r="E19" s="18">
        <v>4.6507999856127927E-2</v>
      </c>
      <c r="F19" s="19">
        <f t="shared" si="3"/>
        <v>0.76852446634417604</v>
      </c>
      <c r="G19" s="17">
        <f t="shared" si="0"/>
        <v>15419196.391935561</v>
      </c>
      <c r="H19" s="17">
        <v>9553913.790607173</v>
      </c>
      <c r="I19" s="17">
        <v>1919823.6136249679</v>
      </c>
      <c r="J19" s="17">
        <v>3885487.2621955676</v>
      </c>
      <c r="K19" s="17">
        <v>-6152.2173706199974</v>
      </c>
      <c r="L19" s="17">
        <v>66123.942878471615</v>
      </c>
      <c r="M19" s="17">
        <f t="shared" si="1"/>
        <v>2244673.3919355609</v>
      </c>
      <c r="N19" s="18">
        <f t="shared" si="2"/>
        <v>0.17037986057905558</v>
      </c>
      <c r="O19" s="20"/>
      <c r="P19" s="1"/>
    </row>
    <row r="20" spans="1:18" s="10" customFormat="1" ht="15" customHeight="1">
      <c r="A20" s="21">
        <f t="shared" si="4"/>
        <v>7</v>
      </c>
      <c r="B20" s="23">
        <v>15</v>
      </c>
      <c r="C20" s="16" t="s">
        <v>52</v>
      </c>
      <c r="D20" s="17">
        <v>584894</v>
      </c>
      <c r="E20" s="18">
        <v>6.2564990667752951E-2</v>
      </c>
      <c r="F20" s="19">
        <f t="shared" si="3"/>
        <v>1.0338592546122531</v>
      </c>
      <c r="G20" s="17">
        <f t="shared" si="0"/>
        <v>631524.33772631548</v>
      </c>
      <c r="H20" s="17">
        <v>282964.58554353548</v>
      </c>
      <c r="I20" s="17">
        <v>55237.233896718069</v>
      </c>
      <c r="J20" s="17">
        <v>176973.69899510726</v>
      </c>
      <c r="K20" s="17">
        <v>114200.18387984541</v>
      </c>
      <c r="L20" s="17">
        <v>2148.6354111093369</v>
      </c>
      <c r="M20" s="17">
        <f t="shared" si="1"/>
        <v>46630.337726315483</v>
      </c>
      <c r="N20" s="18">
        <f t="shared" si="2"/>
        <v>7.9724424812556607E-2</v>
      </c>
      <c r="O20" s="20"/>
      <c r="P20" s="1"/>
      <c r="Q20" s="1"/>
      <c r="R20" s="1"/>
    </row>
    <row r="21" spans="1:18" s="10" customFormat="1" ht="15" customHeight="1">
      <c r="A21" s="21">
        <f t="shared" si="4"/>
        <v>8</v>
      </c>
      <c r="B21" s="23">
        <v>15</v>
      </c>
      <c r="C21" s="16" t="s">
        <v>53</v>
      </c>
      <c r="D21" s="17">
        <v>1144626</v>
      </c>
      <c r="E21" s="18">
        <v>0.16077087401111048</v>
      </c>
      <c r="F21" s="19">
        <f t="shared" si="3"/>
        <v>2.6566687566718818</v>
      </c>
      <c r="G21" s="17">
        <f t="shared" si="0"/>
        <v>993357.9227333446</v>
      </c>
      <c r="H21" s="17">
        <v>720553.46707825561</v>
      </c>
      <c r="I21" s="17">
        <v>126655.66574499068</v>
      </c>
      <c r="J21" s="17">
        <v>119576.49885755486</v>
      </c>
      <c r="K21" s="17">
        <v>23476.992864354223</v>
      </c>
      <c r="L21" s="17">
        <v>3095.2981881892247</v>
      </c>
      <c r="M21" s="17">
        <f t="shared" si="1"/>
        <v>-151268.0772666554</v>
      </c>
      <c r="N21" s="18">
        <f t="shared" si="2"/>
        <v>-0.1321550246688922</v>
      </c>
      <c r="O21" s="20"/>
      <c r="P21" s="1"/>
    </row>
    <row r="22" spans="1:18" s="10" customFormat="1" ht="15" customHeight="1">
      <c r="A22" s="21">
        <f>A21+1</f>
        <v>9</v>
      </c>
      <c r="B22" s="15" t="s">
        <v>54</v>
      </c>
      <c r="C22" s="16" t="s">
        <v>55</v>
      </c>
      <c r="D22" s="17">
        <v>129897908</v>
      </c>
      <c r="E22" s="18">
        <v>7.4753007193656698E-2</v>
      </c>
      <c r="F22" s="19">
        <f t="shared" si="3"/>
        <v>1.2352609258374241</v>
      </c>
      <c r="G22" s="17">
        <f t="shared" si="0"/>
        <v>136459778.39760616</v>
      </c>
      <c r="H22" s="17">
        <v>83068026.613685101</v>
      </c>
      <c r="I22" s="17">
        <v>18711731.736116253</v>
      </c>
      <c r="J22" s="17">
        <v>31228195.447598055</v>
      </c>
      <c r="K22" s="17">
        <v>2883587.3288210919</v>
      </c>
      <c r="L22" s="17">
        <v>568237.27138568216</v>
      </c>
      <c r="M22" s="17">
        <f t="shared" si="1"/>
        <v>6561870.3976061642</v>
      </c>
      <c r="N22" s="18">
        <f t="shared" si="2"/>
        <v>5.0515597199657473E-2</v>
      </c>
      <c r="O22" s="20"/>
      <c r="P22" s="1"/>
      <c r="Q22" s="1"/>
      <c r="R22" s="1"/>
    </row>
    <row r="23" spans="1:18" s="10" customFormat="1" ht="15" customHeight="1">
      <c r="A23" s="21">
        <f>A22+1</f>
        <v>10</v>
      </c>
      <c r="B23" s="15" t="s">
        <v>56</v>
      </c>
      <c r="C23" s="16" t="s">
        <v>57</v>
      </c>
      <c r="D23" s="17">
        <v>24224835.012471452</v>
      </c>
      <c r="E23" s="18">
        <v>2.8980895670141178E-2</v>
      </c>
      <c r="F23" s="19">
        <f t="shared" si="3"/>
        <v>0.47889669407352176</v>
      </c>
      <c r="G23" s="17">
        <f t="shared" si="0"/>
        <v>29375927.709152404</v>
      </c>
      <c r="H23" s="17">
        <v>24573724.146515474</v>
      </c>
      <c r="I23" s="17">
        <v>4589017.8829214331</v>
      </c>
      <c r="J23" s="17">
        <v>102848.35145887987</v>
      </c>
      <c r="K23" s="17">
        <v>1681.4140703844034</v>
      </c>
      <c r="L23" s="17">
        <v>108655.91418623307</v>
      </c>
      <c r="M23" s="17">
        <f t="shared" si="1"/>
        <v>5151092.6966809519</v>
      </c>
      <c r="N23" s="18">
        <f t="shared" si="2"/>
        <v>0.21263685362682808</v>
      </c>
      <c r="O23" s="20"/>
      <c r="P23" s="1"/>
    </row>
    <row r="24" spans="1:18" s="10" customFormat="1" ht="15" customHeight="1">
      <c r="A24" s="21">
        <f>A23+1</f>
        <v>11</v>
      </c>
      <c r="B24" s="15" t="s">
        <v>56</v>
      </c>
      <c r="C24" s="16" t="s">
        <v>58</v>
      </c>
      <c r="D24" s="17">
        <v>26946217.696695004</v>
      </c>
      <c r="E24" s="18">
        <v>3.0428808761265407E-2</v>
      </c>
      <c r="F24" s="19">
        <f t="shared" si="3"/>
        <v>0.50282282805286505</v>
      </c>
      <c r="G24" s="17">
        <f t="shared" si="0"/>
        <v>31479610.066638328</v>
      </c>
      <c r="H24" s="17">
        <v>27341639.348012336</v>
      </c>
      <c r="I24" s="17">
        <v>4015785.8134408277</v>
      </c>
      <c r="J24" s="17">
        <v>111217.96630442142</v>
      </c>
      <c r="K24" s="17">
        <v>-86424.971497695165</v>
      </c>
      <c r="L24" s="17">
        <v>97391.910378436747</v>
      </c>
      <c r="M24" s="17">
        <f t="shared" si="1"/>
        <v>4533392.3699433245</v>
      </c>
      <c r="N24" s="18">
        <f t="shared" si="2"/>
        <v>0.16823854171189867</v>
      </c>
      <c r="O24" s="20"/>
      <c r="P24" s="1"/>
      <c r="Q24" s="1"/>
      <c r="R24" s="1"/>
    </row>
    <row r="25" spans="1:18" s="10" customFormat="1" ht="15" customHeight="1">
      <c r="A25" s="24"/>
      <c r="B25" s="25"/>
      <c r="C25" s="25"/>
      <c r="D25" s="26"/>
      <c r="E25" s="25"/>
      <c r="F25" s="27"/>
      <c r="G25" s="26"/>
      <c r="H25" s="26"/>
      <c r="I25" s="26"/>
      <c r="J25" s="26"/>
      <c r="K25" s="26"/>
      <c r="L25" s="26"/>
      <c r="M25" s="25"/>
      <c r="N25" s="28"/>
      <c r="O25" s="20"/>
      <c r="P25" s="1"/>
    </row>
    <row r="26" spans="1:18" s="10" customFormat="1" ht="15" customHeight="1">
      <c r="A26" s="24">
        <f>A24+1</f>
        <v>12</v>
      </c>
      <c r="B26" s="25"/>
      <c r="C26" s="11" t="s">
        <v>59</v>
      </c>
      <c r="D26" s="26">
        <f>SUM(D14:D24)</f>
        <v>1704047145.7091665</v>
      </c>
      <c r="E26" s="29">
        <v>6.0515965194138377E-2</v>
      </c>
      <c r="F26" s="27">
        <f>(E26/E$26)</f>
        <v>1</v>
      </c>
      <c r="G26" s="26">
        <f t="shared" ref="G26:M26" si="5">SUM(G14:G24)</f>
        <v>1876314484.7091665</v>
      </c>
      <c r="H26" s="26">
        <f t="shared" si="5"/>
        <v>1212032412.4283156</v>
      </c>
      <c r="I26" s="26">
        <f t="shared" si="5"/>
        <v>262920111.00235775</v>
      </c>
      <c r="J26" s="26">
        <f t="shared" si="5"/>
        <v>350801879.55737174</v>
      </c>
      <c r="K26" s="26">
        <f t="shared" si="5"/>
        <v>42900993.133885242</v>
      </c>
      <c r="L26" s="26">
        <f t="shared" si="5"/>
        <v>7659088.5872363122</v>
      </c>
      <c r="M26" s="25">
        <f t="shared" si="5"/>
        <v>172267339.00000006</v>
      </c>
      <c r="N26" s="28">
        <f>M26/D26</f>
        <v>0.10109305921128622</v>
      </c>
      <c r="O26" s="20"/>
      <c r="P26" s="1"/>
      <c r="Q26" s="1"/>
      <c r="R26" s="1"/>
    </row>
    <row r="27" spans="1:18" s="10" customFormat="1" ht="15" customHeight="1" thickBot="1">
      <c r="A27" s="30"/>
      <c r="B27" s="13"/>
      <c r="C27" s="13"/>
      <c r="D27" s="31"/>
      <c r="E27" s="32"/>
      <c r="F27" s="33"/>
      <c r="G27" s="31"/>
      <c r="H27" s="31"/>
      <c r="I27" s="31"/>
      <c r="J27" s="31"/>
      <c r="K27" s="31"/>
      <c r="L27" s="31"/>
      <c r="M27" s="34"/>
      <c r="N27" s="35"/>
      <c r="P27" s="1"/>
    </row>
    <row r="30" spans="1:18" ht="15" customHeight="1">
      <c r="A30" s="36" t="s">
        <v>60</v>
      </c>
      <c r="B30" s="6"/>
      <c r="C30" s="6"/>
      <c r="D30" s="37"/>
      <c r="E30" s="6"/>
      <c r="F30" s="6"/>
      <c r="G30" s="6"/>
      <c r="H30" s="6"/>
    </row>
    <row r="31" spans="1:18" ht="15" customHeight="1">
      <c r="A31" s="6"/>
      <c r="B31" s="125" t="s">
        <v>61</v>
      </c>
      <c r="C31" s="6" t="s">
        <v>62</v>
      </c>
      <c r="D31" s="6"/>
      <c r="E31" s="6"/>
      <c r="F31" s="6"/>
      <c r="G31" s="6"/>
      <c r="H31" s="6"/>
    </row>
    <row r="32" spans="1:18" ht="15" customHeight="1">
      <c r="A32" s="6"/>
      <c r="B32" s="125" t="s">
        <v>63</v>
      </c>
      <c r="C32" s="6" t="s">
        <v>64</v>
      </c>
      <c r="D32" s="6"/>
      <c r="E32" s="6"/>
      <c r="F32" s="6"/>
      <c r="G32" s="6"/>
      <c r="H32" s="6"/>
    </row>
    <row r="33" spans="1:8" ht="15" customHeight="1">
      <c r="A33" s="6"/>
      <c r="B33" s="125" t="s">
        <v>65</v>
      </c>
      <c r="C33" s="6" t="s">
        <v>66</v>
      </c>
      <c r="D33" s="6"/>
      <c r="E33" s="6"/>
      <c r="F33" s="6"/>
      <c r="G33" s="6"/>
      <c r="H33" s="6"/>
    </row>
    <row r="34" spans="1:8" ht="15" customHeight="1">
      <c r="A34" s="6"/>
      <c r="B34" s="125" t="s">
        <v>67</v>
      </c>
      <c r="C34" s="6" t="s">
        <v>68</v>
      </c>
      <c r="D34" s="6"/>
      <c r="E34" s="6"/>
      <c r="F34" s="6"/>
      <c r="G34" s="6"/>
      <c r="H34" s="6"/>
    </row>
    <row r="35" spans="1:8" ht="15" customHeight="1">
      <c r="A35" s="6"/>
      <c r="B35" s="125" t="s">
        <v>69</v>
      </c>
      <c r="C35" s="6" t="s">
        <v>70</v>
      </c>
      <c r="D35" s="6"/>
      <c r="E35" s="6"/>
      <c r="F35" s="6"/>
      <c r="G35" s="6"/>
      <c r="H35" s="6"/>
    </row>
    <row r="36" spans="1:8" ht="15" customHeight="1">
      <c r="A36" s="6"/>
      <c r="B36" s="125" t="s">
        <v>71</v>
      </c>
      <c r="C36" s="6" t="s">
        <v>72</v>
      </c>
      <c r="D36" s="6"/>
      <c r="E36" s="6"/>
      <c r="F36" s="6"/>
      <c r="G36" s="6"/>
      <c r="H36" s="6"/>
    </row>
    <row r="37" spans="1:8" ht="15" customHeight="1">
      <c r="A37" s="6"/>
      <c r="B37" s="125" t="s">
        <v>73</v>
      </c>
      <c r="C37" s="6" t="s">
        <v>74</v>
      </c>
      <c r="D37" s="6"/>
      <c r="E37" s="6"/>
      <c r="F37" s="6"/>
      <c r="G37" s="6"/>
      <c r="H37" s="6"/>
    </row>
    <row r="38" spans="1:8" ht="15" customHeight="1">
      <c r="A38" s="6"/>
      <c r="B38" s="125" t="s">
        <v>75</v>
      </c>
      <c r="C38" s="6" t="s">
        <v>76</v>
      </c>
      <c r="D38" s="6"/>
      <c r="E38" s="6"/>
      <c r="F38" s="6"/>
      <c r="G38" s="6"/>
      <c r="H38" s="6"/>
    </row>
    <row r="39" spans="1:8" ht="15" customHeight="1">
      <c r="A39" s="6"/>
      <c r="B39" s="125" t="s">
        <v>77</v>
      </c>
      <c r="C39" s="6" t="s">
        <v>78</v>
      </c>
      <c r="D39" s="6"/>
      <c r="E39" s="6"/>
      <c r="F39" s="6"/>
      <c r="G39" s="6"/>
      <c r="H39" s="6"/>
    </row>
    <row r="40" spans="1:8" ht="15" customHeight="1">
      <c r="A40" s="6"/>
      <c r="B40" s="125" t="s">
        <v>79</v>
      </c>
      <c r="C40" s="6" t="s">
        <v>80</v>
      </c>
      <c r="D40" s="6"/>
      <c r="E40" s="6"/>
      <c r="F40" s="6"/>
      <c r="G40" s="6"/>
      <c r="H40" s="6"/>
    </row>
    <row r="41" spans="1:8" ht="15" customHeight="1">
      <c r="A41" s="6"/>
      <c r="B41" s="125" t="s">
        <v>81</v>
      </c>
      <c r="C41" s="6" t="s">
        <v>82</v>
      </c>
      <c r="D41" s="6"/>
      <c r="E41" s="6"/>
      <c r="F41" s="6"/>
      <c r="G41" s="6"/>
      <c r="H41" s="6"/>
    </row>
    <row r="42" spans="1:8" ht="15" customHeight="1">
      <c r="B42" s="6"/>
    </row>
    <row r="43" spans="1:8" ht="15" customHeight="1">
      <c r="A43" s="6"/>
    </row>
  </sheetData>
  <dataConsolidate/>
  <printOptions horizontalCentered="1"/>
  <pageMargins left="0.99687499999999996" right="0.99562499999999998" top="1.6965625" bottom="0.35" header="0.99687499999999996" footer="0.25"/>
  <pageSetup scale="58" orientation="landscape" r:id="rId1"/>
  <headerFooter scaleWithDoc="0">
    <oddHeader xml:space="preserve">&amp;R&amp;"Times New Roman,Regular"&amp;8Utah Association of Energy Users
UAE Exhibit COS 2.1 (TNT-1)
Docket No. 11-035-200
Witness: Neal Townsend
Page 1 of 1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44"/>
  <sheetViews>
    <sheetView zoomScale="80" zoomScaleNormal="80" workbookViewId="0">
      <selection activeCell="C6" sqref="C6"/>
    </sheetView>
  </sheetViews>
  <sheetFormatPr defaultColWidth="9.7109375" defaultRowHeight="15" customHeight="1"/>
  <cols>
    <col min="1" max="1" width="5.42578125" style="1" customWidth="1"/>
    <col min="2" max="2" width="12" style="1" customWidth="1"/>
    <col min="3" max="3" width="29.28515625" style="1" bestFit="1" customWidth="1"/>
    <col min="4" max="4" width="14.85546875" style="1" bestFit="1" customWidth="1"/>
    <col min="5" max="5" width="11" style="1" customWidth="1"/>
    <col min="6" max="6" width="9.85546875" style="1" customWidth="1"/>
    <col min="7" max="7" width="15.5703125" style="1" bestFit="1" customWidth="1"/>
    <col min="8" max="8" width="14.5703125" style="1" customWidth="1"/>
    <col min="9" max="10" width="14.85546875" style="1" bestFit="1" customWidth="1"/>
    <col min="11" max="11" width="13.7109375" style="1" customWidth="1"/>
    <col min="12" max="12" width="14.42578125" style="1" bestFit="1" customWidth="1"/>
    <col min="13" max="13" width="13.7109375" style="1" customWidth="1"/>
    <col min="14" max="14" width="18" style="1" bestFit="1" customWidth="1"/>
    <col min="15" max="15" width="18.28515625" style="1" bestFit="1" customWidth="1"/>
    <col min="16" max="16" width="13.42578125" style="1" bestFit="1" customWidth="1"/>
    <col min="17" max="17" width="18.7109375" style="1" bestFit="1" customWidth="1"/>
    <col min="18" max="19" width="10.28515625" style="1" bestFit="1" customWidth="1"/>
    <col min="20" max="20" width="9.7109375" style="1"/>
    <col min="21" max="21" width="12.140625" style="1" bestFit="1" customWidth="1"/>
    <col min="22" max="22" width="9.5703125" style="1" customWidth="1"/>
    <col min="23" max="16384" width="9.7109375" style="1"/>
  </cols>
  <sheetData>
    <row r="1" spans="1:18" ht="21.75" customHeight="1">
      <c r="A1" s="185" t="s">
        <v>183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2"/>
    </row>
    <row r="2" spans="1:18" ht="21.75" customHeight="1">
      <c r="A2" s="207" t="s">
        <v>184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8" ht="18" customHeigh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1:18" ht="18" customHeight="1">
      <c r="A4" s="208" t="s">
        <v>83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</row>
    <row r="5" spans="1:18" ht="18" customHeight="1">
      <c r="A5" s="189" t="s">
        <v>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</row>
    <row r="6" spans="1:18" ht="18" customHeight="1">
      <c r="A6" s="190" t="s">
        <v>84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</row>
    <row r="7" spans="1:18" ht="18" customHeight="1">
      <c r="A7" s="190" t="s">
        <v>85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</row>
    <row r="8" spans="1:18" ht="18" customHeight="1">
      <c r="A8" s="206" t="s">
        <v>86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</row>
    <row r="9" spans="1:18" ht="18" customHeight="1">
      <c r="J9" s="126"/>
      <c r="K9" s="126"/>
      <c r="L9" s="126"/>
      <c r="M9" s="2"/>
      <c r="N9" s="2"/>
    </row>
    <row r="10" spans="1:18" ht="15" customHeight="1">
      <c r="B10" s="3"/>
      <c r="C10" s="3"/>
      <c r="D10" s="3"/>
      <c r="E10" s="3"/>
      <c r="F10" s="3"/>
      <c r="G10" s="4"/>
      <c r="H10" s="5"/>
      <c r="I10" s="3"/>
      <c r="J10" s="3"/>
      <c r="K10" s="3"/>
      <c r="L10" s="3"/>
      <c r="M10" s="3"/>
      <c r="N10" s="3"/>
    </row>
    <row r="11" spans="1:18" ht="15" customHeight="1" thickBot="1">
      <c r="A11" s="6"/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7" t="s">
        <v>7</v>
      </c>
      <c r="I11" s="7" t="s">
        <v>8</v>
      </c>
      <c r="J11" s="7" t="s">
        <v>9</v>
      </c>
      <c r="K11" s="7" t="s">
        <v>10</v>
      </c>
      <c r="L11" s="7" t="s">
        <v>11</v>
      </c>
      <c r="M11" s="7" t="s">
        <v>12</v>
      </c>
      <c r="N11" s="7" t="s">
        <v>13</v>
      </c>
    </row>
    <row r="12" spans="1:18" s="10" customFormat="1" ht="15" customHeight="1">
      <c r="A12" s="8"/>
      <c r="B12" s="8"/>
      <c r="C12" s="8"/>
      <c r="D12" s="8"/>
      <c r="E12" s="9" t="s">
        <v>14</v>
      </c>
      <c r="F12" s="9" t="s">
        <v>15</v>
      </c>
      <c r="G12" s="9" t="s">
        <v>16</v>
      </c>
      <c r="H12" s="9" t="s">
        <v>17</v>
      </c>
      <c r="I12" s="9" t="s">
        <v>18</v>
      </c>
      <c r="J12" s="9" t="s">
        <v>19</v>
      </c>
      <c r="K12" s="9" t="s">
        <v>20</v>
      </c>
      <c r="L12" s="9" t="s">
        <v>21</v>
      </c>
      <c r="M12" s="9" t="s">
        <v>22</v>
      </c>
      <c r="N12" s="9" t="s">
        <v>23</v>
      </c>
      <c r="P12" s="1"/>
    </row>
    <row r="13" spans="1:18" s="10" customFormat="1" ht="15" customHeight="1">
      <c r="A13" s="11" t="s">
        <v>24</v>
      </c>
      <c r="B13" s="11" t="s">
        <v>25</v>
      </c>
      <c r="C13" s="11" t="s">
        <v>26</v>
      </c>
      <c r="D13" s="11" t="s">
        <v>27</v>
      </c>
      <c r="E13" s="11" t="s">
        <v>28</v>
      </c>
      <c r="F13" s="11" t="s">
        <v>29</v>
      </c>
      <c r="G13" s="11" t="s">
        <v>30</v>
      </c>
      <c r="H13" s="11" t="s">
        <v>30</v>
      </c>
      <c r="I13" s="11" t="s">
        <v>30</v>
      </c>
      <c r="J13" s="11" t="s">
        <v>30</v>
      </c>
      <c r="K13" s="11" t="s">
        <v>30</v>
      </c>
      <c r="L13" s="11" t="s">
        <v>30</v>
      </c>
      <c r="M13" s="11" t="s">
        <v>31</v>
      </c>
      <c r="N13" s="11" t="s">
        <v>32</v>
      </c>
      <c r="P13" s="1"/>
      <c r="Q13" s="1"/>
      <c r="R13" s="1"/>
    </row>
    <row r="14" spans="1:18" s="10" customFormat="1" ht="15" customHeight="1" thickBot="1">
      <c r="A14" s="12" t="s">
        <v>33</v>
      </c>
      <c r="B14" s="12" t="s">
        <v>33</v>
      </c>
      <c r="C14" s="13"/>
      <c r="D14" s="12" t="s">
        <v>34</v>
      </c>
      <c r="E14" s="12" t="s">
        <v>35</v>
      </c>
      <c r="F14" s="12" t="s">
        <v>36</v>
      </c>
      <c r="G14" s="12" t="s">
        <v>37</v>
      </c>
      <c r="H14" s="12" t="s">
        <v>37</v>
      </c>
      <c r="I14" s="12" t="s">
        <v>37</v>
      </c>
      <c r="J14" s="12" t="s">
        <v>37</v>
      </c>
      <c r="K14" s="12" t="s">
        <v>37</v>
      </c>
      <c r="L14" s="12" t="s">
        <v>37</v>
      </c>
      <c r="M14" s="12" t="s">
        <v>38</v>
      </c>
      <c r="N14" s="12" t="s">
        <v>39</v>
      </c>
      <c r="P14" s="1"/>
    </row>
    <row r="15" spans="1:18" s="10" customFormat="1" ht="15" customHeight="1">
      <c r="A15" s="14">
        <v>1</v>
      </c>
      <c r="B15" s="15" t="s">
        <v>40</v>
      </c>
      <c r="C15" s="16" t="s">
        <v>41</v>
      </c>
      <c r="D15" s="17">
        <v>649980899</v>
      </c>
      <c r="E15" s="18">
        <v>5.5524248345595703E-2</v>
      </c>
      <c r="F15" s="19">
        <f>(E15/E$27)</f>
        <v>0.91751405050980128</v>
      </c>
      <c r="G15" s="17">
        <f t="shared" ref="G15:G25" si="0">SUM(H15:L15)</f>
        <v>731959607.4101969</v>
      </c>
      <c r="H15" s="17">
        <v>392327624.07088053</v>
      </c>
      <c r="I15" s="17">
        <v>86127090.66623269</v>
      </c>
      <c r="J15" s="17">
        <v>208590801.41135073</v>
      </c>
      <c r="K15" s="17">
        <v>41740906.970151655</v>
      </c>
      <c r="L15" s="17">
        <v>3173184.2915812545</v>
      </c>
      <c r="M15" s="17">
        <f t="shared" ref="M15:M25" si="1">G15-D15</f>
        <v>81978708.4101969</v>
      </c>
      <c r="N15" s="18">
        <f t="shared" ref="N15:N25" si="2">M15/D15</f>
        <v>0.12612479618450587</v>
      </c>
      <c r="O15" s="20"/>
      <c r="P15" s="1"/>
      <c r="Q15" s="1"/>
      <c r="R15" s="1"/>
    </row>
    <row r="16" spans="1:18" s="10" customFormat="1" ht="15" customHeight="1">
      <c r="A16" s="21">
        <f>A15+1</f>
        <v>2</v>
      </c>
      <c r="B16" s="15" t="s">
        <v>42</v>
      </c>
      <c r="C16" s="16" t="s">
        <v>43</v>
      </c>
      <c r="D16" s="17">
        <v>475082792</v>
      </c>
      <c r="E16" s="18">
        <v>7.1852746054233863E-2</v>
      </c>
      <c r="F16" s="19">
        <f t="shared" ref="F16:F25" si="3">(E16/E$27)</f>
        <v>1.1873353721446935</v>
      </c>
      <c r="G16" s="17">
        <f t="shared" si="0"/>
        <v>503918609.70332611</v>
      </c>
      <c r="H16" s="17">
        <v>343337390.06163591</v>
      </c>
      <c r="I16" s="17">
        <v>73130885.44044207</v>
      </c>
      <c r="J16" s="17">
        <v>85036166.569570005</v>
      </c>
      <c r="K16" s="17">
        <v>267553.85899116483</v>
      </c>
      <c r="L16" s="17">
        <v>2146613.7726869858</v>
      </c>
      <c r="M16" s="17">
        <f t="shared" si="1"/>
        <v>28835817.703326106</v>
      </c>
      <c r="N16" s="18">
        <f t="shared" si="2"/>
        <v>6.0696405319025121E-2</v>
      </c>
      <c r="O16" s="20"/>
      <c r="P16" s="1"/>
    </row>
    <row r="17" spans="1:18" s="10" customFormat="1" ht="15" customHeight="1">
      <c r="A17" s="21">
        <f t="shared" ref="A17:A22" si="4">A16+1</f>
        <v>3</v>
      </c>
      <c r="B17" s="22" t="s">
        <v>44</v>
      </c>
      <c r="C17" s="16" t="s">
        <v>45</v>
      </c>
      <c r="D17" s="17">
        <v>141558614</v>
      </c>
      <c r="E17" s="18">
        <v>6.4748725548429892E-2</v>
      </c>
      <c r="F17" s="19">
        <f t="shared" si="3"/>
        <v>1.0699445235803848</v>
      </c>
      <c r="G17" s="17">
        <f t="shared" si="0"/>
        <v>153369299.49224454</v>
      </c>
      <c r="H17" s="17">
        <v>108541804.74520668</v>
      </c>
      <c r="I17" s="17">
        <v>21666232.084040008</v>
      </c>
      <c r="J17" s="17">
        <v>22738755.401851416</v>
      </c>
      <c r="K17" s="17">
        <v>-211072.50543663022</v>
      </c>
      <c r="L17" s="17">
        <v>633579.76658306015</v>
      </c>
      <c r="M17" s="17">
        <f t="shared" si="1"/>
        <v>11810685.492244542</v>
      </c>
      <c r="N17" s="18">
        <f t="shared" si="2"/>
        <v>8.3433181199729339E-2</v>
      </c>
      <c r="O17" s="20"/>
      <c r="P17" s="1"/>
      <c r="Q17" s="1"/>
      <c r="R17" s="1"/>
    </row>
    <row r="18" spans="1:18" s="10" customFormat="1" ht="15" customHeight="1">
      <c r="A18" s="21">
        <f t="shared" si="4"/>
        <v>4</v>
      </c>
      <c r="B18" s="15" t="s">
        <v>46</v>
      </c>
      <c r="C18" s="16" t="s">
        <v>47</v>
      </c>
      <c r="D18" s="17">
        <v>12130663</v>
      </c>
      <c r="E18" s="18">
        <v>9.9341278642613287E-2</v>
      </c>
      <c r="F18" s="19">
        <f t="shared" si="3"/>
        <v>1.6415714154811589</v>
      </c>
      <c r="G18" s="17">
        <f t="shared" si="0"/>
        <v>11908494.148136778</v>
      </c>
      <c r="H18" s="17">
        <v>3659647.0262708794</v>
      </c>
      <c r="I18" s="17">
        <v>564362.65555356559</v>
      </c>
      <c r="J18" s="17">
        <v>7264064.3391650291</v>
      </c>
      <c r="K18" s="17">
        <v>375827.86260747176</v>
      </c>
      <c r="L18" s="17">
        <v>44592.264539831551</v>
      </c>
      <c r="M18" s="17">
        <f t="shared" si="1"/>
        <v>-222168.8518632222</v>
      </c>
      <c r="N18" s="18">
        <f t="shared" si="2"/>
        <v>-1.8314650391592132E-2</v>
      </c>
      <c r="O18" s="20"/>
      <c r="P18" s="1"/>
    </row>
    <row r="19" spans="1:18" s="10" customFormat="1" ht="15" customHeight="1">
      <c r="A19" s="21">
        <f t="shared" si="4"/>
        <v>5</v>
      </c>
      <c r="B19" s="15" t="s">
        <v>48</v>
      </c>
      <c r="C19" s="16" t="s">
        <v>49</v>
      </c>
      <c r="D19" s="17">
        <v>229321174</v>
      </c>
      <c r="E19" s="18">
        <v>4.8074754871363326E-2</v>
      </c>
      <c r="F19" s="19">
        <f t="shared" si="3"/>
        <v>0.79441441142515179</v>
      </c>
      <c r="G19" s="17">
        <f t="shared" si="0"/>
        <v>260631173.96976811</v>
      </c>
      <c r="H19" s="17">
        <v>218091996.04321542</v>
      </c>
      <c r="I19" s="17">
        <v>41928686.91926457</v>
      </c>
      <c r="J19" s="17">
        <v>346784.36791836424</v>
      </c>
      <c r="K19" s="17">
        <v>-753388.09881957574</v>
      </c>
      <c r="L19" s="17">
        <v>1017094.7381893119</v>
      </c>
      <c r="M19" s="17">
        <f t="shared" si="1"/>
        <v>31309999.969768107</v>
      </c>
      <c r="N19" s="18">
        <f t="shared" si="2"/>
        <v>0.13653340170745901</v>
      </c>
      <c r="O19" s="20"/>
      <c r="P19" s="1"/>
      <c r="Q19" s="1"/>
      <c r="R19" s="1"/>
    </row>
    <row r="20" spans="1:18" s="10" customFormat="1" ht="15" customHeight="1">
      <c r="A20" s="21">
        <f t="shared" si="4"/>
        <v>6</v>
      </c>
      <c r="B20" s="15" t="s">
        <v>50</v>
      </c>
      <c r="C20" s="16" t="s">
        <v>51</v>
      </c>
      <c r="D20" s="17">
        <v>13174523</v>
      </c>
      <c r="E20" s="18">
        <v>4.7184730982516285E-2</v>
      </c>
      <c r="F20" s="19">
        <f t="shared" si="3"/>
        <v>0.7797071538280067</v>
      </c>
      <c r="G20" s="17">
        <f t="shared" si="0"/>
        <v>15364497.636201492</v>
      </c>
      <c r="H20" s="17">
        <v>9485597.8903937005</v>
      </c>
      <c r="I20" s="17">
        <v>1812833.2466819948</v>
      </c>
      <c r="J20" s="17">
        <v>4000354.176142815</v>
      </c>
      <c r="K20" s="17">
        <v>-1777.7007599255594</v>
      </c>
      <c r="L20" s="17">
        <v>67490.023742904159</v>
      </c>
      <c r="M20" s="17">
        <f t="shared" si="1"/>
        <v>2189974.6362014916</v>
      </c>
      <c r="N20" s="18">
        <f t="shared" si="2"/>
        <v>0.16622800204618349</v>
      </c>
      <c r="O20" s="20"/>
      <c r="P20" s="1"/>
    </row>
    <row r="21" spans="1:18" s="10" customFormat="1" ht="15" customHeight="1">
      <c r="A21" s="21">
        <f t="shared" si="4"/>
        <v>7</v>
      </c>
      <c r="B21" s="23">
        <v>15</v>
      </c>
      <c r="C21" s="16" t="s">
        <v>52</v>
      </c>
      <c r="D21" s="17">
        <v>584894</v>
      </c>
      <c r="E21" s="18">
        <v>5.9696064083075401E-2</v>
      </c>
      <c r="F21" s="19">
        <f t="shared" si="3"/>
        <v>0.9864514908052745</v>
      </c>
      <c r="G21" s="17">
        <f t="shared" si="0"/>
        <v>636441.89003324497</v>
      </c>
      <c r="H21" s="17">
        <v>282394.2069835302</v>
      </c>
      <c r="I21" s="17">
        <v>52655.826915604885</v>
      </c>
      <c r="J21" s="17">
        <v>180817.70385297935</v>
      </c>
      <c r="K21" s="17">
        <v>118360.2680556656</v>
      </c>
      <c r="L21" s="17">
        <v>2213.8842254650103</v>
      </c>
      <c r="M21" s="17">
        <f t="shared" si="1"/>
        <v>51547.89003324497</v>
      </c>
      <c r="N21" s="18">
        <f t="shared" si="2"/>
        <v>8.8132020559699653E-2</v>
      </c>
      <c r="O21" s="20"/>
      <c r="P21" s="1"/>
      <c r="Q21" s="1"/>
      <c r="R21" s="1"/>
    </row>
    <row r="22" spans="1:18" s="10" customFormat="1" ht="15" customHeight="1">
      <c r="A22" s="21">
        <f t="shared" si="4"/>
        <v>8</v>
      </c>
      <c r="B22" s="23">
        <v>15</v>
      </c>
      <c r="C22" s="16" t="s">
        <v>53</v>
      </c>
      <c r="D22" s="17">
        <v>1144626</v>
      </c>
      <c r="E22" s="18">
        <v>0.16066057319770471</v>
      </c>
      <c r="F22" s="19">
        <f t="shared" si="3"/>
        <v>2.6548460837209191</v>
      </c>
      <c r="G22" s="17">
        <f t="shared" si="0"/>
        <v>993249.75706772343</v>
      </c>
      <c r="H22" s="17">
        <v>721260.60456584464</v>
      </c>
      <c r="I22" s="17">
        <v>121412.71802786143</v>
      </c>
      <c r="J22" s="17">
        <v>122981.15873404923</v>
      </c>
      <c r="K22" s="17">
        <v>24400.252797242778</v>
      </c>
      <c r="L22" s="17">
        <v>3195.0229427252834</v>
      </c>
      <c r="M22" s="17">
        <f t="shared" si="1"/>
        <v>-151376.24293227657</v>
      </c>
      <c r="N22" s="18">
        <f t="shared" si="2"/>
        <v>-0.13224952336595233</v>
      </c>
      <c r="O22" s="20"/>
      <c r="P22" s="1"/>
    </row>
    <row r="23" spans="1:18" s="10" customFormat="1" ht="15" customHeight="1">
      <c r="A23" s="21">
        <f>A22+1</f>
        <v>9</v>
      </c>
      <c r="B23" s="15" t="s">
        <v>54</v>
      </c>
      <c r="C23" s="16" t="s">
        <v>55</v>
      </c>
      <c r="D23" s="17">
        <v>129897908</v>
      </c>
      <c r="E23" s="18">
        <v>7.4550908918805003E-2</v>
      </c>
      <c r="F23" s="19">
        <f t="shared" si="3"/>
        <v>1.231921339763725</v>
      </c>
      <c r="G23" s="17">
        <f t="shared" si="0"/>
        <v>136538969.23828781</v>
      </c>
      <c r="H23" s="17">
        <v>82954482.275921106</v>
      </c>
      <c r="I23" s="17">
        <v>17871639.473381698</v>
      </c>
      <c r="J23" s="17">
        <v>32118649.828333143</v>
      </c>
      <c r="K23" s="17">
        <v>3009498.1273130216</v>
      </c>
      <c r="L23" s="17">
        <v>584699.53333885327</v>
      </c>
      <c r="M23" s="17">
        <f t="shared" si="1"/>
        <v>6641061.2382878065</v>
      </c>
      <c r="N23" s="18">
        <f t="shared" si="2"/>
        <v>5.1125236276228607E-2</v>
      </c>
      <c r="O23" s="20"/>
      <c r="P23" s="1"/>
      <c r="Q23" s="1"/>
      <c r="R23" s="1"/>
    </row>
    <row r="24" spans="1:18" s="10" customFormat="1" ht="15" customHeight="1">
      <c r="A24" s="21">
        <f>A23+1</f>
        <v>10</v>
      </c>
      <c r="B24" s="15" t="s">
        <v>56</v>
      </c>
      <c r="C24" s="16" t="s">
        <v>57</v>
      </c>
      <c r="D24" s="17">
        <v>24224835.012471452</v>
      </c>
      <c r="E24" s="18">
        <v>2.9920126605371508E-2</v>
      </c>
      <c r="F24" s="19">
        <f t="shared" si="3"/>
        <v>0.49441707670839713</v>
      </c>
      <c r="G24" s="17">
        <f t="shared" si="0"/>
        <v>29328813.217830747</v>
      </c>
      <c r="H24" s="17">
        <v>24673937.007185005</v>
      </c>
      <c r="I24" s="17">
        <v>4434212.749364038</v>
      </c>
      <c r="J24" s="17">
        <v>106250.66129664757</v>
      </c>
      <c r="K24" s="17">
        <v>1727.1348735630997</v>
      </c>
      <c r="L24" s="17">
        <v>112685.66511149875</v>
      </c>
      <c r="M24" s="17">
        <f t="shared" si="1"/>
        <v>5103978.205359295</v>
      </c>
      <c r="N24" s="18">
        <f t="shared" si="2"/>
        <v>0.2106919697381493</v>
      </c>
      <c r="O24" s="20"/>
      <c r="P24" s="1"/>
    </row>
    <row r="25" spans="1:18" s="10" customFormat="1" ht="15" customHeight="1">
      <c r="A25" s="21">
        <f>A24+1</f>
        <v>11</v>
      </c>
      <c r="B25" s="15" t="s">
        <v>56</v>
      </c>
      <c r="C25" s="16" t="s">
        <v>58</v>
      </c>
      <c r="D25" s="17">
        <v>26946217.696695004</v>
      </c>
      <c r="E25" s="18">
        <v>2.9541801638160215E-2</v>
      </c>
      <c r="F25" s="19">
        <f t="shared" si="3"/>
        <v>0.48816542119899742</v>
      </c>
      <c r="G25" s="17">
        <f t="shared" si="0"/>
        <v>31665328.24607303</v>
      </c>
      <c r="H25" s="17">
        <v>27595356.686759159</v>
      </c>
      <c r="I25" s="17">
        <v>3940098.5928715458</v>
      </c>
      <c r="J25" s="17">
        <v>115261.9961273596</v>
      </c>
      <c r="K25" s="17">
        <v>-88240.78613940021</v>
      </c>
      <c r="L25" s="17">
        <v>102851.75645436245</v>
      </c>
      <c r="M25" s="17">
        <f t="shared" si="1"/>
        <v>4719110.5493780263</v>
      </c>
      <c r="N25" s="18">
        <f t="shared" si="2"/>
        <v>0.17513072159128412</v>
      </c>
      <c r="O25" s="20"/>
      <c r="P25" s="1"/>
      <c r="Q25" s="1"/>
      <c r="R25" s="1"/>
    </row>
    <row r="26" spans="1:18" s="10" customFormat="1" ht="15" customHeight="1">
      <c r="A26" s="24"/>
      <c r="B26" s="25"/>
      <c r="C26" s="25"/>
      <c r="D26" s="26"/>
      <c r="E26" s="25"/>
      <c r="F26" s="27"/>
      <c r="G26" s="26"/>
      <c r="H26" s="26"/>
      <c r="I26" s="26"/>
      <c r="J26" s="26"/>
      <c r="K26" s="26"/>
      <c r="L26" s="26"/>
      <c r="M26" s="25"/>
      <c r="N26" s="28"/>
      <c r="O26" s="20"/>
      <c r="P26" s="1"/>
    </row>
    <row r="27" spans="1:18" s="10" customFormat="1" ht="15" customHeight="1">
      <c r="A27" s="24">
        <f>A25+1</f>
        <v>12</v>
      </c>
      <c r="B27" s="25"/>
      <c r="C27" s="11" t="s">
        <v>59</v>
      </c>
      <c r="D27" s="26">
        <f>SUM(D15:D25)</f>
        <v>1704047145.7091665</v>
      </c>
      <c r="E27" s="29">
        <v>6.051596519393309E-2</v>
      </c>
      <c r="F27" s="27">
        <f>(E27/E$27)</f>
        <v>1</v>
      </c>
      <c r="G27" s="26">
        <f t="shared" ref="G27:M27" si="5">SUM(G15:G25)</f>
        <v>1876314484.7091663</v>
      </c>
      <c r="H27" s="26">
        <f t="shared" si="5"/>
        <v>1211671490.6190178</v>
      </c>
      <c r="I27" s="26">
        <f t="shared" si="5"/>
        <v>251650110.37277564</v>
      </c>
      <c r="J27" s="26">
        <f t="shared" si="5"/>
        <v>360620887.61434251</v>
      </c>
      <c r="K27" s="26">
        <f t="shared" si="5"/>
        <v>44483795.383634262</v>
      </c>
      <c r="L27" s="26">
        <f t="shared" si="5"/>
        <v>7888200.7193962531</v>
      </c>
      <c r="M27" s="25">
        <f t="shared" si="5"/>
        <v>172267339.00000006</v>
      </c>
      <c r="N27" s="28">
        <f>M27/D27</f>
        <v>0.10109305921128622</v>
      </c>
      <c r="O27" s="20"/>
      <c r="P27" s="1"/>
      <c r="Q27" s="1"/>
      <c r="R27" s="1"/>
    </row>
    <row r="28" spans="1:18" s="10" customFormat="1" ht="15" customHeight="1" thickBot="1">
      <c r="A28" s="30"/>
      <c r="B28" s="13"/>
      <c r="C28" s="13"/>
      <c r="D28" s="31"/>
      <c r="E28" s="32"/>
      <c r="F28" s="33"/>
      <c r="G28" s="31"/>
      <c r="H28" s="31"/>
      <c r="I28" s="31"/>
      <c r="J28" s="31"/>
      <c r="K28" s="31"/>
      <c r="L28" s="31"/>
      <c r="M28" s="34"/>
      <c r="N28" s="35"/>
      <c r="P28" s="1"/>
    </row>
    <row r="31" spans="1:18" ht="15" customHeight="1">
      <c r="A31" s="36" t="s">
        <v>60</v>
      </c>
      <c r="B31" s="6"/>
      <c r="C31" s="6"/>
      <c r="D31" s="37"/>
      <c r="E31" s="6"/>
      <c r="F31" s="6"/>
      <c r="G31" s="6"/>
      <c r="H31" s="6"/>
    </row>
    <row r="32" spans="1:18" ht="15" customHeight="1">
      <c r="A32" s="6"/>
      <c r="B32" s="6" t="s">
        <v>61</v>
      </c>
      <c r="C32" s="6" t="s">
        <v>62</v>
      </c>
      <c r="D32" s="6"/>
      <c r="E32" s="6"/>
      <c r="F32" s="6"/>
      <c r="G32" s="6"/>
      <c r="H32" s="6"/>
    </row>
    <row r="33" spans="1:8" ht="15" customHeight="1">
      <c r="A33" s="6"/>
      <c r="B33" s="6" t="s">
        <v>63</v>
      </c>
      <c r="C33" s="6" t="s">
        <v>64</v>
      </c>
      <c r="D33" s="6"/>
      <c r="E33" s="6"/>
      <c r="F33" s="6"/>
      <c r="G33" s="6"/>
      <c r="H33" s="6"/>
    </row>
    <row r="34" spans="1:8" ht="15" customHeight="1">
      <c r="A34" s="6"/>
      <c r="B34" s="6" t="s">
        <v>65</v>
      </c>
      <c r="C34" s="6" t="s">
        <v>66</v>
      </c>
      <c r="D34" s="6"/>
      <c r="E34" s="6"/>
      <c r="F34" s="6"/>
      <c r="G34" s="6"/>
      <c r="H34" s="6"/>
    </row>
    <row r="35" spans="1:8" ht="15" customHeight="1">
      <c r="A35" s="6"/>
      <c r="B35" s="6" t="s">
        <v>67</v>
      </c>
      <c r="C35" s="6" t="s">
        <v>68</v>
      </c>
      <c r="D35" s="6"/>
      <c r="E35" s="6"/>
      <c r="F35" s="6"/>
      <c r="G35" s="6"/>
      <c r="H35" s="6"/>
    </row>
    <row r="36" spans="1:8" ht="15" customHeight="1">
      <c r="A36" s="6"/>
      <c r="B36" s="6" t="s">
        <v>69</v>
      </c>
      <c r="C36" s="6" t="s">
        <v>70</v>
      </c>
      <c r="D36" s="6"/>
      <c r="E36" s="6"/>
      <c r="F36" s="6"/>
      <c r="G36" s="6"/>
      <c r="H36" s="6"/>
    </row>
    <row r="37" spans="1:8" ht="15" customHeight="1">
      <c r="A37" s="6"/>
      <c r="B37" s="6" t="s">
        <v>71</v>
      </c>
      <c r="C37" s="6" t="s">
        <v>72</v>
      </c>
      <c r="D37" s="6"/>
      <c r="E37" s="6"/>
      <c r="F37" s="6"/>
      <c r="G37" s="6"/>
      <c r="H37" s="6"/>
    </row>
    <row r="38" spans="1:8" ht="15" customHeight="1">
      <c r="A38" s="6"/>
      <c r="B38" s="6" t="s">
        <v>73</v>
      </c>
      <c r="C38" s="6" t="s">
        <v>74</v>
      </c>
      <c r="D38" s="6"/>
      <c r="E38" s="6"/>
      <c r="F38" s="6"/>
      <c r="G38" s="6"/>
      <c r="H38" s="6"/>
    </row>
    <row r="39" spans="1:8" ht="15" customHeight="1">
      <c r="A39" s="6"/>
      <c r="B39" s="6" t="s">
        <v>75</v>
      </c>
      <c r="C39" s="6" t="s">
        <v>76</v>
      </c>
      <c r="D39" s="6"/>
      <c r="E39" s="6"/>
      <c r="F39" s="6"/>
      <c r="G39" s="6"/>
      <c r="H39" s="6"/>
    </row>
    <row r="40" spans="1:8" ht="15" customHeight="1">
      <c r="A40" s="6"/>
      <c r="B40" s="6" t="s">
        <v>77</v>
      </c>
      <c r="C40" s="6" t="s">
        <v>78</v>
      </c>
      <c r="D40" s="6"/>
      <c r="E40" s="6"/>
      <c r="F40" s="6"/>
      <c r="G40" s="6"/>
      <c r="H40" s="6"/>
    </row>
    <row r="41" spans="1:8" ht="15" customHeight="1">
      <c r="A41" s="6"/>
      <c r="B41" s="6" t="s">
        <v>79</v>
      </c>
      <c r="C41" s="6" t="s">
        <v>80</v>
      </c>
      <c r="D41" s="6"/>
      <c r="E41" s="6"/>
      <c r="F41" s="6"/>
      <c r="G41" s="6"/>
      <c r="H41" s="6"/>
    </row>
    <row r="42" spans="1:8" ht="15" customHeight="1">
      <c r="A42" s="6"/>
      <c r="B42" s="6" t="s">
        <v>81</v>
      </c>
      <c r="C42" s="6" t="s">
        <v>82</v>
      </c>
      <c r="D42" s="6"/>
      <c r="E42" s="6"/>
      <c r="F42" s="6"/>
      <c r="G42" s="6"/>
      <c r="H42" s="6"/>
    </row>
    <row r="43" spans="1:8" ht="15" customHeight="1">
      <c r="B43" s="6"/>
    </row>
    <row r="44" spans="1:8" ht="15" customHeight="1">
      <c r="A44" s="6"/>
    </row>
  </sheetData>
  <dataConsolidate/>
  <mergeCells count="3">
    <mergeCell ref="A8:N8"/>
    <mergeCell ref="A2:N2"/>
    <mergeCell ref="A4:N4"/>
  </mergeCells>
  <printOptions horizontalCentered="1"/>
  <pageMargins left="0.99687499999999996" right="0.99562499999999998" top="1.6965625" bottom="0.35" header="0.99687499999999996" footer="0.25"/>
  <pageSetup scale="58" orientation="landscape" r:id="rId1"/>
  <headerFooter scaleWithDoc="0">
    <oddHeader xml:space="preserve">&amp;R&amp;"Times New Roman,Regular"&amp;8Utah Association of Energy Users
UAE Exhibit COS 2.2 (TNT-2)
Docket No. 11-035-200
Witness: Neal Townsend
Page 1 of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44"/>
  <sheetViews>
    <sheetView zoomScale="80" zoomScaleNormal="80" workbookViewId="0">
      <selection activeCell="F25" sqref="F25"/>
    </sheetView>
  </sheetViews>
  <sheetFormatPr defaultColWidth="9.7109375" defaultRowHeight="15" customHeight="1"/>
  <cols>
    <col min="1" max="1" width="5.42578125" style="1" customWidth="1"/>
    <col min="2" max="2" width="12" style="1" customWidth="1"/>
    <col min="3" max="3" width="29.28515625" style="1" bestFit="1" customWidth="1"/>
    <col min="4" max="4" width="14.85546875" style="1" bestFit="1" customWidth="1"/>
    <col min="5" max="5" width="11" style="1" customWidth="1"/>
    <col min="6" max="6" width="9.85546875" style="1" customWidth="1"/>
    <col min="7" max="7" width="15.5703125" style="1" bestFit="1" customWidth="1"/>
    <col min="8" max="8" width="14.5703125" style="1" customWidth="1"/>
    <col min="9" max="10" width="14.85546875" style="1" bestFit="1" customWidth="1"/>
    <col min="11" max="11" width="13.7109375" style="1" customWidth="1"/>
    <col min="12" max="12" width="14.42578125" style="1" bestFit="1" customWidth="1"/>
    <col min="13" max="13" width="13.7109375" style="1" customWidth="1"/>
    <col min="14" max="14" width="18" style="1" bestFit="1" customWidth="1"/>
    <col min="15" max="15" width="18.28515625" style="1" bestFit="1" customWidth="1"/>
    <col min="16" max="16" width="13.42578125" style="1" bestFit="1" customWidth="1"/>
    <col min="17" max="17" width="18.7109375" style="1" bestFit="1" customWidth="1"/>
    <col min="18" max="19" width="10.28515625" style="1" bestFit="1" customWidth="1"/>
    <col min="20" max="20" width="9.7109375" style="1"/>
    <col min="21" max="21" width="12.140625" style="1" bestFit="1" customWidth="1"/>
    <col min="22" max="22" width="9.5703125" style="1" customWidth="1"/>
    <col min="23" max="16384" width="9.7109375" style="1"/>
  </cols>
  <sheetData>
    <row r="1" spans="1:18" ht="21.75" customHeight="1">
      <c r="A1" s="185" t="s">
        <v>181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8" ht="21.75" customHeight="1">
      <c r="A2" s="185" t="s">
        <v>182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8" ht="18" customHeight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4" spans="1:18" ht="18" customHeight="1">
      <c r="A4" s="188" t="s">
        <v>83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6"/>
    </row>
    <row r="5" spans="1:18" ht="18" customHeight="1">
      <c r="A5" s="189" t="s">
        <v>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7"/>
    </row>
    <row r="6" spans="1:18" ht="18" customHeight="1">
      <c r="A6" s="190" t="s">
        <v>84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85"/>
    </row>
    <row r="7" spans="1:18" ht="18" customHeight="1">
      <c r="A7" s="190" t="s">
        <v>85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85"/>
    </row>
    <row r="8" spans="1:18" ht="18" customHeight="1">
      <c r="A8" s="191" t="s">
        <v>86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85"/>
    </row>
    <row r="9" spans="1:18" ht="18" customHeight="1">
      <c r="A9" s="191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85"/>
    </row>
    <row r="10" spans="1:18" ht="15" customHeight="1">
      <c r="A10" s="192"/>
      <c r="B10" s="191"/>
      <c r="C10" s="191"/>
      <c r="D10" s="191"/>
      <c r="E10" s="191"/>
      <c r="F10" s="191"/>
      <c r="G10" s="193"/>
      <c r="H10" s="194"/>
      <c r="I10" s="191"/>
      <c r="J10" s="191"/>
      <c r="K10" s="191"/>
      <c r="L10" s="191"/>
      <c r="M10" s="191"/>
      <c r="N10" s="3"/>
    </row>
    <row r="11" spans="1:18" ht="15" customHeight="1" thickBot="1">
      <c r="A11" s="6"/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7" t="s">
        <v>7</v>
      </c>
      <c r="I11" s="7" t="s">
        <v>8</v>
      </c>
      <c r="J11" s="7" t="s">
        <v>9</v>
      </c>
      <c r="K11" s="7" t="s">
        <v>10</v>
      </c>
      <c r="L11" s="7" t="s">
        <v>11</v>
      </c>
      <c r="M11" s="7" t="s">
        <v>12</v>
      </c>
      <c r="N11" s="7" t="s">
        <v>13</v>
      </c>
    </row>
    <row r="12" spans="1:18" s="10" customFormat="1" ht="15" customHeight="1">
      <c r="A12" s="8"/>
      <c r="B12" s="8"/>
      <c r="C12" s="8"/>
      <c r="D12" s="8"/>
      <c r="E12" s="9" t="s">
        <v>14</v>
      </c>
      <c r="F12" s="9" t="s">
        <v>15</v>
      </c>
      <c r="G12" s="9" t="s">
        <v>16</v>
      </c>
      <c r="H12" s="9" t="s">
        <v>17</v>
      </c>
      <c r="I12" s="9" t="s">
        <v>18</v>
      </c>
      <c r="J12" s="9" t="s">
        <v>19</v>
      </c>
      <c r="K12" s="9" t="s">
        <v>20</v>
      </c>
      <c r="L12" s="9" t="s">
        <v>21</v>
      </c>
      <c r="M12" s="9" t="s">
        <v>22</v>
      </c>
      <c r="N12" s="9" t="s">
        <v>23</v>
      </c>
      <c r="P12" s="1"/>
    </row>
    <row r="13" spans="1:18" s="10" customFormat="1" ht="15" customHeight="1">
      <c r="A13" s="11" t="s">
        <v>24</v>
      </c>
      <c r="B13" s="11" t="s">
        <v>25</v>
      </c>
      <c r="C13" s="11" t="s">
        <v>26</v>
      </c>
      <c r="D13" s="11" t="s">
        <v>27</v>
      </c>
      <c r="E13" s="11" t="s">
        <v>28</v>
      </c>
      <c r="F13" s="11" t="s">
        <v>29</v>
      </c>
      <c r="G13" s="11" t="s">
        <v>30</v>
      </c>
      <c r="H13" s="11" t="s">
        <v>30</v>
      </c>
      <c r="I13" s="11" t="s">
        <v>30</v>
      </c>
      <c r="J13" s="11" t="s">
        <v>30</v>
      </c>
      <c r="K13" s="11" t="s">
        <v>30</v>
      </c>
      <c r="L13" s="11" t="s">
        <v>30</v>
      </c>
      <c r="M13" s="11" t="s">
        <v>31</v>
      </c>
      <c r="N13" s="11" t="s">
        <v>32</v>
      </c>
      <c r="P13" s="1"/>
      <c r="Q13" s="1"/>
      <c r="R13" s="1"/>
    </row>
    <row r="14" spans="1:18" s="10" customFormat="1" ht="15" customHeight="1" thickBot="1">
      <c r="A14" s="12" t="s">
        <v>33</v>
      </c>
      <c r="B14" s="12" t="s">
        <v>33</v>
      </c>
      <c r="C14" s="13"/>
      <c r="D14" s="12" t="s">
        <v>34</v>
      </c>
      <c r="E14" s="12" t="s">
        <v>35</v>
      </c>
      <c r="F14" s="12" t="s">
        <v>36</v>
      </c>
      <c r="G14" s="12" t="s">
        <v>37</v>
      </c>
      <c r="H14" s="12" t="s">
        <v>37</v>
      </c>
      <c r="I14" s="12" t="s">
        <v>37</v>
      </c>
      <c r="J14" s="12" t="s">
        <v>37</v>
      </c>
      <c r="K14" s="12" t="s">
        <v>37</v>
      </c>
      <c r="L14" s="12" t="s">
        <v>37</v>
      </c>
      <c r="M14" s="12" t="s">
        <v>38</v>
      </c>
      <c r="N14" s="12" t="s">
        <v>39</v>
      </c>
      <c r="P14" s="1"/>
    </row>
    <row r="15" spans="1:18" s="10" customFormat="1" ht="15" customHeight="1">
      <c r="A15" s="14">
        <v>1</v>
      </c>
      <c r="B15" s="15" t="s">
        <v>40</v>
      </c>
      <c r="C15" s="16" t="s">
        <v>41</v>
      </c>
      <c r="D15" s="17">
        <v>649980899</v>
      </c>
      <c r="E15" s="18">
        <v>5.5043452592428543E-2</v>
      </c>
      <c r="F15" s="19">
        <f>(E15/E$27)</f>
        <v>0.9095691098379155</v>
      </c>
      <c r="G15" s="17">
        <f t="shared" ref="G15:G25" si="0">SUM(H15:L15)</f>
        <v>733424663.98666894</v>
      </c>
      <c r="H15" s="17">
        <v>393558221.45587546</v>
      </c>
      <c r="I15" s="17">
        <v>86589149.14216128</v>
      </c>
      <c r="J15" s="17">
        <v>208354139.72826123</v>
      </c>
      <c r="K15" s="17">
        <v>41737733.522283494</v>
      </c>
      <c r="L15" s="17">
        <v>3185420.1380874007</v>
      </c>
      <c r="M15" s="17">
        <f t="shared" ref="M15:M25" si="1">G15-D15</f>
        <v>83443764.986668944</v>
      </c>
      <c r="N15" s="18">
        <f t="shared" ref="N15:N25" si="2">M15/D15</f>
        <v>0.12837879561545229</v>
      </c>
      <c r="O15" s="20"/>
      <c r="P15" s="1"/>
      <c r="Q15" s="1"/>
      <c r="R15" s="1"/>
    </row>
    <row r="16" spans="1:18" s="10" customFormat="1" ht="15" customHeight="1">
      <c r="A16" s="21">
        <f>A15+1</f>
        <v>2</v>
      </c>
      <c r="B16" s="15" t="s">
        <v>42</v>
      </c>
      <c r="C16" s="16" t="s">
        <v>43</v>
      </c>
      <c r="D16" s="17">
        <v>475082792</v>
      </c>
      <c r="E16" s="18">
        <v>7.209047299083321E-2</v>
      </c>
      <c r="F16" s="19">
        <f t="shared" ref="F16:F25" si="3">(E16/E$27)</f>
        <v>1.1912637063592566</v>
      </c>
      <c r="G16" s="17">
        <f t="shared" si="0"/>
        <v>503499825.403229</v>
      </c>
      <c r="H16" s="17">
        <v>342997762.30066663</v>
      </c>
      <c r="I16" s="17">
        <v>73000224.181509852</v>
      </c>
      <c r="J16" s="17">
        <v>85091150.9452416</v>
      </c>
      <c r="K16" s="17">
        <v>267585.30796795164</v>
      </c>
      <c r="L16" s="17">
        <v>2143102.667842926</v>
      </c>
      <c r="M16" s="17">
        <f t="shared" si="1"/>
        <v>28417033.403228998</v>
      </c>
      <c r="N16" s="18">
        <f t="shared" si="2"/>
        <v>5.981490780501475E-2</v>
      </c>
      <c r="O16" s="20"/>
      <c r="P16" s="1"/>
    </row>
    <row r="17" spans="1:18" s="10" customFormat="1" ht="15" customHeight="1">
      <c r="A17" s="21">
        <f t="shared" ref="A17:A22" si="4">A16+1</f>
        <v>3</v>
      </c>
      <c r="B17" s="22" t="s">
        <v>44</v>
      </c>
      <c r="C17" s="16" t="s">
        <v>45</v>
      </c>
      <c r="D17" s="17">
        <v>141558614</v>
      </c>
      <c r="E17" s="18">
        <v>6.5114686261657062E-2</v>
      </c>
      <c r="F17" s="19">
        <f t="shared" si="3"/>
        <v>1.0759918651712155</v>
      </c>
      <c r="G17" s="17">
        <f t="shared" si="0"/>
        <v>153167999.46417913</v>
      </c>
      <c r="H17" s="17">
        <v>108381331.63256621</v>
      </c>
      <c r="I17" s="17">
        <v>21605725.805663951</v>
      </c>
      <c r="J17" s="17">
        <v>22760162.206017502</v>
      </c>
      <c r="K17" s="17">
        <v>-211132.07493251766</v>
      </c>
      <c r="L17" s="17">
        <v>631911.89486400608</v>
      </c>
      <c r="M17" s="17">
        <f t="shared" si="1"/>
        <v>11609385.464179128</v>
      </c>
      <c r="N17" s="18">
        <f t="shared" si="2"/>
        <v>8.2011155210795786E-2</v>
      </c>
      <c r="O17" s="20"/>
      <c r="P17" s="1"/>
      <c r="Q17" s="1"/>
      <c r="R17" s="1"/>
    </row>
    <row r="18" spans="1:18" s="10" customFormat="1" ht="15" customHeight="1">
      <c r="A18" s="21">
        <f t="shared" si="4"/>
        <v>4</v>
      </c>
      <c r="B18" s="15" t="s">
        <v>46</v>
      </c>
      <c r="C18" s="16" t="s">
        <v>47</v>
      </c>
      <c r="D18" s="17">
        <v>12130663</v>
      </c>
      <c r="E18" s="18">
        <v>9.9505453437414113E-2</v>
      </c>
      <c r="F18" s="19">
        <f t="shared" si="3"/>
        <v>1.6442843325481464</v>
      </c>
      <c r="G18" s="17">
        <f t="shared" si="0"/>
        <v>11904632.500101406</v>
      </c>
      <c r="H18" s="17">
        <v>3655563.1120255366</v>
      </c>
      <c r="I18" s="17">
        <v>562670.34370184015</v>
      </c>
      <c r="J18" s="17">
        <v>7266015.8531971835</v>
      </c>
      <c r="K18" s="17">
        <v>375826.07178875827</v>
      </c>
      <c r="L18" s="17">
        <v>44557.119388088875</v>
      </c>
      <c r="M18" s="17">
        <f t="shared" si="1"/>
        <v>-226030.49989859387</v>
      </c>
      <c r="N18" s="18">
        <f t="shared" si="2"/>
        <v>-1.8632988147357969E-2</v>
      </c>
      <c r="O18" s="20"/>
      <c r="P18" s="1"/>
    </row>
    <row r="19" spans="1:18" s="10" customFormat="1" ht="15" customHeight="1">
      <c r="A19" s="21">
        <f t="shared" si="4"/>
        <v>5</v>
      </c>
      <c r="B19" s="15" t="s">
        <v>48</v>
      </c>
      <c r="C19" s="16" t="s">
        <v>49</v>
      </c>
      <c r="D19" s="17">
        <v>229321174</v>
      </c>
      <c r="E19" s="18">
        <v>4.8649601864887357E-2</v>
      </c>
      <c r="F19" s="19">
        <f t="shared" si="3"/>
        <v>0.80391350793103022</v>
      </c>
      <c r="G19" s="17">
        <f t="shared" si="0"/>
        <v>260049903.46033603</v>
      </c>
      <c r="H19" s="17">
        <v>217669791.1589542</v>
      </c>
      <c r="I19" s="17">
        <v>41776459.439448178</v>
      </c>
      <c r="J19" s="17">
        <v>345778.84083091537</v>
      </c>
      <c r="K19" s="17">
        <v>-754518.39725661057</v>
      </c>
      <c r="L19" s="17">
        <v>1012392.418359325</v>
      </c>
      <c r="M19" s="17">
        <f t="shared" si="1"/>
        <v>30728729.46033603</v>
      </c>
      <c r="N19" s="18">
        <f t="shared" si="2"/>
        <v>0.13399865753493845</v>
      </c>
      <c r="O19" s="20"/>
      <c r="P19" s="1"/>
      <c r="Q19" s="1"/>
      <c r="R19" s="1"/>
    </row>
    <row r="20" spans="1:18" s="10" customFormat="1" ht="15" customHeight="1">
      <c r="A20" s="21">
        <f t="shared" si="4"/>
        <v>6</v>
      </c>
      <c r="B20" s="15" t="s">
        <v>50</v>
      </c>
      <c r="C20" s="16" t="s">
        <v>51</v>
      </c>
      <c r="D20" s="17">
        <v>13174523</v>
      </c>
      <c r="E20" s="18">
        <v>4.617723258779953E-2</v>
      </c>
      <c r="F20" s="19">
        <f t="shared" si="3"/>
        <v>0.76305868112351416</v>
      </c>
      <c r="G20" s="17">
        <f t="shared" si="0"/>
        <v>15436088.796641182</v>
      </c>
      <c r="H20" s="17">
        <v>9544982.2597979885</v>
      </c>
      <c r="I20" s="17">
        <v>1835189.6026590681</v>
      </c>
      <c r="J20" s="17">
        <v>3989589.972005201</v>
      </c>
      <c r="K20" s="17">
        <v>-1760.1637892240251</v>
      </c>
      <c r="L20" s="17">
        <v>68087.125968149223</v>
      </c>
      <c r="M20" s="17">
        <f t="shared" si="1"/>
        <v>2261565.7966411822</v>
      </c>
      <c r="N20" s="18">
        <f t="shared" si="2"/>
        <v>0.17166206295599334</v>
      </c>
      <c r="O20" s="20"/>
      <c r="P20" s="1"/>
    </row>
    <row r="21" spans="1:18" s="10" customFormat="1" ht="15" customHeight="1">
      <c r="A21" s="21">
        <f t="shared" si="4"/>
        <v>7</v>
      </c>
      <c r="B21" s="23">
        <v>15</v>
      </c>
      <c r="C21" s="16" t="s">
        <v>52</v>
      </c>
      <c r="D21" s="17">
        <v>584894</v>
      </c>
      <c r="E21" s="18">
        <v>5.9985238646874044E-2</v>
      </c>
      <c r="F21" s="19">
        <f t="shared" si="3"/>
        <v>0.99122997467926288</v>
      </c>
      <c r="G21" s="17">
        <f t="shared" si="0"/>
        <v>635836.66034991608</v>
      </c>
      <c r="H21" s="17">
        <v>281857.57879930269</v>
      </c>
      <c r="I21" s="17">
        <v>52452.607617691247</v>
      </c>
      <c r="J21" s="17">
        <v>180955.25394101598</v>
      </c>
      <c r="K21" s="17">
        <v>118362.46616953156</v>
      </c>
      <c r="L21" s="17">
        <v>2208.7538223746228</v>
      </c>
      <c r="M21" s="17">
        <f t="shared" si="1"/>
        <v>50942.660349916085</v>
      </c>
      <c r="N21" s="18">
        <f t="shared" si="2"/>
        <v>8.7097252407985187E-2</v>
      </c>
      <c r="O21" s="20"/>
      <c r="P21" s="1"/>
      <c r="Q21" s="1"/>
      <c r="R21" s="1"/>
    </row>
    <row r="22" spans="1:18" s="10" customFormat="1" ht="15" customHeight="1">
      <c r="A22" s="21">
        <f t="shared" si="4"/>
        <v>8</v>
      </c>
      <c r="B22" s="23">
        <v>15</v>
      </c>
      <c r="C22" s="16" t="s">
        <v>53</v>
      </c>
      <c r="D22" s="17">
        <v>1144626</v>
      </c>
      <c r="E22" s="18">
        <v>0.16115310063233812</v>
      </c>
      <c r="F22" s="19">
        <f t="shared" si="3"/>
        <v>2.6629848853256433</v>
      </c>
      <c r="G22" s="17">
        <f t="shared" si="0"/>
        <v>992535.58692894585</v>
      </c>
      <c r="H22" s="17">
        <v>720682.01800573594</v>
      </c>
      <c r="I22" s="17">
        <v>121128.97423818154</v>
      </c>
      <c r="J22" s="17">
        <v>123134.55180752139</v>
      </c>
      <c r="K22" s="17">
        <v>24401.250073148552</v>
      </c>
      <c r="L22" s="17">
        <v>3188.7928043584784</v>
      </c>
      <c r="M22" s="17">
        <f t="shared" si="1"/>
        <v>-152090.41307105415</v>
      </c>
      <c r="N22" s="18">
        <f t="shared" si="2"/>
        <v>-0.13287345654480515</v>
      </c>
      <c r="O22" s="20"/>
      <c r="P22" s="1"/>
    </row>
    <row r="23" spans="1:18" s="10" customFormat="1" ht="15" customHeight="1">
      <c r="A23" s="21">
        <f>A22+1</f>
        <v>9</v>
      </c>
      <c r="B23" s="15" t="s">
        <v>54</v>
      </c>
      <c r="C23" s="16" t="s">
        <v>55</v>
      </c>
      <c r="D23" s="17">
        <v>129897908</v>
      </c>
      <c r="E23" s="18">
        <v>7.4437470621703333E-2</v>
      </c>
      <c r="F23" s="19">
        <f t="shared" si="3"/>
        <v>1.2300468212504885</v>
      </c>
      <c r="G23" s="17">
        <f t="shared" si="0"/>
        <v>136591594.58248216</v>
      </c>
      <c r="H23" s="17">
        <v>82996873.304907709</v>
      </c>
      <c r="I23" s="17">
        <v>17886624.706598096</v>
      </c>
      <c r="J23" s="17">
        <v>32112840.282900721</v>
      </c>
      <c r="K23" s="17">
        <v>3010140.4301354345</v>
      </c>
      <c r="L23" s="17">
        <v>585115.85794020467</v>
      </c>
      <c r="M23" s="17">
        <f t="shared" si="1"/>
        <v>6693686.5824821591</v>
      </c>
      <c r="N23" s="18">
        <f t="shared" si="2"/>
        <v>5.1530364772942754E-2</v>
      </c>
      <c r="O23" s="20"/>
      <c r="P23" s="1"/>
      <c r="Q23" s="1"/>
      <c r="R23" s="1"/>
    </row>
    <row r="24" spans="1:18" s="10" customFormat="1" ht="15" customHeight="1">
      <c r="A24" s="21">
        <f>A23+1</f>
        <v>10</v>
      </c>
      <c r="B24" s="15" t="s">
        <v>56</v>
      </c>
      <c r="C24" s="16" t="s">
        <v>57</v>
      </c>
      <c r="D24" s="17">
        <v>24224835.012471452</v>
      </c>
      <c r="E24" s="18">
        <v>3.0511729672979861E-2</v>
      </c>
      <c r="F24" s="19">
        <f t="shared" si="3"/>
        <v>0.50419306004952313</v>
      </c>
      <c r="G24" s="17">
        <f t="shared" si="0"/>
        <v>29247666.31499989</v>
      </c>
      <c r="H24" s="17">
        <v>24614648.675587021</v>
      </c>
      <c r="I24" s="17">
        <v>4413145.1357547287</v>
      </c>
      <c r="J24" s="17">
        <v>106106.48206466538</v>
      </c>
      <c r="K24" s="17">
        <v>1736.4064638405134</v>
      </c>
      <c r="L24" s="17">
        <v>112029.61512963858</v>
      </c>
      <c r="M24" s="17">
        <f t="shared" si="1"/>
        <v>5022831.3025284372</v>
      </c>
      <c r="N24" s="18">
        <f t="shared" si="2"/>
        <v>0.20734222957318713</v>
      </c>
      <c r="O24" s="20"/>
      <c r="P24" s="1"/>
    </row>
    <row r="25" spans="1:18" s="10" customFormat="1" ht="15" customHeight="1">
      <c r="A25" s="21">
        <f>A24+1</f>
        <v>11</v>
      </c>
      <c r="B25" s="15" t="s">
        <v>56</v>
      </c>
      <c r="C25" s="16" t="s">
        <v>58</v>
      </c>
      <c r="D25" s="17">
        <v>26946217.696695004</v>
      </c>
      <c r="E25" s="18">
        <v>3.196320192067837E-2</v>
      </c>
      <c r="F25" s="19">
        <f t="shared" si="3"/>
        <v>0.52817800754308164</v>
      </c>
      <c r="G25" s="17">
        <f t="shared" si="0"/>
        <v>31363737.953250181</v>
      </c>
      <c r="H25" s="17">
        <v>27378206.127659224</v>
      </c>
      <c r="I25" s="17">
        <v>3859380.5059148585</v>
      </c>
      <c r="J25" s="17">
        <v>114741.86016373929</v>
      </c>
      <c r="K25" s="17">
        <v>-89007.815491389061</v>
      </c>
      <c r="L25" s="17">
        <v>100417.27500374624</v>
      </c>
      <c r="M25" s="17">
        <f t="shared" si="1"/>
        <v>4417520.2565551773</v>
      </c>
      <c r="N25" s="18">
        <f t="shared" si="2"/>
        <v>0.16393841637733791</v>
      </c>
      <c r="O25" s="20"/>
      <c r="P25" s="1"/>
      <c r="Q25" s="1"/>
      <c r="R25" s="1"/>
    </row>
    <row r="26" spans="1:18" s="10" customFormat="1" ht="15" customHeight="1">
      <c r="A26" s="24"/>
      <c r="B26" s="25"/>
      <c r="C26" s="25"/>
      <c r="D26" s="26"/>
      <c r="E26" s="25"/>
      <c r="F26" s="27"/>
      <c r="G26" s="26"/>
      <c r="H26" s="26"/>
      <c r="I26" s="26"/>
      <c r="J26" s="26"/>
      <c r="K26" s="26"/>
      <c r="L26" s="26"/>
      <c r="M26" s="25"/>
      <c r="N26" s="28"/>
      <c r="O26" s="20"/>
      <c r="P26" s="1"/>
    </row>
    <row r="27" spans="1:18" s="10" customFormat="1" ht="15" customHeight="1">
      <c r="A27" s="24">
        <f>A25+1</f>
        <v>12</v>
      </c>
      <c r="B27" s="25"/>
      <c r="C27" s="11" t="s">
        <v>59</v>
      </c>
      <c r="D27" s="26">
        <f>SUM(D15:D25)</f>
        <v>1704047145.7091665</v>
      </c>
      <c r="E27" s="29">
        <v>6.0515965193933687E-2</v>
      </c>
      <c r="F27" s="27">
        <f>(E27/E$27)</f>
        <v>1</v>
      </c>
      <c r="G27" s="26">
        <f t="shared" ref="G27:M27" si="5">SUM(G15:G25)</f>
        <v>1876314484.709166</v>
      </c>
      <c r="H27" s="26">
        <f t="shared" si="5"/>
        <v>1211799919.6248453</v>
      </c>
      <c r="I27" s="26">
        <f t="shared" si="5"/>
        <v>251702150.44526777</v>
      </c>
      <c r="J27" s="26">
        <f t="shared" si="5"/>
        <v>360444615.97643125</v>
      </c>
      <c r="K27" s="26">
        <f t="shared" si="5"/>
        <v>44479367.003412418</v>
      </c>
      <c r="L27" s="26">
        <f t="shared" si="5"/>
        <v>7888431.6592102172</v>
      </c>
      <c r="M27" s="25">
        <f t="shared" si="5"/>
        <v>172267339.0000003</v>
      </c>
      <c r="N27" s="28">
        <f>M27/D27</f>
        <v>0.10109305921128636</v>
      </c>
      <c r="O27" s="20"/>
      <c r="P27" s="1"/>
      <c r="Q27" s="1"/>
      <c r="R27" s="1"/>
    </row>
    <row r="28" spans="1:18" s="10" customFormat="1" ht="15" customHeight="1" thickBot="1">
      <c r="A28" s="30"/>
      <c r="B28" s="13"/>
      <c r="C28" s="13"/>
      <c r="D28" s="31"/>
      <c r="E28" s="32"/>
      <c r="F28" s="33"/>
      <c r="G28" s="31"/>
      <c r="H28" s="31"/>
      <c r="I28" s="31"/>
      <c r="J28" s="31"/>
      <c r="K28" s="31"/>
      <c r="L28" s="31"/>
      <c r="M28" s="34"/>
      <c r="N28" s="35"/>
      <c r="P28" s="1"/>
    </row>
    <row r="31" spans="1:18" ht="15" customHeight="1">
      <c r="A31" s="36" t="s">
        <v>60</v>
      </c>
      <c r="B31" s="6"/>
      <c r="C31" s="6"/>
      <c r="D31" s="37"/>
      <c r="E31" s="6"/>
      <c r="F31" s="6"/>
      <c r="G31" s="6"/>
      <c r="H31" s="6"/>
    </row>
    <row r="32" spans="1:18" ht="15" customHeight="1">
      <c r="A32" s="6"/>
      <c r="B32" s="6" t="s">
        <v>61</v>
      </c>
      <c r="C32" s="6" t="s">
        <v>62</v>
      </c>
      <c r="D32" s="6"/>
      <c r="E32" s="6"/>
      <c r="F32" s="6"/>
      <c r="G32" s="6"/>
      <c r="H32" s="6"/>
    </row>
    <row r="33" spans="1:8" ht="15" customHeight="1">
      <c r="A33" s="6"/>
      <c r="B33" s="6" t="s">
        <v>63</v>
      </c>
      <c r="C33" s="6" t="s">
        <v>64</v>
      </c>
      <c r="D33" s="6"/>
      <c r="E33" s="6"/>
      <c r="F33" s="6"/>
      <c r="G33" s="6"/>
      <c r="H33" s="6"/>
    </row>
    <row r="34" spans="1:8" ht="15" customHeight="1">
      <c r="A34" s="6"/>
      <c r="B34" s="6" t="s">
        <v>65</v>
      </c>
      <c r="C34" s="6" t="s">
        <v>66</v>
      </c>
      <c r="D34" s="6"/>
      <c r="E34" s="6"/>
      <c r="F34" s="6"/>
      <c r="G34" s="6"/>
      <c r="H34" s="6"/>
    </row>
    <row r="35" spans="1:8" ht="15" customHeight="1">
      <c r="A35" s="6"/>
      <c r="B35" s="6" t="s">
        <v>67</v>
      </c>
      <c r="C35" s="6" t="s">
        <v>68</v>
      </c>
      <c r="D35" s="6"/>
      <c r="E35" s="6"/>
      <c r="F35" s="6"/>
      <c r="G35" s="6"/>
      <c r="H35" s="6"/>
    </row>
    <row r="36" spans="1:8" ht="15" customHeight="1">
      <c r="A36" s="6"/>
      <c r="B36" s="6" t="s">
        <v>69</v>
      </c>
      <c r="C36" s="6" t="s">
        <v>70</v>
      </c>
      <c r="D36" s="6"/>
      <c r="E36" s="6"/>
      <c r="F36" s="6"/>
      <c r="G36" s="6"/>
      <c r="H36" s="6"/>
    </row>
    <row r="37" spans="1:8" ht="15" customHeight="1">
      <c r="A37" s="6"/>
      <c r="B37" s="6" t="s">
        <v>71</v>
      </c>
      <c r="C37" s="6" t="s">
        <v>72</v>
      </c>
      <c r="D37" s="6"/>
      <c r="E37" s="6"/>
      <c r="F37" s="6"/>
      <c r="G37" s="6"/>
      <c r="H37" s="6"/>
    </row>
    <row r="38" spans="1:8" ht="15" customHeight="1">
      <c r="A38" s="6"/>
      <c r="B38" s="6" t="s">
        <v>73</v>
      </c>
      <c r="C38" s="6" t="s">
        <v>74</v>
      </c>
      <c r="D38" s="6"/>
      <c r="E38" s="6"/>
      <c r="F38" s="6"/>
      <c r="G38" s="6"/>
      <c r="H38" s="6"/>
    </row>
    <row r="39" spans="1:8" ht="15" customHeight="1">
      <c r="A39" s="6"/>
      <c r="B39" s="6" t="s">
        <v>75</v>
      </c>
      <c r="C39" s="6" t="s">
        <v>76</v>
      </c>
      <c r="D39" s="6"/>
      <c r="E39" s="6"/>
      <c r="F39" s="6"/>
      <c r="G39" s="6"/>
      <c r="H39" s="6"/>
    </row>
    <row r="40" spans="1:8" ht="15" customHeight="1">
      <c r="A40" s="6"/>
      <c r="B40" s="6" t="s">
        <v>77</v>
      </c>
      <c r="C40" s="6" t="s">
        <v>78</v>
      </c>
      <c r="D40" s="6"/>
      <c r="E40" s="6"/>
      <c r="F40" s="6"/>
      <c r="G40" s="6"/>
      <c r="H40" s="6"/>
    </row>
    <row r="41" spans="1:8" ht="15" customHeight="1">
      <c r="A41" s="6"/>
      <c r="B41" s="6" t="s">
        <v>79</v>
      </c>
      <c r="C41" s="6" t="s">
        <v>80</v>
      </c>
      <c r="D41" s="6"/>
      <c r="E41" s="6"/>
      <c r="F41" s="6"/>
      <c r="G41" s="6"/>
      <c r="H41" s="6"/>
    </row>
    <row r="42" spans="1:8" ht="15" customHeight="1">
      <c r="A42" s="6"/>
      <c r="B42" s="6" t="s">
        <v>81</v>
      </c>
      <c r="C42" s="6" t="s">
        <v>82</v>
      </c>
      <c r="D42" s="6"/>
      <c r="E42" s="6"/>
      <c r="F42" s="6"/>
      <c r="G42" s="6"/>
      <c r="H42" s="6"/>
    </row>
    <row r="43" spans="1:8" ht="15" customHeight="1">
      <c r="B43" s="6"/>
    </row>
    <row r="44" spans="1:8" ht="15" customHeight="1">
      <c r="A44" s="6"/>
    </row>
  </sheetData>
  <dataConsolidate/>
  <printOptions horizontalCentered="1"/>
  <pageMargins left="1.0029166666666667" right="0.99687499999999996" top="1.6965625" bottom="0.35" header="1.0029166666666667" footer="0.25"/>
  <pageSetup scale="58" orientation="landscape" r:id="rId1"/>
  <headerFooter scaleWithDoc="0">
    <oddHeader xml:space="preserve">&amp;R&amp;"Times New Roman,Regular"&amp;8Utah Association of Energy Users
UAE Exhibit COS 2.3 (TNT-3)
Docket No. 11-035-200
Witness: Neal Townsend
Page 1 of 1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zoomScaleNormal="100" workbookViewId="0">
      <selection activeCell="M66" sqref="M66"/>
    </sheetView>
  </sheetViews>
  <sheetFormatPr defaultRowHeight="15"/>
  <cols>
    <col min="1" max="1" width="5.28515625" style="41" customWidth="1"/>
    <col min="2" max="2" width="1.85546875" style="41" customWidth="1"/>
    <col min="3" max="3" width="40.7109375" style="41" customWidth="1"/>
    <col min="4" max="4" width="1.7109375" style="60" customWidth="1"/>
    <col min="5" max="5" width="8.5703125" style="41" bestFit="1" customWidth="1"/>
    <col min="6" max="6" width="1.7109375" style="60" customWidth="1"/>
    <col min="7" max="7" width="14" style="60" bestFit="1" customWidth="1"/>
    <col min="8" max="8" width="1.7109375" style="60" customWidth="1"/>
    <col min="9" max="9" width="17.7109375" style="60" bestFit="1" customWidth="1"/>
    <col min="10" max="10" width="1.7109375" style="60" customWidth="1"/>
    <col min="11" max="11" width="17.140625" style="60" customWidth="1"/>
    <col min="12" max="12" width="1.7109375" style="60" customWidth="1"/>
    <col min="13" max="13" width="15.5703125" style="60" bestFit="1" customWidth="1"/>
    <col min="14" max="14" width="1.7109375" style="60" customWidth="1"/>
    <col min="15" max="15" width="12.7109375" style="106" customWidth="1"/>
    <col min="16" max="16" width="1.7109375" style="60" customWidth="1"/>
    <col min="17" max="17" width="7.85546875" style="107" bestFit="1" customWidth="1"/>
    <col min="18" max="18" width="3.28515625" style="41" customWidth="1"/>
    <col min="19" max="19" width="22.140625" style="41" customWidth="1"/>
    <col min="20" max="20" width="9.140625" style="41"/>
    <col min="21" max="21" width="15.42578125" style="41" bestFit="1" customWidth="1"/>
    <col min="22" max="16384" width="9.140625" style="41"/>
  </cols>
  <sheetData>
    <row r="1" spans="1:17" ht="26.25">
      <c r="A1" s="197" t="s">
        <v>177</v>
      </c>
      <c r="B1" s="197"/>
      <c r="C1" s="197"/>
      <c r="D1" s="198"/>
      <c r="E1" s="197"/>
      <c r="F1" s="198"/>
      <c r="G1" s="198"/>
      <c r="H1" s="198"/>
      <c r="I1" s="199"/>
      <c r="J1" s="198"/>
      <c r="K1" s="199"/>
      <c r="L1" s="198"/>
      <c r="M1" s="199"/>
      <c r="N1" s="198"/>
      <c r="O1" s="200"/>
      <c r="P1" s="198"/>
      <c r="Q1" s="201"/>
    </row>
    <row r="2" spans="1:17" s="133" customFormat="1" ht="26.25">
      <c r="A2" s="197" t="s">
        <v>178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</row>
    <row r="3" spans="1:17" s="133" customFormat="1" ht="26.25">
      <c r="A3" s="197" t="s">
        <v>179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</row>
    <row r="4" spans="1:17" s="133" customFormat="1">
      <c r="A4" s="38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7" s="133" customFormat="1">
      <c r="A5" s="38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7">
      <c r="A6" s="38"/>
      <c r="B6" s="132"/>
      <c r="C6" s="132"/>
      <c r="D6" s="132"/>
      <c r="E6" s="132"/>
      <c r="F6" s="132"/>
      <c r="G6" s="132"/>
      <c r="H6" s="132"/>
      <c r="I6" s="132"/>
      <c r="J6" s="40"/>
      <c r="K6" s="42"/>
      <c r="L6" s="42"/>
      <c r="M6" s="42"/>
      <c r="N6" s="42"/>
      <c r="O6" s="42"/>
      <c r="P6" s="42"/>
      <c r="Q6" s="42"/>
    </row>
    <row r="7" spans="1:17">
      <c r="A7" s="38"/>
      <c r="B7" s="38"/>
      <c r="C7" s="38"/>
      <c r="D7" s="39"/>
      <c r="E7" s="38"/>
      <c r="F7" s="39"/>
      <c r="G7" s="39"/>
      <c r="H7" s="39"/>
      <c r="I7" s="40"/>
      <c r="J7" s="39"/>
      <c r="K7" s="40"/>
      <c r="L7" s="39"/>
      <c r="M7" s="40"/>
      <c r="N7" s="39"/>
      <c r="O7" s="99"/>
      <c r="P7" s="39"/>
      <c r="Q7" s="100"/>
    </row>
    <row r="8" spans="1:17" ht="12" customHeight="1">
      <c r="A8" s="38"/>
      <c r="B8" s="38"/>
      <c r="C8" s="38"/>
      <c r="D8" s="39"/>
      <c r="E8" s="38"/>
      <c r="F8" s="39"/>
      <c r="G8" s="39"/>
      <c r="H8" s="39"/>
      <c r="I8" s="40"/>
      <c r="J8" s="39"/>
      <c r="K8" s="40"/>
      <c r="L8" s="39"/>
      <c r="M8" s="40"/>
      <c r="N8" s="39"/>
      <c r="O8" s="99"/>
      <c r="P8" s="39"/>
      <c r="Q8" s="100"/>
    </row>
    <row r="9" spans="1:17">
      <c r="D9" s="45"/>
      <c r="E9" s="44"/>
      <c r="F9" s="45"/>
      <c r="G9" s="45"/>
      <c r="H9" s="45"/>
      <c r="I9" s="46" t="s">
        <v>88</v>
      </c>
      <c r="J9" s="45"/>
      <c r="K9" s="46" t="s">
        <v>89</v>
      </c>
      <c r="L9" s="47"/>
      <c r="M9" s="47"/>
      <c r="N9" s="47"/>
      <c r="O9" s="47"/>
      <c r="P9" s="47"/>
      <c r="Q9" s="101"/>
    </row>
    <row r="10" spans="1:17" s="43" customFormat="1" ht="14.25">
      <c r="A10" s="43" t="s">
        <v>24</v>
      </c>
      <c r="D10" s="45"/>
      <c r="E10" s="44" t="s">
        <v>90</v>
      </c>
      <c r="F10" s="45"/>
      <c r="G10" s="45" t="s">
        <v>91</v>
      </c>
      <c r="H10" s="46"/>
      <c r="I10" s="45" t="s">
        <v>92</v>
      </c>
      <c r="J10" s="46"/>
      <c r="K10" s="46" t="s">
        <v>92</v>
      </c>
      <c r="L10" s="46"/>
      <c r="M10" s="47"/>
      <c r="N10" s="47"/>
      <c r="O10" s="102"/>
      <c r="P10" s="46"/>
      <c r="Q10" s="103" t="s">
        <v>93</v>
      </c>
    </row>
    <row r="11" spans="1:17" s="43" customFormat="1" ht="14.25">
      <c r="A11" s="43" t="s">
        <v>33</v>
      </c>
      <c r="C11" s="44" t="s">
        <v>26</v>
      </c>
      <c r="E11" s="51" t="s">
        <v>33</v>
      </c>
      <c r="G11" s="52" t="s">
        <v>94</v>
      </c>
      <c r="I11" s="53" t="s">
        <v>95</v>
      </c>
      <c r="K11" s="53" t="s">
        <v>95</v>
      </c>
      <c r="M11" s="52" t="s">
        <v>96</v>
      </c>
      <c r="O11" s="104" t="s">
        <v>97</v>
      </c>
      <c r="Q11" s="105" t="s">
        <v>98</v>
      </c>
    </row>
    <row r="12" spans="1:17" s="43" customFormat="1" ht="14.25">
      <c r="C12" s="55" t="s">
        <v>159</v>
      </c>
      <c r="D12" s="56"/>
      <c r="E12" s="55" t="s">
        <v>160</v>
      </c>
      <c r="F12" s="56"/>
      <c r="G12" s="55" t="s">
        <v>161</v>
      </c>
      <c r="H12" s="56"/>
      <c r="I12" s="55" t="s">
        <v>162</v>
      </c>
      <c r="J12" s="56"/>
      <c r="K12" s="55" t="s">
        <v>163</v>
      </c>
      <c r="L12" s="56"/>
      <c r="M12" s="55" t="s">
        <v>164</v>
      </c>
      <c r="N12" s="56"/>
      <c r="O12" s="55" t="s">
        <v>165</v>
      </c>
      <c r="P12" s="56"/>
      <c r="Q12" s="55" t="s">
        <v>166</v>
      </c>
    </row>
    <row r="13" spans="1:17" s="43" customFormat="1" ht="14.25">
      <c r="D13" s="57"/>
      <c r="F13" s="57"/>
      <c r="G13" s="57"/>
      <c r="H13" s="57"/>
      <c r="I13" s="57"/>
      <c r="J13" s="57"/>
      <c r="K13" s="57"/>
      <c r="L13" s="57"/>
      <c r="M13" s="45" t="s">
        <v>186</v>
      </c>
      <c r="N13" s="57"/>
      <c r="O13" s="45" t="s">
        <v>187</v>
      </c>
      <c r="P13" s="57"/>
      <c r="Q13" s="45" t="s">
        <v>188</v>
      </c>
    </row>
    <row r="14" spans="1:17" ht="18.75" customHeight="1">
      <c r="C14" s="43" t="s">
        <v>41</v>
      </c>
      <c r="K14" s="62"/>
      <c r="M14" s="182"/>
      <c r="O14" s="177"/>
    </row>
    <row r="15" spans="1:17">
      <c r="A15" s="41">
        <v>1</v>
      </c>
      <c r="C15" s="41" t="s">
        <v>41</v>
      </c>
      <c r="E15" s="64" t="s">
        <v>99</v>
      </c>
      <c r="G15" s="65">
        <v>6618984.2947154995</v>
      </c>
      <c r="I15" s="134">
        <v>649669.90700000001</v>
      </c>
      <c r="J15" s="66"/>
      <c r="K15" s="135">
        <f>I15+M15</f>
        <v>719908.82900000003</v>
      </c>
      <c r="L15" s="66"/>
      <c r="M15" s="183">
        <f>ROUND(I15*O15,3)</f>
        <v>70238.922000000006</v>
      </c>
      <c r="O15" s="178">
        <f>$M$58</f>
        <v>0.10811478438329104</v>
      </c>
      <c r="Q15" s="107">
        <f>ROUND(100*K15/G15,2)</f>
        <v>10.88</v>
      </c>
    </row>
    <row r="16" spans="1:17">
      <c r="A16" s="41">
        <f>MAX(A$14:A15)+1</f>
        <v>2</v>
      </c>
      <c r="C16" s="41" t="s">
        <v>100</v>
      </c>
      <c r="E16" s="64">
        <v>2</v>
      </c>
      <c r="G16" s="65">
        <v>3259.9751844998164</v>
      </c>
      <c r="I16" s="134">
        <v>310.99200000000002</v>
      </c>
      <c r="J16" s="66"/>
      <c r="K16" s="135">
        <f>I16+M16</f>
        <v>344.61500000000001</v>
      </c>
      <c r="L16" s="66"/>
      <c r="M16" s="183">
        <f>ROUND(I16*O16,3)</f>
        <v>33.622999999999998</v>
      </c>
      <c r="O16" s="178">
        <f>$M$58</f>
        <v>0.10811478438329104</v>
      </c>
      <c r="Q16" s="107">
        <f>ROUND(100*K16/G16,2)</f>
        <v>10.57</v>
      </c>
    </row>
    <row r="17" spans="1:20">
      <c r="A17" s="41">
        <f>MAX(A$14:A16)+1</f>
        <v>3</v>
      </c>
      <c r="C17" s="41" t="s">
        <v>101</v>
      </c>
      <c r="E17" s="69" t="s">
        <v>102</v>
      </c>
      <c r="G17" s="70"/>
      <c r="I17" s="137">
        <v>36.561</v>
      </c>
      <c r="J17" s="66"/>
      <c r="K17" s="138">
        <f>I17+M17</f>
        <v>36.561</v>
      </c>
      <c r="L17" s="66"/>
      <c r="M17" s="184">
        <f>ROUND(I17*O17,3)</f>
        <v>0</v>
      </c>
      <c r="O17" s="179">
        <v>0</v>
      </c>
      <c r="Q17" s="108"/>
    </row>
    <row r="18" spans="1:20">
      <c r="A18" s="41">
        <f>MAX(A$14:A17)+1</f>
        <v>4</v>
      </c>
      <c r="C18" s="43" t="s">
        <v>103</v>
      </c>
      <c r="G18" s="65">
        <f>SUM(G15:G17)</f>
        <v>6622244.2698999997</v>
      </c>
      <c r="I18" s="134">
        <f>SUM(I15:I17)</f>
        <v>650017.46</v>
      </c>
      <c r="J18" s="66"/>
      <c r="K18" s="135">
        <f>SUM(K15:K17)</f>
        <v>720290.005</v>
      </c>
      <c r="L18" s="66"/>
      <c r="M18" s="183">
        <f>SUM(M15:M17)</f>
        <v>70272.545000000013</v>
      </c>
      <c r="O18" s="178">
        <f>M18/I18</f>
        <v>0.10810870372620456</v>
      </c>
      <c r="Q18" s="107">
        <f>ROUND(100*K18/G18,2)</f>
        <v>10.88</v>
      </c>
    </row>
    <row r="19" spans="1:20" ht="21.75" customHeight="1">
      <c r="C19" s="43" t="s">
        <v>104</v>
      </c>
      <c r="G19" s="65"/>
      <c r="I19" s="139"/>
      <c r="J19" s="66"/>
      <c r="K19" s="135"/>
      <c r="L19" s="66"/>
      <c r="M19" s="183"/>
      <c r="O19" s="178"/>
    </row>
    <row r="20" spans="1:20">
      <c r="A20" s="41">
        <f>MAX(A$14:A19)+1</f>
        <v>5</v>
      </c>
      <c r="C20" s="41" t="s">
        <v>105</v>
      </c>
      <c r="E20" s="73">
        <v>6</v>
      </c>
      <c r="G20" s="65">
        <v>5746434.2788172225</v>
      </c>
      <c r="I20" s="134">
        <v>443566.413</v>
      </c>
      <c r="J20" s="66"/>
      <c r="K20" s="135">
        <f>I20+M20</f>
        <v>482651.17200000002</v>
      </c>
      <c r="L20" s="66"/>
      <c r="M20" s="183">
        <f>ROUND(I20*O20,3)</f>
        <v>39084.758999999998</v>
      </c>
      <c r="O20" s="178">
        <f>M59</f>
        <v>8.8114784383291039E-2</v>
      </c>
      <c r="Q20" s="107">
        <f t="shared" ref="Q20:Q36" si="0">ROUND(100*K20/G20,2)</f>
        <v>8.4</v>
      </c>
    </row>
    <row r="21" spans="1:20">
      <c r="A21" s="41">
        <f>MAX(A$14:A20)+1</f>
        <v>6</v>
      </c>
      <c r="C21" s="41" t="s">
        <v>106</v>
      </c>
      <c r="E21" s="64" t="s">
        <v>107</v>
      </c>
      <c r="G21" s="65">
        <v>277735.08199999999</v>
      </c>
      <c r="I21" s="134">
        <v>29859.053</v>
      </c>
      <c r="J21" s="66"/>
      <c r="K21" s="135">
        <f>I21+M21</f>
        <v>32490.077000000001</v>
      </c>
      <c r="L21" s="66"/>
      <c r="M21" s="183">
        <f>ROUND(I21*O21,3)</f>
        <v>2631.0239999999999</v>
      </c>
      <c r="O21" s="178">
        <f>O20</f>
        <v>8.8114784383291039E-2</v>
      </c>
      <c r="Q21" s="107">
        <f t="shared" si="0"/>
        <v>11.7</v>
      </c>
    </row>
    <row r="22" spans="1:20">
      <c r="A22" s="41">
        <f>MAX(A$14:A21)+1</f>
        <v>7</v>
      </c>
      <c r="C22" s="41" t="s">
        <v>108</v>
      </c>
      <c r="E22" s="64" t="s">
        <v>109</v>
      </c>
      <c r="G22" s="74">
        <v>21133.17</v>
      </c>
      <c r="I22" s="137">
        <v>1657.327</v>
      </c>
      <c r="J22" s="66"/>
      <c r="K22" s="138">
        <f>I22+M22</f>
        <v>1803.3620000000001</v>
      </c>
      <c r="L22" s="66"/>
      <c r="M22" s="184">
        <f>ROUND(I22*O22,3)</f>
        <v>146.035</v>
      </c>
      <c r="O22" s="179">
        <f>O20</f>
        <v>8.8114784383291039E-2</v>
      </c>
      <c r="Q22" s="108">
        <f t="shared" si="0"/>
        <v>8.5299999999999994</v>
      </c>
    </row>
    <row r="23" spans="1:20">
      <c r="A23" s="41">
        <f>MAX(A$14:A22)+1</f>
        <v>8</v>
      </c>
      <c r="C23" s="75" t="s">
        <v>110</v>
      </c>
      <c r="G23" s="65">
        <f>SUM(G20:G22)</f>
        <v>6045302.5308172228</v>
      </c>
      <c r="I23" s="134">
        <f>SUM(I20:I22)</f>
        <v>475082.79300000001</v>
      </c>
      <c r="J23" s="66"/>
      <c r="K23" s="135">
        <f>SUM(K20:K22)</f>
        <v>516944.61100000003</v>
      </c>
      <c r="L23" s="66"/>
      <c r="M23" s="183">
        <f>SUM(M20:M22)</f>
        <v>41861.817999999999</v>
      </c>
      <c r="O23" s="178">
        <f>M23/I23</f>
        <v>8.8114784658176404E-2</v>
      </c>
      <c r="Q23" s="107">
        <f t="shared" si="0"/>
        <v>8.5500000000000007</v>
      </c>
    </row>
    <row r="24" spans="1:20" ht="23.1" customHeight="1">
      <c r="A24" s="41">
        <f>MAX(A$14:A23)+1</f>
        <v>9</v>
      </c>
      <c r="C24" s="41" t="s">
        <v>111</v>
      </c>
      <c r="E24" s="41">
        <v>8</v>
      </c>
      <c r="G24" s="65">
        <v>2076915.6910000001</v>
      </c>
      <c r="I24" s="134">
        <v>141558.614</v>
      </c>
      <c r="J24" s="66"/>
      <c r="K24" s="135">
        <f>I24+M24</f>
        <v>155447.60699999999</v>
      </c>
      <c r="L24" s="66"/>
      <c r="M24" s="183">
        <f>ROUND(I24*O24,3)</f>
        <v>13888.993</v>
      </c>
      <c r="O24" s="178">
        <f>M60</f>
        <v>9.8114784383291048E-2</v>
      </c>
      <c r="Q24" s="107">
        <f t="shared" si="0"/>
        <v>7.48</v>
      </c>
    </row>
    <row r="25" spans="1:20" ht="23.1" customHeight="1">
      <c r="A25" s="41">
        <f>MAX(A$14:A24)+1</f>
        <v>10</v>
      </c>
      <c r="C25" s="41" t="s">
        <v>112</v>
      </c>
      <c r="E25" s="41">
        <v>9</v>
      </c>
      <c r="G25" s="65">
        <v>4538067.2419739999</v>
      </c>
      <c r="I25" s="134">
        <v>226409.34400000001</v>
      </c>
      <c r="J25" s="66"/>
      <c r="K25" s="135">
        <f>I25+M25</f>
        <v>250887.54100000003</v>
      </c>
      <c r="L25" s="66"/>
      <c r="M25" s="183">
        <f>ROUND(I25*O25,3)</f>
        <v>24478.197</v>
      </c>
      <c r="O25" s="178">
        <f>M61</f>
        <v>0.10811478438329104</v>
      </c>
      <c r="Q25" s="107">
        <f t="shared" si="0"/>
        <v>5.53</v>
      </c>
    </row>
    <row r="26" spans="1:20">
      <c r="A26" s="41">
        <f>MAX(A$14:A25)+1</f>
        <v>11</v>
      </c>
      <c r="C26" s="41" t="s">
        <v>113</v>
      </c>
      <c r="E26" s="64" t="s">
        <v>114</v>
      </c>
      <c r="G26" s="74">
        <v>42717.705999999998</v>
      </c>
      <c r="I26" s="137">
        <v>2911.8290000000002</v>
      </c>
      <c r="J26" s="66"/>
      <c r="K26" s="138">
        <f>I26+M26</f>
        <v>3226.6410000000001</v>
      </c>
      <c r="L26" s="66"/>
      <c r="M26" s="184">
        <f>ROUND(I26*O26,3)</f>
        <v>314.81200000000001</v>
      </c>
      <c r="O26" s="179">
        <f>O25</f>
        <v>0.10811478438329104</v>
      </c>
      <c r="Q26" s="108">
        <f t="shared" si="0"/>
        <v>7.55</v>
      </c>
    </row>
    <row r="27" spans="1:20">
      <c r="A27" s="41">
        <f>MAX(A$14:A26)+1</f>
        <v>12</v>
      </c>
      <c r="C27" s="75" t="s">
        <v>115</v>
      </c>
      <c r="G27" s="65">
        <f>SUM(G25:G26)</f>
        <v>4580784.9479740001</v>
      </c>
      <c r="I27" s="134">
        <f>SUM(I25:I26)</f>
        <v>229321.17300000001</v>
      </c>
      <c r="J27" s="66"/>
      <c r="K27" s="135">
        <f>SUM(K25:K26)</f>
        <v>254114.18200000003</v>
      </c>
      <c r="L27" s="66"/>
      <c r="M27" s="183">
        <f>SUM(M25:M26)</f>
        <v>24793.009000000002</v>
      </c>
      <c r="O27" s="178">
        <f>M27/I27</f>
        <v>0.10811478362706614</v>
      </c>
      <c r="Q27" s="107">
        <f t="shared" si="0"/>
        <v>5.55</v>
      </c>
      <c r="T27" s="109"/>
    </row>
    <row r="28" spans="1:20" ht="21.75" customHeight="1">
      <c r="A28" s="41">
        <f>MAX(A$14:A27)+1</f>
        <v>13</v>
      </c>
      <c r="C28" s="41" t="s">
        <v>51</v>
      </c>
      <c r="E28" s="64">
        <v>10</v>
      </c>
      <c r="G28" s="65">
        <v>170955.53200000001</v>
      </c>
      <c r="I28" s="134">
        <v>11991.091</v>
      </c>
      <c r="J28" s="66"/>
      <c r="K28" s="135">
        <f>I28+M28</f>
        <v>13647.238000000001</v>
      </c>
      <c r="L28" s="66"/>
      <c r="M28" s="183">
        <f>ROUND(I28*O28,3)</f>
        <v>1656.1469999999999</v>
      </c>
      <c r="O28" s="178">
        <f>M62</f>
        <v>0.13811478438329106</v>
      </c>
      <c r="Q28" s="107">
        <f t="shared" si="0"/>
        <v>7.98</v>
      </c>
    </row>
    <row r="29" spans="1:20">
      <c r="A29" s="41">
        <f>MAX(A$14:A28)+1</f>
        <v>14</v>
      </c>
      <c r="C29" s="41" t="s">
        <v>116</v>
      </c>
      <c r="E29" s="64" t="s">
        <v>117</v>
      </c>
      <c r="G29" s="74">
        <v>16324.472</v>
      </c>
      <c r="I29" s="137">
        <v>1183.432</v>
      </c>
      <c r="J29" s="66"/>
      <c r="K29" s="138">
        <f>I29+M29</f>
        <v>1346.8810000000001</v>
      </c>
      <c r="L29" s="66"/>
      <c r="M29" s="184">
        <f>ROUND(I29*O29,3)</f>
        <v>163.44900000000001</v>
      </c>
      <c r="O29" s="179">
        <f>O28</f>
        <v>0.13811478438329106</v>
      </c>
      <c r="Q29" s="108">
        <f t="shared" si="0"/>
        <v>8.25</v>
      </c>
    </row>
    <row r="30" spans="1:20">
      <c r="A30" s="41">
        <f>MAX(A$14:A29)+1</f>
        <v>15</v>
      </c>
      <c r="C30" s="75" t="s">
        <v>118</v>
      </c>
      <c r="G30" s="65">
        <f>SUM(G28:G29)</f>
        <v>187280.00400000002</v>
      </c>
      <c r="I30" s="134">
        <f>SUM(I28:I29)</f>
        <v>13174.523000000001</v>
      </c>
      <c r="J30" s="66"/>
      <c r="K30" s="135">
        <f>SUM(K28:K29)</f>
        <v>14994.119000000001</v>
      </c>
      <c r="L30" s="66"/>
      <c r="M30" s="183">
        <f>SUM(M28:M29)</f>
        <v>1819.596</v>
      </c>
      <c r="O30" s="178">
        <f>M30/I30</f>
        <v>0.13811475375617013</v>
      </c>
      <c r="Q30" s="107">
        <f t="shared" si="0"/>
        <v>8.01</v>
      </c>
    </row>
    <row r="31" spans="1:20" ht="21.75" customHeight="1">
      <c r="A31" s="41">
        <f>MAX(A$14:A30)+1</f>
        <v>16</v>
      </c>
      <c r="C31" s="41" t="s">
        <v>119</v>
      </c>
      <c r="E31" s="41">
        <v>21</v>
      </c>
      <c r="G31" s="65">
        <v>3287.9389999999999</v>
      </c>
      <c r="I31" s="134">
        <v>342.79199999999997</v>
      </c>
      <c r="J31" s="66"/>
      <c r="K31" s="140">
        <f t="shared" ref="K31:K37" si="1">I31+M31</f>
        <v>379.85299999999995</v>
      </c>
      <c r="L31" s="66"/>
      <c r="M31" s="183">
        <f t="shared" ref="M31:M37" si="2">ROUND(I31*O31,3)</f>
        <v>37.061</v>
      </c>
      <c r="O31" s="178">
        <f>M61</f>
        <v>0.10811478438329104</v>
      </c>
      <c r="Q31" s="107">
        <f t="shared" si="0"/>
        <v>11.55</v>
      </c>
    </row>
    <row r="32" spans="1:20">
      <c r="A32" s="41">
        <f>MAX(A$14:A31)+1</f>
        <v>17</v>
      </c>
      <c r="C32" s="41" t="s">
        <v>120</v>
      </c>
      <c r="E32" s="73">
        <v>23</v>
      </c>
      <c r="G32" s="65">
        <v>1419326.149632778</v>
      </c>
      <c r="I32" s="134">
        <v>129897.91099999999</v>
      </c>
      <c r="J32" s="66"/>
      <c r="K32" s="140">
        <f t="shared" si="1"/>
        <v>141343.837</v>
      </c>
      <c r="L32" s="66"/>
      <c r="M32" s="183">
        <f t="shared" si="2"/>
        <v>11445.925999999999</v>
      </c>
      <c r="O32" s="178">
        <f>M59</f>
        <v>8.8114784383291039E-2</v>
      </c>
      <c r="Q32" s="107">
        <f t="shared" si="0"/>
        <v>9.9600000000000009</v>
      </c>
    </row>
    <row r="33" spans="1:17">
      <c r="A33" s="41">
        <f>MAX(A$14:A32)+1</f>
        <v>18</v>
      </c>
      <c r="C33" s="41" t="s">
        <v>121</v>
      </c>
      <c r="E33" s="41">
        <v>31</v>
      </c>
      <c r="G33" s="65">
        <v>59778.839026000001</v>
      </c>
      <c r="I33" s="134">
        <v>4870.0309999999999</v>
      </c>
      <c r="J33" s="66"/>
      <c r="K33" s="140">
        <f t="shared" si="1"/>
        <v>5396.5529999999999</v>
      </c>
      <c r="L33" s="66"/>
      <c r="M33" s="183">
        <f>ROUND(I33*O33,3)</f>
        <v>526.52200000000005</v>
      </c>
      <c r="O33" s="178">
        <f>M61</f>
        <v>0.10811478438329104</v>
      </c>
      <c r="Q33" s="107">
        <f t="shared" si="0"/>
        <v>9.0299999999999994</v>
      </c>
    </row>
    <row r="34" spans="1:17">
      <c r="A34" s="41">
        <f>MAX(A$14:A33)+1</f>
        <v>19</v>
      </c>
      <c r="C34" s="41" t="s">
        <v>122</v>
      </c>
      <c r="E34" s="64" t="s">
        <v>102</v>
      </c>
      <c r="G34" s="65">
        <v>543970.59100000001</v>
      </c>
      <c r="I34" s="134">
        <v>24224.835012471453</v>
      </c>
      <c r="J34" s="66"/>
      <c r="K34" s="140">
        <f t="shared" si="1"/>
        <v>24758.813916697174</v>
      </c>
      <c r="L34" s="66"/>
      <c r="M34" s="183">
        <v>533.97890422572311</v>
      </c>
      <c r="O34" s="178">
        <f>M34/I34</f>
        <v>2.2042622950819667E-2</v>
      </c>
      <c r="Q34" s="107">
        <f t="shared" si="0"/>
        <v>4.55</v>
      </c>
    </row>
    <row r="35" spans="1:17">
      <c r="A35" s="41">
        <f>MAX(A$14:A34)+1</f>
        <v>20</v>
      </c>
      <c r="C35" s="41" t="s">
        <v>123</v>
      </c>
      <c r="E35" s="64" t="s">
        <v>102</v>
      </c>
      <c r="G35" s="65">
        <v>717800.15174999996</v>
      </c>
      <c r="I35" s="134">
        <v>26946.217696695003</v>
      </c>
      <c r="J35" s="66"/>
      <c r="K35" s="110">
        <v>27591.567172725448</v>
      </c>
      <c r="L35" s="66"/>
      <c r="M35" s="183">
        <f>K35-I35</f>
        <v>645.34947603044566</v>
      </c>
      <c r="O35" s="178">
        <f>M35/I35</f>
        <v>2.3949538421104598E-2</v>
      </c>
      <c r="Q35" s="107">
        <f t="shared" si="0"/>
        <v>3.84</v>
      </c>
    </row>
    <row r="36" spans="1:17">
      <c r="A36" s="41">
        <f>MAX(A$14:A35)+1</f>
        <v>21</v>
      </c>
      <c r="C36" s="41" t="s">
        <v>124</v>
      </c>
      <c r="E36" s="64" t="s">
        <v>102</v>
      </c>
      <c r="G36" s="65">
        <v>1371599.1</v>
      </c>
      <c r="I36" s="134">
        <v>59055.879000000001</v>
      </c>
      <c r="J36" s="66"/>
      <c r="K36" s="140">
        <f t="shared" si="1"/>
        <v>65440.692999999999</v>
      </c>
      <c r="L36" s="66"/>
      <c r="M36" s="134">
        <f>ROUND(I36*O36,3)</f>
        <v>6384.8140000000003</v>
      </c>
      <c r="O36" s="178">
        <f>M61</f>
        <v>0.10811478438329104</v>
      </c>
      <c r="Q36" s="107">
        <f t="shared" si="0"/>
        <v>4.7699999999999996</v>
      </c>
    </row>
    <row r="37" spans="1:17">
      <c r="A37" s="41">
        <f>MAX(A$14:A36)+1</f>
        <v>22</v>
      </c>
      <c r="C37" s="41" t="s">
        <v>101</v>
      </c>
      <c r="E37" s="69" t="s">
        <v>102</v>
      </c>
      <c r="G37" s="70" t="s">
        <v>102</v>
      </c>
      <c r="I37" s="137">
        <v>4490.4250999999995</v>
      </c>
      <c r="J37" s="66"/>
      <c r="K37" s="141">
        <f t="shared" si="1"/>
        <v>4490.4250999999995</v>
      </c>
      <c r="L37" s="66"/>
      <c r="M37" s="142">
        <f t="shared" si="2"/>
        <v>0</v>
      </c>
      <c r="O37" s="179">
        <v>0</v>
      </c>
      <c r="Q37" s="108"/>
    </row>
    <row r="38" spans="1:17" ht="19.5" customHeight="1">
      <c r="A38" s="41">
        <f>MAX(A$14:A37)+1</f>
        <v>23</v>
      </c>
      <c r="C38" s="43" t="s">
        <v>125</v>
      </c>
      <c r="G38" s="65">
        <f>SUM(G20:G22,G24:G26,G28:G29,G31:G37)</f>
        <v>17006045.944200002</v>
      </c>
      <c r="I38" s="134">
        <f>SUM(I20:I22,I24:I26,I28:I29,I31:I37)</f>
        <v>1108965.1938091666</v>
      </c>
      <c r="J38" s="66"/>
      <c r="K38" s="140">
        <f>SUM(K20:K22,K24:K26,K28:K29,K31:K37)</f>
        <v>1210902.2611894228</v>
      </c>
      <c r="L38" s="66"/>
      <c r="M38" s="134">
        <f>SUM(M20:M22,M24:M26,M28:M29,M31:M37)</f>
        <v>101937.06738025615</v>
      </c>
      <c r="O38" s="178">
        <f>M38/I38</f>
        <v>9.1920889807293391E-2</v>
      </c>
      <c r="Q38" s="107">
        <f>ROUND(100*K38/G38,2)</f>
        <v>7.12</v>
      </c>
    </row>
    <row r="39" spans="1:17" ht="30.75" customHeight="1">
      <c r="A39" s="41">
        <f>MAX(A$14:A38)+1</f>
        <v>24</v>
      </c>
      <c r="C39" s="77" t="s">
        <v>126</v>
      </c>
      <c r="G39" s="65">
        <f>G38-SUM(G34:G35,G37)</f>
        <v>15744275.201450001</v>
      </c>
      <c r="I39" s="134">
        <f>I38-SUM(I34:I35,I37)</f>
        <v>1053303.716</v>
      </c>
      <c r="J39" s="66"/>
      <c r="K39" s="140">
        <f>K38-SUM(K34:K35,K37)</f>
        <v>1154061.4550000001</v>
      </c>
      <c r="L39" s="66"/>
      <c r="M39" s="134">
        <f>M38-SUM(M17,M34:M35,M37)</f>
        <v>100757.73899999999</v>
      </c>
      <c r="O39" s="178">
        <f>M39/I39</f>
        <v>9.5658771035798743E-2</v>
      </c>
      <c r="Q39" s="107">
        <f>ROUND(100*K39/G39,2)</f>
        <v>7.33</v>
      </c>
    </row>
    <row r="40" spans="1:17" ht="21.75" customHeight="1">
      <c r="C40" s="43" t="s">
        <v>127</v>
      </c>
      <c r="G40" s="65"/>
      <c r="I40" s="134"/>
      <c r="J40" s="66"/>
      <c r="K40" s="135"/>
      <c r="L40" s="66"/>
      <c r="M40" s="134"/>
      <c r="O40" s="178"/>
    </row>
    <row r="41" spans="1:17">
      <c r="A41" s="41">
        <f>MAX(A$14:A40)+1</f>
        <v>25</v>
      </c>
      <c r="C41" s="41" t="s">
        <v>128</v>
      </c>
      <c r="E41" s="41">
        <v>7</v>
      </c>
      <c r="G41" s="65">
        <v>12321.574480000001</v>
      </c>
      <c r="I41" s="134">
        <v>2964.7280000000001</v>
      </c>
      <c r="J41" s="66"/>
      <c r="K41" s="135">
        <f t="shared" ref="K41:K49" si="3">I41+M41</f>
        <v>2964.7280000000001</v>
      </c>
      <c r="L41" s="66"/>
      <c r="M41" s="134">
        <f>ROUND(I41*O41,3)</f>
        <v>0</v>
      </c>
      <c r="O41" s="178">
        <f>M63</f>
        <v>0</v>
      </c>
      <c r="Q41" s="107">
        <f t="shared" ref="Q41:Q48" si="4">ROUND(100*K41/G41,2)</f>
        <v>24.06</v>
      </c>
    </row>
    <row r="42" spans="1:17">
      <c r="A42" s="41">
        <f>MAX(A$14:A41)+1</f>
        <v>26</v>
      </c>
      <c r="C42" s="41" t="s">
        <v>129</v>
      </c>
      <c r="E42" s="41">
        <v>11</v>
      </c>
      <c r="G42" s="65">
        <v>17077.687000000002</v>
      </c>
      <c r="I42" s="134">
        <v>5089.2430000000004</v>
      </c>
      <c r="J42" s="66"/>
      <c r="K42" s="135">
        <f t="shared" si="3"/>
        <v>5089.2430000000004</v>
      </c>
      <c r="L42" s="66"/>
      <c r="M42" s="134">
        <f>ROUND(I42*O42,3)</f>
        <v>0</v>
      </c>
      <c r="O42" s="178">
        <f>O41</f>
        <v>0</v>
      </c>
      <c r="Q42" s="107">
        <f t="shared" si="4"/>
        <v>29.8</v>
      </c>
    </row>
    <row r="43" spans="1:17">
      <c r="A43" s="41">
        <f>MAX(A$14:A42)+1</f>
        <v>27</v>
      </c>
      <c r="C43" s="41" t="s">
        <v>130</v>
      </c>
      <c r="E43" s="41">
        <v>12</v>
      </c>
      <c r="G43" s="78">
        <v>55429.428999999996</v>
      </c>
      <c r="I43" s="134">
        <v>4058.8130000000001</v>
      </c>
      <c r="J43" s="66"/>
      <c r="K43" s="135">
        <f t="shared" si="3"/>
        <v>4058.8130000000001</v>
      </c>
      <c r="L43" s="66"/>
      <c r="M43" s="134">
        <f>ROUND(I43*O43,3)</f>
        <v>0</v>
      </c>
      <c r="O43" s="178">
        <f>O41</f>
        <v>0</v>
      </c>
      <c r="Q43" s="107">
        <f t="shared" si="4"/>
        <v>7.32</v>
      </c>
    </row>
    <row r="44" spans="1:17">
      <c r="A44" s="79">
        <f>MAX(A$14:A43)+1</f>
        <v>28</v>
      </c>
      <c r="B44" s="79"/>
      <c r="C44" s="79" t="s">
        <v>131</v>
      </c>
      <c r="D44" s="80"/>
      <c r="E44" s="79">
        <v>15</v>
      </c>
      <c r="F44" s="80"/>
      <c r="G44" s="81">
        <v>15717.486000000001</v>
      </c>
      <c r="H44" s="80"/>
      <c r="I44" s="143">
        <v>1144.626</v>
      </c>
      <c r="J44" s="82"/>
      <c r="K44" s="144">
        <f t="shared" si="3"/>
        <v>1144.626</v>
      </c>
      <c r="L44" s="82"/>
      <c r="M44" s="143">
        <f>ROUND(I44*O44,3)</f>
        <v>0</v>
      </c>
      <c r="N44" s="80"/>
      <c r="O44" s="180">
        <f>O41</f>
        <v>0</v>
      </c>
      <c r="P44" s="80"/>
      <c r="Q44" s="111">
        <f t="shared" si="4"/>
        <v>7.28</v>
      </c>
    </row>
    <row r="45" spans="1:17">
      <c r="A45" s="41">
        <f>MAX(A$14:A44)+1</f>
        <v>29</v>
      </c>
      <c r="C45" s="41" t="s">
        <v>132</v>
      </c>
      <c r="E45" s="41">
        <v>15</v>
      </c>
      <c r="G45" s="74">
        <v>5662.7629999999999</v>
      </c>
      <c r="I45" s="137">
        <v>584.89400000000001</v>
      </c>
      <c r="J45" s="66"/>
      <c r="K45" s="138">
        <f>I45+M45</f>
        <v>642.28099999999995</v>
      </c>
      <c r="L45" s="66"/>
      <c r="M45" s="137">
        <f>ROUND(I45*O45,3)</f>
        <v>57.387</v>
      </c>
      <c r="O45" s="179">
        <f>M60</f>
        <v>9.8114784383291048E-2</v>
      </c>
      <c r="Q45" s="108">
        <f>ROUND(100*K45/G45,2)</f>
        <v>11.34</v>
      </c>
    </row>
    <row r="46" spans="1:17">
      <c r="A46" s="41">
        <f>MAX(A$14:A45)+1</f>
        <v>30</v>
      </c>
      <c r="C46" s="75" t="s">
        <v>133</v>
      </c>
      <c r="D46" s="145"/>
      <c r="F46" s="145"/>
      <c r="G46" s="65">
        <f>SUM(G41:G45)</f>
        <v>106208.93948</v>
      </c>
      <c r="H46" s="145"/>
      <c r="I46" s="134">
        <f>SUM(I41:I45)</f>
        <v>13842.304</v>
      </c>
      <c r="J46" s="134"/>
      <c r="K46" s="135">
        <f>SUM(K41:L45)</f>
        <v>13899.690999999999</v>
      </c>
      <c r="L46" s="134"/>
      <c r="M46" s="134">
        <f>SUM(M41:N45)</f>
        <v>57.387</v>
      </c>
      <c r="N46" s="145"/>
      <c r="O46" s="178">
        <f>M46/I46</f>
        <v>4.1457693748092805E-3</v>
      </c>
      <c r="P46" s="145"/>
      <c r="Q46" s="107">
        <f t="shared" si="4"/>
        <v>13.09</v>
      </c>
    </row>
    <row r="47" spans="1:17" ht="23.1" customHeight="1">
      <c r="A47" s="41">
        <f>MAX(A$14:A46)+1</f>
        <v>31</v>
      </c>
      <c r="C47" s="41" t="s">
        <v>134</v>
      </c>
      <c r="E47" s="64" t="s">
        <v>102</v>
      </c>
      <c r="G47" s="65">
        <v>7.9721299999999999</v>
      </c>
      <c r="I47" s="134">
        <v>0.60099999999999998</v>
      </c>
      <c r="J47" s="66"/>
      <c r="K47" s="135">
        <f t="shared" si="3"/>
        <v>0.60099999999999998</v>
      </c>
      <c r="L47" s="66"/>
      <c r="M47" s="134">
        <f>ROUND(I47*O47,3)</f>
        <v>0</v>
      </c>
      <c r="O47" s="178">
        <v>0</v>
      </c>
      <c r="Q47" s="107">
        <f t="shared" si="4"/>
        <v>7.54</v>
      </c>
    </row>
    <row r="48" spans="1:17">
      <c r="A48" s="41">
        <f>MAX(A$14:A47)+1</f>
        <v>32</v>
      </c>
      <c r="C48" s="41" t="s">
        <v>135</v>
      </c>
      <c r="E48" s="64" t="s">
        <v>102</v>
      </c>
      <c r="G48" s="65">
        <v>135.42099999999999</v>
      </c>
      <c r="I48" s="134">
        <v>17.277000000000001</v>
      </c>
      <c r="J48" s="66"/>
      <c r="K48" s="135">
        <f t="shared" si="3"/>
        <v>17.277000000000001</v>
      </c>
      <c r="L48" s="66"/>
      <c r="M48" s="134">
        <f>ROUND(I48*O48,3)</f>
        <v>0</v>
      </c>
      <c r="O48" s="178">
        <v>0</v>
      </c>
      <c r="Q48" s="107">
        <f t="shared" si="4"/>
        <v>12.76</v>
      </c>
    </row>
    <row r="49" spans="1:21">
      <c r="A49" s="41">
        <f>MAX(A$14:A48)+1</f>
        <v>33</v>
      </c>
      <c r="C49" s="41" t="s">
        <v>101</v>
      </c>
      <c r="D49" s="83"/>
      <c r="E49" s="69" t="s">
        <v>102</v>
      </c>
      <c r="F49" s="83"/>
      <c r="G49" s="84" t="s">
        <v>102</v>
      </c>
      <c r="H49" s="83"/>
      <c r="I49" s="137">
        <v>4.6616400000000002</v>
      </c>
      <c r="J49" s="66"/>
      <c r="K49" s="138">
        <f t="shared" si="3"/>
        <v>4.6616400000000002</v>
      </c>
      <c r="L49" s="66"/>
      <c r="M49" s="142">
        <f>ROUND(I49*O49,3)</f>
        <v>0</v>
      </c>
      <c r="N49" s="83"/>
      <c r="O49" s="179">
        <v>0</v>
      </c>
      <c r="P49" s="83"/>
      <c r="Q49" s="108"/>
    </row>
    <row r="50" spans="1:21">
      <c r="A50" s="41">
        <f>MAX(A$14:A49)+1</f>
        <v>34</v>
      </c>
      <c r="C50" s="43" t="s">
        <v>136</v>
      </c>
      <c r="E50" s="79"/>
      <c r="G50" s="74">
        <f>SUM(G47:G49)+G46</f>
        <v>106352.33261</v>
      </c>
      <c r="I50" s="137">
        <f>SUM(I47:I49)+I46</f>
        <v>13864.843640000001</v>
      </c>
      <c r="J50" s="66"/>
      <c r="K50" s="71">
        <f>SUM(K46:K49)</f>
        <v>13922.23064</v>
      </c>
      <c r="L50" s="66"/>
      <c r="M50" s="85">
        <f>SUM(M46:M49)</f>
        <v>57.387</v>
      </c>
      <c r="O50" s="179">
        <f>M50/I50</f>
        <v>4.1390297279977114E-3</v>
      </c>
      <c r="Q50" s="108">
        <f>ROUND(100*K50/G50,2)</f>
        <v>13.09</v>
      </c>
    </row>
    <row r="51" spans="1:21" ht="21.75" customHeight="1" thickBot="1">
      <c r="A51" s="41">
        <f>MAX(A$14:A50)+1</f>
        <v>35</v>
      </c>
      <c r="C51" s="43" t="s">
        <v>137</v>
      </c>
      <c r="E51" s="79"/>
      <c r="G51" s="89">
        <f>G50+G38+G18</f>
        <v>23734642.546709999</v>
      </c>
      <c r="I51" s="146">
        <f>I50+I38+I18</f>
        <v>1772847.4974491666</v>
      </c>
      <c r="J51" s="66"/>
      <c r="K51" s="147">
        <f>K50+K38+K18</f>
        <v>1945114.4968294227</v>
      </c>
      <c r="L51" s="66"/>
      <c r="M51" s="146">
        <f>M50+M38+M18</f>
        <v>172266.99938025617</v>
      </c>
      <c r="O51" s="181">
        <f>M51/I51</f>
        <v>9.7169666103892063E-2</v>
      </c>
      <c r="Q51" s="112">
        <f>ROUND(100*K51/G51,2)</f>
        <v>8.1999999999999993</v>
      </c>
    </row>
    <row r="52" spans="1:21" ht="33.75" customHeight="1" thickTop="1" thickBot="1">
      <c r="A52" s="41">
        <f>MAX(A$14:A51)+1</f>
        <v>36</v>
      </c>
      <c r="C52" s="93" t="s">
        <v>138</v>
      </c>
      <c r="E52" s="79"/>
      <c r="G52" s="89">
        <f>G46+G39+G18-G17</f>
        <v>22472728.410829999</v>
      </c>
      <c r="I52" s="146">
        <f>I46+I39+I18-I17</f>
        <v>1717126.919</v>
      </c>
      <c r="J52" s="66"/>
      <c r="K52" s="147">
        <f>K46+K39+K18-K17</f>
        <v>1888214.59</v>
      </c>
      <c r="L52" s="66"/>
      <c r="M52" s="146">
        <f>M46+M39+M18-M17</f>
        <v>171087.671</v>
      </c>
      <c r="O52" s="181">
        <f>M52/I52</f>
        <v>9.9636007744631952E-2</v>
      </c>
      <c r="Q52" s="112">
        <f>ROUND(100*K52/G52,2)</f>
        <v>8.4</v>
      </c>
    </row>
    <row r="53" spans="1:21" ht="15.75" thickTop="1">
      <c r="C53" s="43"/>
      <c r="E53" s="79"/>
      <c r="O53" s="177"/>
    </row>
    <row r="54" spans="1:21">
      <c r="G54" s="80"/>
      <c r="H54" s="80"/>
      <c r="I54" s="113"/>
      <c r="J54" s="114"/>
      <c r="K54" s="115" t="s">
        <v>139</v>
      </c>
      <c r="L54" s="114"/>
      <c r="M54" s="148">
        <v>172267.33900000012</v>
      </c>
      <c r="N54" s="114"/>
      <c r="O54" s="116"/>
    </row>
    <row r="55" spans="1:21">
      <c r="G55" s="80"/>
      <c r="H55" s="80"/>
      <c r="I55" s="117"/>
      <c r="J55" s="80"/>
      <c r="K55" s="97" t="s">
        <v>140</v>
      </c>
      <c r="L55" s="80"/>
      <c r="M55" s="118">
        <f>M54/I51</f>
        <v>9.7169857671268539E-2</v>
      </c>
      <c r="N55" s="80"/>
      <c r="O55" s="119"/>
      <c r="U55" s="120"/>
    </row>
    <row r="56" spans="1:21">
      <c r="G56" s="80"/>
      <c r="H56" s="80"/>
      <c r="I56" s="117"/>
      <c r="J56" s="80"/>
      <c r="K56" s="97" t="s">
        <v>141</v>
      </c>
      <c r="L56" s="80"/>
      <c r="M56" s="118">
        <f>M54/I52</f>
        <v>0.10032300879676566</v>
      </c>
      <c r="N56" s="80"/>
      <c r="O56" s="119"/>
    </row>
    <row r="57" spans="1:21">
      <c r="G57" s="80"/>
      <c r="H57" s="80"/>
      <c r="I57" s="117"/>
      <c r="J57" s="80"/>
      <c r="K57" s="97" t="s">
        <v>142</v>
      </c>
      <c r="L57" s="80"/>
      <c r="M57" s="118">
        <f>M54/(I52-(I46-I45))</f>
        <v>0.10110359865592272</v>
      </c>
      <c r="N57" s="80"/>
      <c r="O57" s="124" t="s">
        <v>143</v>
      </c>
    </row>
    <row r="58" spans="1:21">
      <c r="G58" s="80"/>
      <c r="H58" s="80"/>
      <c r="I58" s="117"/>
      <c r="J58" s="80"/>
      <c r="K58" s="98" t="s">
        <v>144</v>
      </c>
      <c r="L58" s="80"/>
      <c r="M58" s="131">
        <f>'UAE Exhibit COS 2.4 TNT-4'!$M$57+O58</f>
        <v>0.10811478438329104</v>
      </c>
      <c r="N58" s="80"/>
      <c r="O58" s="173">
        <v>7.0111857273683249E-3</v>
      </c>
    </row>
    <row r="59" spans="1:21">
      <c r="G59" s="80"/>
      <c r="H59" s="80"/>
      <c r="I59" s="117"/>
      <c r="J59" s="80"/>
      <c r="K59" s="98" t="s">
        <v>145</v>
      </c>
      <c r="L59" s="80"/>
      <c r="M59" s="118">
        <f>'UAE Exhibit COS 2.4 TNT-4'!$M$58+O59</f>
        <v>8.8114784383291039E-2</v>
      </c>
      <c r="N59" s="80"/>
      <c r="O59" s="174">
        <v>-0.02</v>
      </c>
      <c r="Q59" s="121"/>
    </row>
    <row r="60" spans="1:21">
      <c r="G60" s="80"/>
      <c r="H60" s="80"/>
      <c r="I60" s="117"/>
      <c r="J60" s="80"/>
      <c r="K60" s="98" t="s">
        <v>146</v>
      </c>
      <c r="L60" s="80"/>
      <c r="M60" s="118">
        <f>'UAE Exhibit COS 2.4 TNT-4'!$M$58+O60</f>
        <v>9.8114784383291048E-2</v>
      </c>
      <c r="N60" s="80"/>
      <c r="O60" s="174">
        <v>-0.01</v>
      </c>
    </row>
    <row r="61" spans="1:21" ht="18">
      <c r="G61" s="80"/>
      <c r="H61" s="80"/>
      <c r="I61" s="117"/>
      <c r="J61" s="80"/>
      <c r="K61" s="97" t="s">
        <v>192</v>
      </c>
      <c r="L61" s="80"/>
      <c r="M61" s="118">
        <f>M57+O61</f>
        <v>0.10811478438329104</v>
      </c>
      <c r="N61" s="80"/>
      <c r="O61" s="174">
        <f>O58</f>
        <v>7.0111857273683249E-3</v>
      </c>
    </row>
    <row r="62" spans="1:21">
      <c r="G62" s="80"/>
      <c r="H62" s="80"/>
      <c r="I62" s="117"/>
      <c r="J62" s="80"/>
      <c r="K62" s="97">
        <v>10</v>
      </c>
      <c r="L62" s="80"/>
      <c r="M62" s="118">
        <f>'UAE Exhibit COS 2.4 TNT-4'!$M$58+O62</f>
        <v>0.13811478438329106</v>
      </c>
      <c r="N62" s="80"/>
      <c r="O62" s="174">
        <v>0.03</v>
      </c>
    </row>
    <row r="63" spans="1:21">
      <c r="G63" s="80"/>
      <c r="H63" s="80"/>
      <c r="I63" s="122"/>
      <c r="J63" s="123"/>
      <c r="K63" s="70" t="s">
        <v>147</v>
      </c>
      <c r="L63" s="123"/>
      <c r="M63" s="176">
        <v>0</v>
      </c>
      <c r="N63" s="123"/>
      <c r="O63" s="175"/>
      <c r="Q63" s="149"/>
    </row>
    <row r="64" spans="1:21">
      <c r="K64" s="150"/>
      <c r="M64" s="118"/>
      <c r="O64" s="151"/>
    </row>
    <row r="65" spans="1:17" s="60" customFormat="1">
      <c r="A65" s="60" t="s">
        <v>180</v>
      </c>
      <c r="E65" s="41"/>
      <c r="K65" s="150"/>
      <c r="M65" s="118"/>
      <c r="O65" s="152"/>
      <c r="Q65" s="107"/>
    </row>
    <row r="66" spans="1:17" s="60" customFormat="1">
      <c r="E66" s="41"/>
      <c r="M66" s="136"/>
      <c r="O66" s="106"/>
      <c r="Q66" s="107"/>
    </row>
    <row r="67" spans="1:17" s="60" customFormat="1">
      <c r="E67" s="41"/>
      <c r="M67" s="136"/>
      <c r="O67" s="106"/>
      <c r="Q67" s="107"/>
    </row>
  </sheetData>
  <printOptions horizontalCentered="1"/>
  <pageMargins left="1.0029166666666667" right="0.99687499999999996" top="1.6965625" bottom="0.35" header="1.0029166666666667" footer="0.25"/>
  <pageSetup scale="55" orientation="portrait" r:id="rId1"/>
  <headerFooter scaleWithDoc="0">
    <oddHeader xml:space="preserve">&amp;R&amp;"Times New Roman,Regular"&amp;8Utah Association of Energy Users
UAE Exhibit COS 2.4 (TNT-4)
Docket No. 11-035-200
Witness: Neal Townsend
Page 1 of 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zoomScaleNormal="100" workbookViewId="0">
      <selection activeCell="C55" sqref="C55"/>
    </sheetView>
  </sheetViews>
  <sheetFormatPr defaultRowHeight="15"/>
  <cols>
    <col min="1" max="1" width="5.28515625" style="41" customWidth="1"/>
    <col min="2" max="2" width="1.85546875" style="41" customWidth="1"/>
    <col min="3" max="3" width="43.5703125" style="41" customWidth="1"/>
    <col min="4" max="4" width="1.7109375" style="60" customWidth="1"/>
    <col min="5" max="5" width="8.7109375" style="41" bestFit="1" customWidth="1"/>
    <col min="6" max="6" width="1.7109375" style="60" customWidth="1"/>
    <col min="7" max="7" width="14.42578125" style="60" bestFit="1" customWidth="1"/>
    <col min="8" max="8" width="1.7109375" style="60" customWidth="1"/>
    <col min="9" max="9" width="16.140625" style="60" bestFit="1" customWidth="1"/>
    <col min="10" max="10" width="1.7109375" style="60" customWidth="1"/>
    <col min="11" max="11" width="18" style="60" customWidth="1"/>
    <col min="12" max="12" width="1.7109375" style="60" customWidth="1"/>
    <col min="13" max="13" width="18" style="41" customWidth="1"/>
    <col min="14" max="14" width="1.7109375" style="41" customWidth="1"/>
    <col min="15" max="15" width="19.28515625" style="41" customWidth="1"/>
    <col min="16" max="16" width="1.7109375" style="41" customWidth="1"/>
    <col min="17" max="17" width="19" style="41" customWidth="1"/>
    <col min="18" max="18" width="1.7109375" style="41" customWidth="1"/>
    <col min="19" max="19" width="19" style="41" customWidth="1"/>
    <col min="20" max="20" width="1.7109375" style="41" customWidth="1"/>
    <col min="21" max="21" width="10.42578125" style="41" customWidth="1"/>
    <col min="22" max="22" width="9.140625" style="41"/>
    <col min="23" max="23" width="12.42578125" style="41" customWidth="1"/>
    <col min="24" max="16384" width="9.140625" style="41"/>
  </cols>
  <sheetData>
    <row r="1" spans="1:21" ht="27">
      <c r="A1" s="209" t="s">
        <v>177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</row>
    <row r="2" spans="1:21" s="133" customFormat="1" ht="27">
      <c r="A2" s="209" t="s">
        <v>185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</row>
    <row r="3" spans="1:21" s="133" customFormat="1">
      <c r="A3" s="38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54"/>
      <c r="O3" s="153"/>
      <c r="P3" s="153"/>
    </row>
    <row r="4" spans="1:21" s="133" customFormat="1">
      <c r="A4" s="38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O4" s="153"/>
      <c r="P4" s="153"/>
      <c r="Q4" s="154"/>
      <c r="R4" s="154"/>
    </row>
    <row r="5" spans="1:21" s="133" customFormat="1">
      <c r="A5" s="38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21">
      <c r="A6" s="38"/>
      <c r="B6" s="132"/>
      <c r="C6" s="132"/>
      <c r="D6" s="132"/>
      <c r="E6" s="132"/>
      <c r="F6" s="132"/>
      <c r="G6" s="132"/>
      <c r="H6" s="132"/>
      <c r="I6" s="132"/>
      <c r="J6" s="40"/>
      <c r="K6" s="42"/>
      <c r="L6" s="42"/>
      <c r="M6" s="43"/>
      <c r="O6" s="44" t="s">
        <v>148</v>
      </c>
      <c r="Q6" s="44" t="s">
        <v>148</v>
      </c>
      <c r="S6" s="44" t="s">
        <v>149</v>
      </c>
    </row>
    <row r="7" spans="1:21">
      <c r="A7" s="38"/>
      <c r="B7" s="38"/>
      <c r="C7" s="38"/>
      <c r="D7" s="39"/>
      <c r="E7" s="38"/>
      <c r="F7" s="39"/>
      <c r="G7" s="39"/>
      <c r="H7" s="39"/>
      <c r="I7" s="40"/>
      <c r="J7" s="39"/>
      <c r="K7" s="45" t="s">
        <v>150</v>
      </c>
      <c r="L7" s="39"/>
      <c r="M7" s="43" t="s">
        <v>150</v>
      </c>
      <c r="O7" s="44" t="s">
        <v>151</v>
      </c>
      <c r="P7" s="44"/>
      <c r="Q7" s="44" t="s">
        <v>152</v>
      </c>
      <c r="R7" s="44"/>
      <c r="S7" s="44" t="s">
        <v>153</v>
      </c>
      <c r="T7" s="44"/>
    </row>
    <row r="8" spans="1:21" ht="17.25" customHeight="1">
      <c r="A8" s="38"/>
      <c r="B8" s="38"/>
      <c r="C8" s="38"/>
      <c r="D8" s="39"/>
      <c r="E8" s="38"/>
      <c r="F8" s="39"/>
      <c r="G8" s="39"/>
      <c r="H8" s="39"/>
      <c r="I8" s="40"/>
      <c r="J8" s="39"/>
      <c r="K8" s="46" t="s">
        <v>154</v>
      </c>
      <c r="L8" s="39"/>
      <c r="M8" s="44" t="s">
        <v>154</v>
      </c>
      <c r="N8" s="44"/>
      <c r="O8" s="44" t="s">
        <v>172</v>
      </c>
      <c r="P8" s="44"/>
      <c r="Q8" s="44" t="s">
        <v>173</v>
      </c>
      <c r="R8" s="44"/>
      <c r="S8" s="44" t="s">
        <v>155</v>
      </c>
      <c r="T8" s="44"/>
    </row>
    <row r="9" spans="1:21">
      <c r="D9" s="45"/>
      <c r="E9" s="44"/>
      <c r="F9" s="45"/>
      <c r="G9" s="45"/>
      <c r="H9" s="45"/>
      <c r="I9" s="46" t="s">
        <v>88</v>
      </c>
      <c r="J9" s="45"/>
      <c r="K9" s="46" t="s">
        <v>156</v>
      </c>
      <c r="L9" s="47"/>
      <c r="M9" s="44" t="s">
        <v>156</v>
      </c>
      <c r="N9" s="48"/>
      <c r="O9" s="203">
        <v>0.5</v>
      </c>
      <c r="P9" s="204"/>
      <c r="Q9" s="203">
        <v>0.5</v>
      </c>
      <c r="R9" s="204"/>
      <c r="S9" s="203">
        <v>0.5</v>
      </c>
      <c r="T9" s="44"/>
    </row>
    <row r="10" spans="1:21" s="43" customFormat="1" ht="16.5">
      <c r="A10" s="43" t="s">
        <v>24</v>
      </c>
      <c r="D10" s="45"/>
      <c r="E10" s="44" t="s">
        <v>90</v>
      </c>
      <c r="F10" s="45"/>
      <c r="G10" s="45" t="s">
        <v>91</v>
      </c>
      <c r="H10" s="46"/>
      <c r="I10" s="45" t="s">
        <v>92</v>
      </c>
      <c r="J10" s="46"/>
      <c r="K10" s="44" t="s">
        <v>92</v>
      </c>
      <c r="L10" s="46"/>
      <c r="M10" s="44" t="s">
        <v>174</v>
      </c>
      <c r="N10" s="48"/>
      <c r="O10" s="49">
        <v>1789389.6124774267</v>
      </c>
      <c r="P10" s="155"/>
      <c r="Q10" s="49">
        <f>'UAE Exhibit COS 2.4 TNT-4'!M54/2</f>
        <v>86133.669500000062</v>
      </c>
      <c r="R10" s="155"/>
      <c r="S10" s="50">
        <f>Q10</f>
        <v>86133.669500000062</v>
      </c>
      <c r="T10" s="155"/>
      <c r="U10" s="44" t="s">
        <v>93</v>
      </c>
    </row>
    <row r="11" spans="1:21" s="43" customFormat="1" ht="14.25">
      <c r="A11" s="43" t="s">
        <v>33</v>
      </c>
      <c r="C11" s="44" t="s">
        <v>26</v>
      </c>
      <c r="E11" s="51" t="s">
        <v>33</v>
      </c>
      <c r="G11" s="52" t="s">
        <v>94</v>
      </c>
      <c r="I11" s="53" t="s">
        <v>95</v>
      </c>
      <c r="K11" s="53" t="s">
        <v>95</v>
      </c>
      <c r="M11" s="51" t="s">
        <v>157</v>
      </c>
      <c r="N11" s="48"/>
      <c r="O11" s="53" t="s">
        <v>95</v>
      </c>
      <c r="P11" s="54"/>
      <c r="Q11" s="53" t="s">
        <v>95</v>
      </c>
      <c r="R11" s="54"/>
      <c r="S11" s="54" t="s">
        <v>158</v>
      </c>
      <c r="T11" s="54"/>
      <c r="U11" s="51" t="s">
        <v>98</v>
      </c>
    </row>
    <row r="12" spans="1:21" s="43" customFormat="1" ht="14.25">
      <c r="C12" s="55" t="s">
        <v>159</v>
      </c>
      <c r="D12" s="56"/>
      <c r="E12" s="55" t="s">
        <v>160</v>
      </c>
      <c r="F12" s="56"/>
      <c r="G12" s="55" t="s">
        <v>161</v>
      </c>
      <c r="H12" s="56"/>
      <c r="I12" s="55" t="s">
        <v>162</v>
      </c>
      <c r="J12" s="56"/>
      <c r="K12" s="55" t="s">
        <v>163</v>
      </c>
      <c r="L12" s="56"/>
      <c r="M12" s="44" t="s">
        <v>164</v>
      </c>
      <c r="N12" s="48"/>
      <c r="O12" s="50" t="s">
        <v>165</v>
      </c>
      <c r="P12" s="50"/>
      <c r="Q12" s="50" t="s">
        <v>166</v>
      </c>
      <c r="R12" s="50"/>
      <c r="S12" s="156" t="s">
        <v>167</v>
      </c>
      <c r="T12" s="156"/>
      <c r="U12" s="44" t="s">
        <v>168</v>
      </c>
    </row>
    <row r="13" spans="1:21" s="43" customFormat="1" ht="14.25">
      <c r="D13" s="57"/>
      <c r="F13" s="57"/>
      <c r="G13" s="57"/>
      <c r="H13" s="57"/>
      <c r="I13" s="57"/>
      <c r="J13" s="57"/>
      <c r="K13" s="57"/>
      <c r="L13" s="57"/>
      <c r="O13" s="58"/>
      <c r="P13" s="58"/>
      <c r="Q13" s="58"/>
      <c r="R13" s="58"/>
      <c r="S13" s="157"/>
      <c r="T13" s="158"/>
      <c r="U13" s="59"/>
    </row>
    <row r="14" spans="1:21" ht="18.75" customHeight="1">
      <c r="C14" s="43" t="s">
        <v>41</v>
      </c>
      <c r="O14" s="61"/>
      <c r="P14" s="62"/>
      <c r="Q14" s="61"/>
      <c r="R14" s="61"/>
      <c r="S14" s="159"/>
      <c r="T14" s="160"/>
      <c r="U14" s="63"/>
    </row>
    <row r="15" spans="1:21">
      <c r="A15" s="41">
        <v>1</v>
      </c>
      <c r="C15" s="41" t="s">
        <v>41</v>
      </c>
      <c r="E15" s="64" t="s">
        <v>99</v>
      </c>
      <c r="G15" s="65">
        <v>6618984.2947154995</v>
      </c>
      <c r="I15" s="134">
        <v>649669.90700000001</v>
      </c>
      <c r="J15" s="66"/>
      <c r="K15" s="134">
        <v>719908.82900000003</v>
      </c>
      <c r="L15" s="66"/>
      <c r="M15" s="160">
        <f>K15/$K$52</f>
        <v>0.38396014409246398</v>
      </c>
      <c r="N15" s="160"/>
      <c r="O15" s="67">
        <f>$O$10*M15</f>
        <v>687054.29344439099</v>
      </c>
      <c r="P15" s="68"/>
      <c r="Q15" s="67">
        <f>O15-I15</f>
        <v>37384.386444390984</v>
      </c>
      <c r="R15" s="67"/>
      <c r="S15" s="159">
        <f>Q15/I15</f>
        <v>5.7543663392109347E-2</v>
      </c>
      <c r="T15" s="160"/>
      <c r="U15" s="63">
        <f>ROUND(100*O15/G15, 2)</f>
        <v>10.38</v>
      </c>
    </row>
    <row r="16" spans="1:21">
      <c r="A16" s="41">
        <f>MAX(A$14:A15)+1</f>
        <v>2</v>
      </c>
      <c r="C16" s="41" t="s">
        <v>100</v>
      </c>
      <c r="E16" s="64">
        <v>2</v>
      </c>
      <c r="G16" s="65">
        <v>3259.9751844998164</v>
      </c>
      <c r="I16" s="134">
        <v>310.99200000000002</v>
      </c>
      <c r="J16" s="66"/>
      <c r="K16" s="134">
        <v>344.61500000000001</v>
      </c>
      <c r="L16" s="66"/>
      <c r="M16" s="160">
        <f>K16/$K$52</f>
        <v>1.8379886414259336E-4</v>
      </c>
      <c r="N16" s="160"/>
      <c r="O16" s="67">
        <f>$O$10*M16</f>
        <v>328.88777828190632</v>
      </c>
      <c r="P16" s="68"/>
      <c r="Q16" s="67">
        <f t="shared" ref="Q16:Q36" si="0">O16-I16</f>
        <v>17.895778281906303</v>
      </c>
      <c r="R16" s="67"/>
      <c r="S16" s="159">
        <f t="shared" ref="S16:S51" si="1">Q16/I16</f>
        <v>5.7544175676243446E-2</v>
      </c>
      <c r="T16" s="160"/>
      <c r="U16" s="63">
        <f t="shared" ref="U16:U50" si="2">ROUND(100*O16/G16, 2)</f>
        <v>10.09</v>
      </c>
    </row>
    <row r="17" spans="1:21">
      <c r="A17" s="41">
        <f>MAX(A$14:A16)+1</f>
        <v>3</v>
      </c>
      <c r="C17" s="41" t="s">
        <v>101</v>
      </c>
      <c r="E17" s="69" t="s">
        <v>102</v>
      </c>
      <c r="G17" s="70"/>
      <c r="I17" s="137">
        <v>36.561</v>
      </c>
      <c r="J17" s="66"/>
      <c r="K17" s="137">
        <v>36.561</v>
      </c>
      <c r="L17" s="66"/>
      <c r="M17" s="161" t="s">
        <v>169</v>
      </c>
      <c r="N17" s="162"/>
      <c r="O17" s="71">
        <f>K17</f>
        <v>36.561</v>
      </c>
      <c r="P17" s="68"/>
      <c r="Q17" s="72">
        <f t="shared" si="0"/>
        <v>0</v>
      </c>
      <c r="R17" s="67"/>
      <c r="S17" s="163">
        <f t="shared" si="1"/>
        <v>0</v>
      </c>
      <c r="T17" s="160"/>
      <c r="U17" s="63"/>
    </row>
    <row r="18" spans="1:21">
      <c r="A18" s="41">
        <f>MAX(A$14:A17)+1</f>
        <v>4</v>
      </c>
      <c r="C18" s="43" t="s">
        <v>103</v>
      </c>
      <c r="G18" s="65">
        <f>SUM(G15:G17)</f>
        <v>6622244.2698999997</v>
      </c>
      <c r="I18" s="134">
        <f>SUM(I15:I17)</f>
        <v>650017.46</v>
      </c>
      <c r="J18" s="66"/>
      <c r="K18" s="134">
        <f>SUM(K15:K17)</f>
        <v>720290.005</v>
      </c>
      <c r="L18" s="66"/>
      <c r="M18" s="160">
        <f>M15+M16</f>
        <v>0.38414394295660659</v>
      </c>
      <c r="N18" s="160"/>
      <c r="O18" s="67">
        <f>SUM(O15:O17)</f>
        <v>687419.74222267291</v>
      </c>
      <c r="P18" s="68"/>
      <c r="Q18" s="67">
        <f>SUM(Q15:Q17)</f>
        <v>37402.282222672889</v>
      </c>
      <c r="R18" s="67"/>
      <c r="S18" s="159">
        <f t="shared" si="1"/>
        <v>5.7540427025872337E-2</v>
      </c>
      <c r="T18" s="160"/>
      <c r="U18" s="63">
        <f t="shared" si="2"/>
        <v>10.38</v>
      </c>
    </row>
    <row r="19" spans="1:21" ht="24.75" customHeight="1">
      <c r="C19" s="43" t="s">
        <v>104</v>
      </c>
      <c r="G19" s="65"/>
      <c r="I19" s="139"/>
      <c r="J19" s="66"/>
      <c r="K19" s="134"/>
      <c r="L19" s="66"/>
      <c r="O19" s="67"/>
      <c r="P19" s="68"/>
      <c r="Q19" s="67"/>
      <c r="R19" s="67"/>
      <c r="S19" s="159"/>
      <c r="T19" s="160"/>
      <c r="U19" s="63"/>
    </row>
    <row r="20" spans="1:21">
      <c r="A20" s="41">
        <f>MAX(A$14:A19)+1</f>
        <v>5</v>
      </c>
      <c r="C20" s="41" t="s">
        <v>105</v>
      </c>
      <c r="E20" s="73">
        <v>6</v>
      </c>
      <c r="G20" s="65">
        <v>5746434.2788172225</v>
      </c>
      <c r="I20" s="134">
        <v>443566.413</v>
      </c>
      <c r="J20" s="66"/>
      <c r="K20" s="134">
        <v>482651.17200000002</v>
      </c>
      <c r="L20" s="66"/>
      <c r="M20" s="160">
        <f>K20/$K$52</f>
        <v>0.25741983718262834</v>
      </c>
      <c r="N20" s="160"/>
      <c r="O20" s="67">
        <f>$O$10*M20</f>
        <v>460624.38270022557</v>
      </c>
      <c r="P20" s="68"/>
      <c r="Q20" s="67">
        <f t="shared" si="0"/>
        <v>17057.969700225571</v>
      </c>
      <c r="R20" s="67"/>
      <c r="S20" s="159">
        <f t="shared" si="1"/>
        <v>3.8456405174720862E-2</v>
      </c>
      <c r="T20" s="160"/>
      <c r="U20" s="63">
        <f t="shared" si="2"/>
        <v>8.02</v>
      </c>
    </row>
    <row r="21" spans="1:21">
      <c r="A21" s="41">
        <f>MAX(A$14:A20)+1</f>
        <v>6</v>
      </c>
      <c r="C21" s="41" t="s">
        <v>106</v>
      </c>
      <c r="E21" s="64" t="s">
        <v>107</v>
      </c>
      <c r="G21" s="65">
        <v>277735.08199999999</v>
      </c>
      <c r="I21" s="134">
        <v>29859.053</v>
      </c>
      <c r="J21" s="66"/>
      <c r="K21" s="134">
        <v>32490.077000000001</v>
      </c>
      <c r="L21" s="66"/>
      <c r="M21" s="160">
        <f t="shared" ref="M21:M33" si="3">K21/$K$52</f>
        <v>1.7328436801954058E-2</v>
      </c>
      <c r="N21" s="160"/>
      <c r="O21" s="67">
        <f>$O$10*M21</f>
        <v>31007.32481388815</v>
      </c>
      <c r="P21" s="68"/>
      <c r="Q21" s="67">
        <f t="shared" si="0"/>
        <v>1148.2718138881501</v>
      </c>
      <c r="R21" s="67"/>
      <c r="S21" s="159">
        <f t="shared" si="1"/>
        <v>3.8456404290120989E-2</v>
      </c>
      <c r="T21" s="160"/>
      <c r="U21" s="63">
        <f t="shared" si="2"/>
        <v>11.16</v>
      </c>
    </row>
    <row r="22" spans="1:21">
      <c r="A22" s="41">
        <f>MAX(A$14:A21)+1</f>
        <v>7</v>
      </c>
      <c r="C22" s="41" t="s">
        <v>108</v>
      </c>
      <c r="E22" s="64" t="s">
        <v>109</v>
      </c>
      <c r="G22" s="74">
        <v>21133.17</v>
      </c>
      <c r="I22" s="137">
        <v>1657.327</v>
      </c>
      <c r="J22" s="66"/>
      <c r="K22" s="137">
        <v>1803.3620000000001</v>
      </c>
      <c r="L22" s="66"/>
      <c r="M22" s="164">
        <f t="shared" si="3"/>
        <v>9.6181503195715641E-4</v>
      </c>
      <c r="N22" s="160"/>
      <c r="O22" s="72">
        <f>$O$10*M22</f>
        <v>1721.0618273087798</v>
      </c>
      <c r="P22" s="68"/>
      <c r="Q22" s="72">
        <f t="shared" si="0"/>
        <v>63.734827308779813</v>
      </c>
      <c r="R22" s="67"/>
      <c r="S22" s="163">
        <f t="shared" si="1"/>
        <v>3.8456398350343542E-2</v>
      </c>
      <c r="T22" s="160"/>
      <c r="U22" s="63">
        <f t="shared" si="2"/>
        <v>8.14</v>
      </c>
    </row>
    <row r="23" spans="1:21">
      <c r="A23" s="41">
        <f>MAX(A$14:A22)+1</f>
        <v>8</v>
      </c>
      <c r="C23" s="75" t="s">
        <v>110</v>
      </c>
      <c r="G23" s="65">
        <f>SUM(G20:G22)</f>
        <v>6045302.5308172228</v>
      </c>
      <c r="I23" s="134">
        <f>SUM(I20:I22)</f>
        <v>475082.79300000001</v>
      </c>
      <c r="J23" s="66"/>
      <c r="K23" s="134">
        <f>SUM(K20:K22)</f>
        <v>516944.61100000003</v>
      </c>
      <c r="L23" s="66"/>
      <c r="M23" s="160">
        <f t="shared" si="3"/>
        <v>0.27571008901653954</v>
      </c>
      <c r="N23" s="160"/>
      <c r="O23" s="67">
        <f>SUM(O20:O22)</f>
        <v>493352.76934142254</v>
      </c>
      <c r="P23" s="68"/>
      <c r="Q23" s="67">
        <f>SUM(Q20:Q22)</f>
        <v>18269.976341422502</v>
      </c>
      <c r="R23" s="67"/>
      <c r="S23" s="159">
        <f t="shared" si="1"/>
        <v>3.8456405095316726E-2</v>
      </c>
      <c r="T23" s="160"/>
      <c r="U23" s="63">
        <f t="shared" si="2"/>
        <v>8.16</v>
      </c>
    </row>
    <row r="24" spans="1:21" ht="23.1" customHeight="1">
      <c r="A24" s="41">
        <f>MAX(A$14:A23)+1</f>
        <v>9</v>
      </c>
      <c r="C24" s="41" t="s">
        <v>111</v>
      </c>
      <c r="E24" s="41">
        <v>8</v>
      </c>
      <c r="F24" s="65"/>
      <c r="G24" s="65">
        <v>2076915.6910000001</v>
      </c>
      <c r="I24" s="134">
        <v>141558.614</v>
      </c>
      <c r="J24" s="66"/>
      <c r="K24" s="134">
        <v>155447.60699999999</v>
      </c>
      <c r="L24" s="66"/>
      <c r="M24" s="160">
        <f t="shared" si="3"/>
        <v>8.2907283781275459E-2</v>
      </c>
      <c r="N24" s="160"/>
      <c r="O24" s="67">
        <f>$O$10*M24</f>
        <v>148353.43239693253</v>
      </c>
      <c r="P24" s="68"/>
      <c r="Q24" s="67">
        <f t="shared" si="0"/>
        <v>6794.8183969325328</v>
      </c>
      <c r="R24" s="67"/>
      <c r="S24" s="159">
        <f t="shared" si="1"/>
        <v>4.8000034790765422E-2</v>
      </c>
      <c r="T24" s="160"/>
      <c r="U24" s="63">
        <f t="shared" si="2"/>
        <v>7.14</v>
      </c>
    </row>
    <row r="25" spans="1:21" ht="23.1" customHeight="1">
      <c r="A25" s="41">
        <f>MAX(A$14:A24)+1</f>
        <v>10</v>
      </c>
      <c r="C25" s="41" t="s">
        <v>112</v>
      </c>
      <c r="E25" s="41">
        <v>9</v>
      </c>
      <c r="G25" s="65">
        <v>4538067.2419739999</v>
      </c>
      <c r="I25" s="134">
        <v>226409.34400000001</v>
      </c>
      <c r="J25" s="66"/>
      <c r="K25" s="134">
        <v>250887.54100000003</v>
      </c>
      <c r="L25" s="66"/>
      <c r="M25" s="160">
        <f t="shared" si="3"/>
        <v>0.13380974439106924</v>
      </c>
      <c r="N25" s="160"/>
      <c r="O25" s="67">
        <f>$O$10*M25</f>
        <v>239437.76666163889</v>
      </c>
      <c r="P25" s="68"/>
      <c r="Q25" s="67">
        <f t="shared" si="0"/>
        <v>13028.422661638877</v>
      </c>
      <c r="R25" s="67"/>
      <c r="S25" s="159">
        <f t="shared" si="1"/>
        <v>5.7543661544458502E-2</v>
      </c>
      <c r="T25" s="160"/>
      <c r="U25" s="63">
        <f t="shared" si="2"/>
        <v>5.28</v>
      </c>
    </row>
    <row r="26" spans="1:21">
      <c r="A26" s="41">
        <f>MAX(A$14:A25)+1</f>
        <v>11</v>
      </c>
      <c r="C26" s="41" t="s">
        <v>113</v>
      </c>
      <c r="E26" s="64" t="s">
        <v>114</v>
      </c>
      <c r="G26" s="74">
        <v>42717.705999999998</v>
      </c>
      <c r="I26" s="137">
        <v>2911.8290000000002</v>
      </c>
      <c r="J26" s="66"/>
      <c r="K26" s="137">
        <v>3226.6410000000001</v>
      </c>
      <c r="L26" s="66"/>
      <c r="M26" s="164">
        <f t="shared" si="3"/>
        <v>1.7209145010980997E-3</v>
      </c>
      <c r="N26" s="160"/>
      <c r="O26" s="72">
        <f>$O$10*M26</f>
        <v>3079.3865322267125</v>
      </c>
      <c r="P26" s="68"/>
      <c r="Q26" s="72">
        <f t="shared" si="0"/>
        <v>167.55753222671228</v>
      </c>
      <c r="R26" s="67"/>
      <c r="S26" s="163">
        <f t="shared" si="1"/>
        <v>5.7543740455470518E-2</v>
      </c>
      <c r="T26" s="160"/>
      <c r="U26" s="63">
        <f t="shared" si="2"/>
        <v>7.21</v>
      </c>
    </row>
    <row r="27" spans="1:21">
      <c r="A27" s="41">
        <f>MAX(A$14:A26)+1</f>
        <v>12</v>
      </c>
      <c r="C27" s="75" t="s">
        <v>115</v>
      </c>
      <c r="G27" s="65">
        <f>SUM(G25:G26)</f>
        <v>4580784.9479740001</v>
      </c>
      <c r="I27" s="134">
        <f>SUM(I25:I26)</f>
        <v>229321.17300000001</v>
      </c>
      <c r="J27" s="66"/>
      <c r="K27" s="134">
        <f>SUM(K25:K26)</f>
        <v>254114.18200000003</v>
      </c>
      <c r="L27" s="66"/>
      <c r="M27" s="160">
        <f t="shared" si="3"/>
        <v>0.13553065889216734</v>
      </c>
      <c r="N27" s="160"/>
      <c r="O27" s="67">
        <f>SUM(O25:O26)</f>
        <v>242517.15319386561</v>
      </c>
      <c r="P27" s="68"/>
      <c r="Q27" s="67">
        <f>SUM(Q25:Q26)</f>
        <v>13195.980193865589</v>
      </c>
      <c r="R27" s="67"/>
      <c r="S27" s="159">
        <f t="shared" si="1"/>
        <v>5.7543662546439132E-2</v>
      </c>
      <c r="T27" s="160"/>
      <c r="U27" s="63">
        <f t="shared" si="2"/>
        <v>5.29</v>
      </c>
    </row>
    <row r="28" spans="1:21" ht="16.5" customHeight="1">
      <c r="A28" s="41">
        <f>MAX(A$14:A27)+1</f>
        <v>13</v>
      </c>
      <c r="C28" s="41" t="s">
        <v>51</v>
      </c>
      <c r="E28" s="64">
        <v>10</v>
      </c>
      <c r="G28" s="65">
        <v>170955.53200000001</v>
      </c>
      <c r="I28" s="134">
        <v>11991.091</v>
      </c>
      <c r="J28" s="66"/>
      <c r="K28" s="135">
        <v>13647.238000000001</v>
      </c>
      <c r="L28" s="66"/>
      <c r="M28" s="160">
        <f t="shared" si="3"/>
        <v>7.2786931592752424E-3</v>
      </c>
      <c r="N28" s="160"/>
      <c r="O28" s="67">
        <f>$O$10*M28</f>
        <v>13024.417931617623</v>
      </c>
      <c r="P28" s="68"/>
      <c r="Q28" s="67">
        <f t="shared" si="0"/>
        <v>1033.3269316176229</v>
      </c>
      <c r="R28" s="67"/>
      <c r="S28" s="159">
        <f t="shared" si="1"/>
        <v>8.6174555060721567E-2</v>
      </c>
      <c r="T28" s="160"/>
      <c r="U28" s="63">
        <f t="shared" si="2"/>
        <v>7.62</v>
      </c>
    </row>
    <row r="29" spans="1:21">
      <c r="A29" s="41">
        <f>MAX(A$14:A28)+1</f>
        <v>14</v>
      </c>
      <c r="C29" s="41" t="s">
        <v>116</v>
      </c>
      <c r="E29" s="64" t="s">
        <v>117</v>
      </c>
      <c r="G29" s="74">
        <v>16324.472</v>
      </c>
      <c r="I29" s="137">
        <v>1183.432</v>
      </c>
      <c r="J29" s="66"/>
      <c r="K29" s="138">
        <v>1346.8810000000001</v>
      </c>
      <c r="L29" s="66"/>
      <c r="M29" s="164">
        <f t="shared" si="3"/>
        <v>7.1835293859884308E-4</v>
      </c>
      <c r="N29" s="160"/>
      <c r="O29" s="72">
        <f>$O$10*M29</f>
        <v>1285.4132864214046</v>
      </c>
      <c r="P29" s="68"/>
      <c r="Q29" s="72">
        <f t="shared" si="0"/>
        <v>101.98128642140455</v>
      </c>
      <c r="R29" s="67"/>
      <c r="S29" s="163">
        <f t="shared" si="1"/>
        <v>8.6174183579119504E-2</v>
      </c>
      <c r="T29" s="160"/>
      <c r="U29" s="63">
        <f t="shared" si="2"/>
        <v>7.87</v>
      </c>
    </row>
    <row r="30" spans="1:21">
      <c r="A30" s="41">
        <f>MAX(A$14:A29)+1</f>
        <v>15</v>
      </c>
      <c r="C30" s="75" t="s">
        <v>118</v>
      </c>
      <c r="G30" s="65">
        <f>SUM(G28:G29)</f>
        <v>187280.00400000002</v>
      </c>
      <c r="I30" s="134">
        <f>SUM(I28:I29)</f>
        <v>13174.523000000001</v>
      </c>
      <c r="J30" s="66"/>
      <c r="K30" s="134">
        <f>SUM(K28:K29)</f>
        <v>14994.119000000001</v>
      </c>
      <c r="L30" s="66"/>
      <c r="M30" s="160">
        <f t="shared" si="3"/>
        <v>7.9970460978740863E-3</v>
      </c>
      <c r="N30" s="160"/>
      <c r="O30" s="67">
        <f>SUM(O28:O29)</f>
        <v>14309.831218039028</v>
      </c>
      <c r="P30" s="68"/>
      <c r="Q30" s="67">
        <f>SUM(Q28:Q29)</f>
        <v>1135.3082180390275</v>
      </c>
      <c r="R30" s="67"/>
      <c r="S30" s="159">
        <f t="shared" si="1"/>
        <v>8.617452169152745E-2</v>
      </c>
      <c r="T30" s="160"/>
      <c r="U30" s="63">
        <f t="shared" si="2"/>
        <v>7.64</v>
      </c>
    </row>
    <row r="31" spans="1:21" ht="23.1" customHeight="1">
      <c r="A31" s="41">
        <f>MAX(A$14:A30)+1</f>
        <v>16</v>
      </c>
      <c r="C31" s="41" t="s">
        <v>119</v>
      </c>
      <c r="E31" s="41">
        <v>21</v>
      </c>
      <c r="G31" s="65">
        <v>3287.9389999999999</v>
      </c>
      <c r="I31" s="134">
        <v>342.79199999999997</v>
      </c>
      <c r="J31" s="66"/>
      <c r="K31" s="134">
        <v>379.85299999999995</v>
      </c>
      <c r="L31" s="66"/>
      <c r="M31" s="160">
        <f t="shared" si="3"/>
        <v>2.0259289334810299E-4</v>
      </c>
      <c r="N31" s="160"/>
      <c r="O31" s="67">
        <f>$O$10*M31</f>
        <v>362.51761891884263</v>
      </c>
      <c r="P31" s="68"/>
      <c r="Q31" s="67">
        <f t="shared" si="0"/>
        <v>19.725618918842656</v>
      </c>
      <c r="R31" s="67"/>
      <c r="S31" s="159">
        <f t="shared" si="1"/>
        <v>5.7543988537779929E-2</v>
      </c>
      <c r="T31" s="160"/>
      <c r="U31" s="63">
        <f t="shared" si="2"/>
        <v>11.03</v>
      </c>
    </row>
    <row r="32" spans="1:21">
      <c r="A32" s="41">
        <f>MAX(A$14:A31)+1</f>
        <v>17</v>
      </c>
      <c r="C32" s="41" t="s">
        <v>120</v>
      </c>
      <c r="E32" s="73">
        <v>23</v>
      </c>
      <c r="G32" s="65">
        <v>1419326.149632778</v>
      </c>
      <c r="I32" s="134">
        <v>129897.91099999999</v>
      </c>
      <c r="J32" s="66"/>
      <c r="K32" s="134">
        <v>141343.837</v>
      </c>
      <c r="L32" s="66"/>
      <c r="M32" s="160">
        <f t="shared" si="3"/>
        <v>7.5385101328020718E-2</v>
      </c>
      <c r="N32" s="160"/>
      <c r="O32" s="67">
        <f>$O$10*M32</f>
        <v>134893.31725191855</v>
      </c>
      <c r="P32" s="68"/>
      <c r="Q32" s="67">
        <f t="shared" si="0"/>
        <v>4995.4062519185536</v>
      </c>
      <c r="R32" s="67"/>
      <c r="S32" s="159">
        <f t="shared" si="1"/>
        <v>3.8456401750129404E-2</v>
      </c>
      <c r="T32" s="160"/>
      <c r="U32" s="63">
        <f t="shared" si="2"/>
        <v>9.5</v>
      </c>
    </row>
    <row r="33" spans="1:21">
      <c r="A33" s="41">
        <f>MAX(A$14:A32)+1</f>
        <v>18</v>
      </c>
      <c r="C33" s="41" t="s">
        <v>121</v>
      </c>
      <c r="E33" s="41">
        <v>31</v>
      </c>
      <c r="G33" s="65">
        <v>59778.839026000001</v>
      </c>
      <c r="I33" s="134">
        <v>4870.0309999999999</v>
      </c>
      <c r="J33" s="66"/>
      <c r="K33" s="134">
        <v>5396.5529999999999</v>
      </c>
      <c r="L33" s="66"/>
      <c r="M33" s="160">
        <f t="shared" si="3"/>
        <v>2.8782273310369675E-3</v>
      </c>
      <c r="N33" s="160"/>
      <c r="O33" s="68">
        <f>$O$10*M33</f>
        <v>5150.2700885061777</v>
      </c>
      <c r="P33" s="68"/>
      <c r="Q33" s="67">
        <f t="shared" si="0"/>
        <v>280.23908850617772</v>
      </c>
      <c r="R33" s="67"/>
      <c r="S33" s="159">
        <f t="shared" si="1"/>
        <v>5.7543594384959297E-2</v>
      </c>
      <c r="T33" s="160"/>
      <c r="U33" s="63">
        <f t="shared" si="2"/>
        <v>8.6199999999999992</v>
      </c>
    </row>
    <row r="34" spans="1:21" ht="18">
      <c r="A34" s="41">
        <f>MAX(A$14:A33)+1</f>
        <v>19</v>
      </c>
      <c r="C34" s="41" t="s">
        <v>175</v>
      </c>
      <c r="E34" s="64" t="s">
        <v>102</v>
      </c>
      <c r="G34" s="65">
        <v>543970.59100000001</v>
      </c>
      <c r="I34" s="134">
        <v>24224.835012471453</v>
      </c>
      <c r="J34" s="66"/>
      <c r="K34" s="134">
        <v>24758.813916697174</v>
      </c>
      <c r="L34" s="66"/>
      <c r="M34" s="64" t="s">
        <v>169</v>
      </c>
      <c r="N34" s="64"/>
      <c r="O34" s="68">
        <f>I34+Q34</f>
        <v>24491.824464584315</v>
      </c>
      <c r="P34" s="68"/>
      <c r="Q34" s="67">
        <f>'UAE Exhibit COS 2.4 TNT-4'!M34/2</f>
        <v>266.98945211286156</v>
      </c>
      <c r="R34" s="67"/>
      <c r="S34" s="159">
        <f t="shared" si="1"/>
        <v>1.1021311475409834E-2</v>
      </c>
      <c r="T34" s="160"/>
      <c r="U34" s="63">
        <f t="shared" si="2"/>
        <v>4.5</v>
      </c>
    </row>
    <row r="35" spans="1:21" ht="16.5" customHeight="1">
      <c r="A35" s="41">
        <f>MAX(A$14:A34)+1</f>
        <v>20</v>
      </c>
      <c r="C35" s="41" t="s">
        <v>176</v>
      </c>
      <c r="E35" s="64" t="s">
        <v>102</v>
      </c>
      <c r="G35" s="65">
        <v>717800.15174999996</v>
      </c>
      <c r="I35" s="134">
        <v>26946.217696695003</v>
      </c>
      <c r="J35" s="66"/>
      <c r="K35" s="134">
        <v>27591.567172725448</v>
      </c>
      <c r="L35" s="66"/>
      <c r="M35" s="64" t="s">
        <v>169</v>
      </c>
      <c r="N35" s="64"/>
      <c r="O35" s="68">
        <v>27292.794267155794</v>
      </c>
      <c r="P35" s="68"/>
      <c r="Q35" s="165">
        <f>O35-I35</f>
        <v>346.57657046079112</v>
      </c>
      <c r="R35" s="165"/>
      <c r="S35" s="159">
        <f t="shared" si="1"/>
        <v>1.2861789152074553E-2</v>
      </c>
      <c r="T35" s="160"/>
      <c r="U35" s="63">
        <f t="shared" si="2"/>
        <v>3.8</v>
      </c>
    </row>
    <row r="36" spans="1:21">
      <c r="A36" s="41">
        <f>MAX(A$14:A35)+1</f>
        <v>21</v>
      </c>
      <c r="C36" s="41" t="s">
        <v>124</v>
      </c>
      <c r="E36" s="64" t="s">
        <v>102</v>
      </c>
      <c r="G36" s="65">
        <v>1371599.1</v>
      </c>
      <c r="I36" s="134">
        <v>59055.879000000001</v>
      </c>
      <c r="J36" s="66"/>
      <c r="K36" s="134">
        <v>65440.692999999999</v>
      </c>
      <c r="L36" s="66"/>
      <c r="M36" s="160">
        <f>K36/$K$52</f>
        <v>3.4902500013360302E-2</v>
      </c>
      <c r="N36" s="160"/>
      <c r="O36" s="68">
        <f>$O$10*M36</f>
        <v>62454.170973400171</v>
      </c>
      <c r="P36" s="68"/>
      <c r="Q36" s="67">
        <f t="shared" si="0"/>
        <v>3398.2919734001698</v>
      </c>
      <c r="R36" s="67"/>
      <c r="S36" s="159">
        <f t="shared" si="1"/>
        <v>5.7543669333923041E-2</v>
      </c>
      <c r="T36" s="160"/>
      <c r="U36" s="63">
        <f t="shared" si="2"/>
        <v>4.55</v>
      </c>
    </row>
    <row r="37" spans="1:21">
      <c r="A37" s="41">
        <f>MAX(A$14:A36)+1</f>
        <v>22</v>
      </c>
      <c r="C37" s="41" t="s">
        <v>101</v>
      </c>
      <c r="E37" s="69" t="s">
        <v>102</v>
      </c>
      <c r="G37" s="70" t="s">
        <v>102</v>
      </c>
      <c r="I37" s="137">
        <v>4490.4250999999995</v>
      </c>
      <c r="J37" s="66"/>
      <c r="K37" s="137">
        <v>4490.4250999999995</v>
      </c>
      <c r="L37" s="66"/>
      <c r="M37" s="76" t="s">
        <v>169</v>
      </c>
      <c r="O37" s="71">
        <f>K37</f>
        <v>4490.4250999999995</v>
      </c>
      <c r="P37" s="68"/>
      <c r="Q37" s="72">
        <f>O37-K37</f>
        <v>0</v>
      </c>
      <c r="R37" s="67"/>
      <c r="S37" s="163">
        <f t="shared" si="1"/>
        <v>0</v>
      </c>
      <c r="T37" s="160"/>
      <c r="U37" s="63"/>
    </row>
    <row r="38" spans="1:21" ht="20.25" customHeight="1">
      <c r="A38" s="41">
        <f>MAX(A$14:A37)+1</f>
        <v>23</v>
      </c>
      <c r="C38" s="43" t="s">
        <v>125</v>
      </c>
      <c r="G38" s="65">
        <f>SUM(G20:G22,G24:G26,G28:G29,G31:G37)</f>
        <v>17006045.944200002</v>
      </c>
      <c r="I38" s="134">
        <f>SUM(I20:I22,I24:I26,I28:I29,I31:I37)</f>
        <v>1108965.1938091666</v>
      </c>
      <c r="J38" s="134"/>
      <c r="K38" s="134">
        <f>SUM(K20:K22,K24:K26,K28:K29,K31:K37)</f>
        <v>1210902.2611894228</v>
      </c>
      <c r="L38" s="66"/>
      <c r="M38" s="160">
        <f>K38/$K$52</f>
        <v>0.64582928831975928</v>
      </c>
      <c r="N38" s="160"/>
      <c r="O38" s="135">
        <f>SUM(O20:O22,O24:O26,O28:O29,O31:O37)</f>
        <v>1157668.5059147433</v>
      </c>
      <c r="P38" s="135"/>
      <c r="Q38" s="135">
        <f>SUM(Q20:Q22,Q24:Q26,Q28:Q29,Q31:Q37)</f>
        <v>48703.312105577039</v>
      </c>
      <c r="R38" s="135"/>
      <c r="S38" s="159">
        <f t="shared" si="1"/>
        <v>4.3917800466114564E-2</v>
      </c>
      <c r="T38" s="160"/>
      <c r="U38" s="63">
        <f t="shared" si="2"/>
        <v>6.81</v>
      </c>
    </row>
    <row r="39" spans="1:21" ht="33.75" customHeight="1">
      <c r="A39" s="41">
        <f>MAX(A$14:A38)+1</f>
        <v>24</v>
      </c>
      <c r="C39" s="77" t="s">
        <v>126</v>
      </c>
      <c r="G39" s="65">
        <f>G38-SUM(G34:G35,G37)</f>
        <v>15744275.201450001</v>
      </c>
      <c r="I39" s="134">
        <f>I38-SUM(I34:I35,I37)</f>
        <v>1053303.716</v>
      </c>
      <c r="J39" s="134"/>
      <c r="K39" s="134">
        <f>K38-SUM(K34:K35,K37)</f>
        <v>1154061.4550000001</v>
      </c>
      <c r="L39" s="66"/>
      <c r="M39" s="160">
        <f>K39/$K$52</f>
        <v>0.61551349935362254</v>
      </c>
      <c r="N39" s="160"/>
      <c r="O39" s="135">
        <f>O38-SUM(O34:O35,O37)</f>
        <v>1101393.4620830033</v>
      </c>
      <c r="P39" s="135"/>
      <c r="Q39" s="135">
        <f>Q38-SUM(Q34:Q35,Q37)</f>
        <v>48089.746083003389</v>
      </c>
      <c r="R39" s="135"/>
      <c r="S39" s="159">
        <f t="shared" si="1"/>
        <v>4.5656105976372902E-2</v>
      </c>
      <c r="T39" s="160"/>
      <c r="U39" s="63">
        <f t="shared" si="2"/>
        <v>7</v>
      </c>
    </row>
    <row r="40" spans="1:21" ht="18" customHeight="1">
      <c r="C40" s="43" t="s">
        <v>127</v>
      </c>
      <c r="G40" s="65"/>
      <c r="I40" s="134"/>
      <c r="J40" s="66"/>
      <c r="K40" s="134"/>
      <c r="L40" s="66"/>
      <c r="O40" s="68"/>
      <c r="P40" s="68"/>
      <c r="Q40" s="67"/>
      <c r="R40" s="67"/>
      <c r="S40" s="159"/>
      <c r="T40" s="160"/>
      <c r="U40" s="63"/>
    </row>
    <row r="41" spans="1:21">
      <c r="A41" s="41">
        <f>MAX(A$14:A40)+1</f>
        <v>25</v>
      </c>
      <c r="C41" s="41" t="s">
        <v>128</v>
      </c>
      <c r="E41" s="41">
        <v>7</v>
      </c>
      <c r="G41" s="65">
        <v>12321.574480000001</v>
      </c>
      <c r="I41" s="134">
        <v>2964.7280000000001</v>
      </c>
      <c r="J41" s="66"/>
      <c r="K41" s="134">
        <v>2964.7280000000001</v>
      </c>
      <c r="L41" s="66"/>
      <c r="M41" s="166" t="s">
        <v>169</v>
      </c>
      <c r="N41" s="160"/>
      <c r="O41" s="68">
        <f>K41</f>
        <v>2964.7280000000001</v>
      </c>
      <c r="P41" s="68"/>
      <c r="Q41" s="67">
        <f t="shared" ref="Q41:Q49" si="4">O41-I41</f>
        <v>0</v>
      </c>
      <c r="R41" s="67"/>
      <c r="S41" s="159">
        <f t="shared" si="1"/>
        <v>0</v>
      </c>
      <c r="T41" s="160"/>
      <c r="U41" s="63">
        <f t="shared" si="2"/>
        <v>24.06</v>
      </c>
    </row>
    <row r="42" spans="1:21">
      <c r="A42" s="41">
        <f>MAX(A$14:A41)+1</f>
        <v>26</v>
      </c>
      <c r="C42" s="41" t="s">
        <v>129</v>
      </c>
      <c r="E42" s="41">
        <v>11</v>
      </c>
      <c r="G42" s="65">
        <v>17077.687000000002</v>
      </c>
      <c r="I42" s="134">
        <v>5089.2430000000004</v>
      </c>
      <c r="J42" s="66"/>
      <c r="K42" s="134">
        <v>5089.2430000000004</v>
      </c>
      <c r="L42" s="66"/>
      <c r="M42" s="166" t="s">
        <v>169</v>
      </c>
      <c r="N42" s="160"/>
      <c r="O42" s="68">
        <f>K42</f>
        <v>5089.2430000000004</v>
      </c>
      <c r="P42" s="68"/>
      <c r="Q42" s="67">
        <f t="shared" si="4"/>
        <v>0</v>
      </c>
      <c r="R42" s="67"/>
      <c r="S42" s="159">
        <f t="shared" si="1"/>
        <v>0</v>
      </c>
      <c r="T42" s="160"/>
      <c r="U42" s="63">
        <f t="shared" si="2"/>
        <v>29.8</v>
      </c>
    </row>
    <row r="43" spans="1:21">
      <c r="A43" s="41">
        <f>MAX(A$14:A42)+1</f>
        <v>27</v>
      </c>
      <c r="C43" s="41" t="s">
        <v>130</v>
      </c>
      <c r="E43" s="41">
        <v>12</v>
      </c>
      <c r="G43" s="78">
        <v>55429.428999999996</v>
      </c>
      <c r="I43" s="134">
        <v>4058.8130000000001</v>
      </c>
      <c r="J43" s="66"/>
      <c r="K43" s="134">
        <v>4058.8130000000001</v>
      </c>
      <c r="L43" s="66"/>
      <c r="M43" s="166" t="s">
        <v>169</v>
      </c>
      <c r="N43" s="160"/>
      <c r="O43" s="68">
        <f>K43</f>
        <v>4058.8130000000001</v>
      </c>
      <c r="P43" s="68"/>
      <c r="Q43" s="67">
        <f t="shared" si="4"/>
        <v>0</v>
      </c>
      <c r="R43" s="67"/>
      <c r="S43" s="159">
        <f t="shared" si="1"/>
        <v>0</v>
      </c>
      <c r="T43" s="160"/>
      <c r="U43" s="63">
        <f t="shared" si="2"/>
        <v>7.32</v>
      </c>
    </row>
    <row r="44" spans="1:21">
      <c r="A44" s="79">
        <f>MAX(A$14:A43)+1</f>
        <v>28</v>
      </c>
      <c r="B44" s="79"/>
      <c r="C44" s="79" t="s">
        <v>131</v>
      </c>
      <c r="D44" s="80"/>
      <c r="E44" s="79">
        <v>15</v>
      </c>
      <c r="F44" s="80"/>
      <c r="G44" s="81">
        <v>15717.486000000001</v>
      </c>
      <c r="H44" s="80"/>
      <c r="I44" s="143">
        <v>1144.626</v>
      </c>
      <c r="J44" s="82"/>
      <c r="K44" s="143">
        <v>1144.626</v>
      </c>
      <c r="L44" s="82"/>
      <c r="M44" s="166" t="s">
        <v>169</v>
      </c>
      <c r="N44" s="160"/>
      <c r="O44" s="68">
        <f>K44</f>
        <v>1144.626</v>
      </c>
      <c r="P44" s="68"/>
      <c r="Q44" s="67">
        <f t="shared" si="4"/>
        <v>0</v>
      </c>
      <c r="R44" s="67"/>
      <c r="S44" s="159">
        <f t="shared" si="1"/>
        <v>0</v>
      </c>
      <c r="T44" s="160"/>
      <c r="U44" s="63">
        <f t="shared" si="2"/>
        <v>7.28</v>
      </c>
    </row>
    <row r="45" spans="1:21">
      <c r="A45" s="41">
        <f>MAX(A$14:A44)+1</f>
        <v>29</v>
      </c>
      <c r="C45" s="41" t="s">
        <v>132</v>
      </c>
      <c r="E45" s="41">
        <v>15</v>
      </c>
      <c r="G45" s="74">
        <v>5662.7629999999999</v>
      </c>
      <c r="I45" s="137">
        <v>584.89400000000001</v>
      </c>
      <c r="J45" s="66"/>
      <c r="K45" s="137">
        <v>642.28099999999995</v>
      </c>
      <c r="L45" s="66"/>
      <c r="M45" s="164">
        <f>K45/$K$52</f>
        <v>3.4255768977081382E-4</v>
      </c>
      <c r="N45" s="160"/>
      <c r="O45" s="71">
        <f>$O$10*M45</f>
        <v>612.96917175015903</v>
      </c>
      <c r="P45" s="68"/>
      <c r="Q45" s="72">
        <f t="shared" si="4"/>
        <v>28.075171750159029</v>
      </c>
      <c r="R45" s="67"/>
      <c r="S45" s="163">
        <f t="shared" si="1"/>
        <v>4.8000444097834868E-2</v>
      </c>
      <c r="T45" s="160"/>
      <c r="U45" s="63">
        <f t="shared" si="2"/>
        <v>10.82</v>
      </c>
    </row>
    <row r="46" spans="1:21">
      <c r="A46" s="41">
        <f>MAX(A$14:A45)+1</f>
        <v>30</v>
      </c>
      <c r="C46" s="75" t="s">
        <v>133</v>
      </c>
      <c r="D46" s="145"/>
      <c r="F46" s="145"/>
      <c r="G46" s="65">
        <f>SUM(G41:G45)</f>
        <v>106208.93948</v>
      </c>
      <c r="H46" s="145"/>
      <c r="I46" s="134">
        <f>SUM(I41:I45)</f>
        <v>13842.304</v>
      </c>
      <c r="J46" s="134"/>
      <c r="K46" s="134">
        <f>SUM(K41:K45)</f>
        <v>13899.690999999999</v>
      </c>
      <c r="L46" s="134"/>
      <c r="M46" s="160">
        <f>M45</f>
        <v>3.4255768977081382E-4</v>
      </c>
      <c r="N46" s="160"/>
      <c r="O46" s="68">
        <f>SUM(O41:O45)</f>
        <v>13870.379171750159</v>
      </c>
      <c r="P46" s="68"/>
      <c r="Q46" s="67">
        <f>SUM(Q41:Q45)</f>
        <v>28.075171750159029</v>
      </c>
      <c r="R46" s="67"/>
      <c r="S46" s="159">
        <f t="shared" si="1"/>
        <v>2.0282152270430578E-3</v>
      </c>
      <c r="T46" s="160"/>
      <c r="U46" s="63">
        <f t="shared" si="2"/>
        <v>13.06</v>
      </c>
    </row>
    <row r="47" spans="1:21" ht="23.1" customHeight="1">
      <c r="A47" s="41">
        <f>MAX(A$14:A46)+1</f>
        <v>31</v>
      </c>
      <c r="C47" s="41" t="s">
        <v>134</v>
      </c>
      <c r="E47" s="64" t="s">
        <v>102</v>
      </c>
      <c r="G47" s="65">
        <v>7.9721299999999999</v>
      </c>
      <c r="I47" s="134">
        <v>0.60099999999999998</v>
      </c>
      <c r="J47" s="66"/>
      <c r="K47" s="134">
        <v>0.60099999999999998</v>
      </c>
      <c r="L47" s="66"/>
      <c r="M47" s="167" t="s">
        <v>169</v>
      </c>
      <c r="N47" s="167"/>
      <c r="O47" s="68">
        <f>K47</f>
        <v>0.60099999999999998</v>
      </c>
      <c r="P47" s="68"/>
      <c r="Q47" s="67">
        <f t="shared" si="4"/>
        <v>0</v>
      </c>
      <c r="R47" s="67"/>
      <c r="S47" s="159">
        <f t="shared" si="1"/>
        <v>0</v>
      </c>
      <c r="T47" s="160"/>
      <c r="U47" s="63">
        <f t="shared" si="2"/>
        <v>7.54</v>
      </c>
    </row>
    <row r="48" spans="1:21">
      <c r="A48" s="41">
        <f>MAX(A$14:A47)+1</f>
        <v>32</v>
      </c>
      <c r="C48" s="41" t="s">
        <v>135</v>
      </c>
      <c r="E48" s="64" t="s">
        <v>102</v>
      </c>
      <c r="G48" s="65">
        <v>135.42099999999999</v>
      </c>
      <c r="I48" s="134">
        <v>17.277000000000001</v>
      </c>
      <c r="J48" s="66"/>
      <c r="K48" s="134">
        <v>17.277000000000001</v>
      </c>
      <c r="L48" s="66"/>
      <c r="M48" s="167" t="s">
        <v>169</v>
      </c>
      <c r="N48" s="167"/>
      <c r="O48" s="68">
        <f>K48</f>
        <v>17.277000000000001</v>
      </c>
      <c r="P48" s="68"/>
      <c r="Q48" s="67">
        <f t="shared" si="4"/>
        <v>0</v>
      </c>
      <c r="R48" s="67"/>
      <c r="S48" s="159">
        <f t="shared" si="1"/>
        <v>0</v>
      </c>
      <c r="T48" s="160"/>
      <c r="U48" s="63">
        <f t="shared" si="2"/>
        <v>12.76</v>
      </c>
    </row>
    <row r="49" spans="1:21">
      <c r="A49" s="41">
        <f>MAX(A$14:A48)+1</f>
        <v>33</v>
      </c>
      <c r="C49" s="41" t="s">
        <v>101</v>
      </c>
      <c r="D49" s="83"/>
      <c r="E49" s="69" t="s">
        <v>102</v>
      </c>
      <c r="F49" s="83"/>
      <c r="G49" s="84" t="s">
        <v>102</v>
      </c>
      <c r="H49" s="83"/>
      <c r="I49" s="137">
        <v>4.6616400000000002</v>
      </c>
      <c r="J49" s="66"/>
      <c r="K49" s="137">
        <v>4.6616400000000002</v>
      </c>
      <c r="L49" s="66"/>
      <c r="M49" s="168" t="s">
        <v>169</v>
      </c>
      <c r="N49" s="167"/>
      <c r="O49" s="68">
        <f>K49</f>
        <v>4.6616400000000002</v>
      </c>
      <c r="P49" s="68"/>
      <c r="Q49" s="72">
        <f t="shared" si="4"/>
        <v>0</v>
      </c>
      <c r="R49" s="67"/>
      <c r="S49" s="163">
        <f t="shared" si="1"/>
        <v>0</v>
      </c>
      <c r="T49" s="160"/>
      <c r="U49" s="63"/>
    </row>
    <row r="50" spans="1:21">
      <c r="A50" s="41">
        <f>MAX(A$14:A49)+1</f>
        <v>34</v>
      </c>
      <c r="C50" s="43" t="s">
        <v>136</v>
      </c>
      <c r="E50" s="79"/>
      <c r="G50" s="74">
        <f>SUM(G47:G49)+G46</f>
        <v>106352.33261</v>
      </c>
      <c r="I50" s="137">
        <f>SUM(I47:I49)+I46</f>
        <v>13864.843640000001</v>
      </c>
      <c r="J50" s="66"/>
      <c r="K50" s="85">
        <f>K46+K47+K48+K49</f>
        <v>13922.23064</v>
      </c>
      <c r="L50" s="66"/>
      <c r="M50" s="169" t="s">
        <v>169</v>
      </c>
      <c r="N50" s="167"/>
      <c r="O50" s="86">
        <f>O46+O47+O48+O49</f>
        <v>13892.91881175016</v>
      </c>
      <c r="P50" s="87"/>
      <c r="Q50" s="88">
        <f>O50-I50</f>
        <v>28.075171750158916</v>
      </c>
      <c r="R50" s="67"/>
      <c r="S50" s="170">
        <f t="shared" si="1"/>
        <v>2.0249180213732952E-3</v>
      </c>
      <c r="T50" s="160"/>
      <c r="U50" s="63">
        <f t="shared" si="2"/>
        <v>13.06</v>
      </c>
    </row>
    <row r="51" spans="1:21" ht="27.75" customHeight="1" thickBot="1">
      <c r="A51" s="41">
        <f>MAX(A$14:A50)+1</f>
        <v>35</v>
      </c>
      <c r="C51" s="43" t="s">
        <v>137</v>
      </c>
      <c r="E51" s="79"/>
      <c r="G51" s="89">
        <f>G50+G38+G18</f>
        <v>23734642.546709999</v>
      </c>
      <c r="I51" s="146">
        <f>I50+I38+I18</f>
        <v>1772847.4974491666</v>
      </c>
      <c r="J51" s="66"/>
      <c r="K51" s="146">
        <f>K18+K38+K50</f>
        <v>1945114.4968294229</v>
      </c>
      <c r="L51" s="66"/>
      <c r="O51" s="90">
        <f>O18+O38+O50</f>
        <v>1858981.1669491665</v>
      </c>
      <c r="P51" s="68"/>
      <c r="Q51" s="91">
        <f>Q18+Q23+Q24+Q27+Q30+Q31+Q32+Q33+Q34+Q35+Q36+Q37+Q45</f>
        <v>86133.669500000105</v>
      </c>
      <c r="R51" s="61"/>
      <c r="S51" s="205">
        <f t="shared" si="1"/>
        <v>4.858492883563429E-2</v>
      </c>
      <c r="U51" s="63"/>
    </row>
    <row r="52" spans="1:21" ht="51.75" customHeight="1" thickTop="1" thickBot="1">
      <c r="A52" s="41">
        <f>MAX(A$14:A51)+1</f>
        <v>36</v>
      </c>
      <c r="C52" s="93" t="s">
        <v>189</v>
      </c>
      <c r="E52" s="79"/>
      <c r="G52" s="81">
        <f>G46+G39+G18-G17</f>
        <v>22472728.410829999</v>
      </c>
      <c r="I52" s="146">
        <f>I46+I39+I18-I17</f>
        <v>1717126.919</v>
      </c>
      <c r="J52" s="66"/>
      <c r="K52" s="94">
        <f>K18-K17+K39+K45</f>
        <v>1874957.1800000002</v>
      </c>
      <c r="L52" s="66"/>
      <c r="M52" s="171">
        <f>M18+M23+M24+M27+M30+M31+M32+M33+M36+M46</f>
        <v>0.99999999999999967</v>
      </c>
      <c r="N52" s="172"/>
      <c r="O52" s="94">
        <f>O15+O16+O39+O45</f>
        <v>1789389.6124774262</v>
      </c>
      <c r="P52" s="94">
        <f>P15+P16+P39+P45</f>
        <v>0</v>
      </c>
      <c r="Q52" s="94">
        <f>Q15+Q16+Q39+Q45</f>
        <v>85520.103477426426</v>
      </c>
      <c r="R52" s="67"/>
      <c r="S52" s="92"/>
      <c r="U52" s="63"/>
    </row>
    <row r="53" spans="1:21" ht="15.75" thickTop="1">
      <c r="C53" s="43"/>
      <c r="E53" s="79"/>
      <c r="G53" s="80"/>
      <c r="H53" s="80"/>
      <c r="I53" s="80"/>
      <c r="J53" s="80"/>
      <c r="K53" s="80"/>
      <c r="L53" s="80"/>
      <c r="M53" s="79"/>
      <c r="N53" s="79"/>
      <c r="P53" s="79"/>
      <c r="Q53" s="61"/>
      <c r="R53" s="61"/>
      <c r="S53" s="92"/>
    </row>
    <row r="54" spans="1:21">
      <c r="A54" s="41" t="s">
        <v>170</v>
      </c>
      <c r="G54" s="80"/>
      <c r="H54" s="80"/>
      <c r="I54" s="80"/>
      <c r="J54" s="80"/>
      <c r="K54" s="143"/>
      <c r="L54" s="80"/>
      <c r="M54" s="79"/>
      <c r="N54" s="79"/>
      <c r="S54" s="92"/>
    </row>
    <row r="55" spans="1:21">
      <c r="A55" s="41" t="s">
        <v>171</v>
      </c>
      <c r="N55" s="79"/>
      <c r="O55" s="120"/>
      <c r="Q55" s="95"/>
      <c r="R55" s="96"/>
      <c r="S55" s="92"/>
    </row>
    <row r="56" spans="1:21">
      <c r="A56" s="41" t="s">
        <v>190</v>
      </c>
      <c r="G56" s="80"/>
      <c r="H56" s="80"/>
      <c r="I56" s="80"/>
      <c r="J56" s="80"/>
      <c r="K56" s="97"/>
      <c r="L56" s="80"/>
      <c r="M56" s="79"/>
      <c r="N56" s="79"/>
      <c r="O56" s="120"/>
      <c r="S56" s="92"/>
    </row>
    <row r="57" spans="1:21">
      <c r="A57" s="41" t="s">
        <v>193</v>
      </c>
      <c r="G57" s="80"/>
      <c r="H57" s="80"/>
      <c r="I57" s="80"/>
      <c r="J57" s="80"/>
      <c r="K57" s="97"/>
      <c r="L57" s="80"/>
      <c r="M57" s="79"/>
      <c r="N57" s="79"/>
      <c r="O57" s="120"/>
      <c r="S57" s="92"/>
    </row>
    <row r="58" spans="1:21">
      <c r="A58" s="41" t="s">
        <v>191</v>
      </c>
      <c r="G58" s="80"/>
      <c r="H58" s="80"/>
      <c r="I58" s="80"/>
      <c r="J58" s="80"/>
      <c r="K58" s="97"/>
      <c r="L58" s="80"/>
      <c r="M58" s="79"/>
      <c r="N58" s="79"/>
      <c r="S58" s="92"/>
    </row>
    <row r="59" spans="1:21">
      <c r="G59" s="80"/>
      <c r="H59" s="80"/>
      <c r="I59" s="80"/>
      <c r="J59" s="80"/>
      <c r="K59" s="98"/>
      <c r="L59" s="80"/>
      <c r="M59" s="79"/>
      <c r="N59" s="79"/>
      <c r="S59" s="92"/>
    </row>
    <row r="60" spans="1:21">
      <c r="G60" s="80"/>
      <c r="H60" s="80"/>
      <c r="I60" s="80"/>
      <c r="J60" s="80"/>
      <c r="K60" s="98"/>
      <c r="L60" s="80"/>
      <c r="M60" s="65"/>
      <c r="N60" s="79"/>
      <c r="S60" s="92"/>
    </row>
    <row r="61" spans="1:21">
      <c r="G61" s="80"/>
      <c r="H61" s="80"/>
      <c r="I61" s="80"/>
      <c r="J61" s="80"/>
      <c r="K61" s="97"/>
      <c r="L61" s="80"/>
      <c r="M61" s="79"/>
      <c r="N61" s="79"/>
    </row>
    <row r="62" spans="1:21">
      <c r="G62" s="80"/>
      <c r="H62" s="80"/>
      <c r="I62" s="80"/>
      <c r="J62" s="80"/>
      <c r="K62" s="97"/>
      <c r="L62" s="80"/>
      <c r="M62" s="79"/>
      <c r="N62" s="79"/>
    </row>
    <row r="63" spans="1:21">
      <c r="G63" s="80"/>
      <c r="H63" s="80"/>
      <c r="I63" s="80"/>
      <c r="J63" s="80"/>
      <c r="K63" s="97"/>
      <c r="L63" s="80"/>
      <c r="M63" s="79"/>
      <c r="N63" s="79"/>
    </row>
    <row r="64" spans="1:21">
      <c r="G64" s="80"/>
      <c r="H64" s="80"/>
      <c r="I64" s="80"/>
      <c r="J64" s="80"/>
      <c r="K64" s="97"/>
      <c r="L64" s="80"/>
      <c r="M64" s="79"/>
      <c r="N64" s="79"/>
    </row>
    <row r="65" spans="7:14">
      <c r="G65" s="80"/>
      <c r="H65" s="80"/>
      <c r="I65" s="80"/>
      <c r="J65" s="80"/>
      <c r="K65" s="97"/>
      <c r="L65" s="80"/>
      <c r="M65" s="79"/>
      <c r="N65" s="79"/>
    </row>
    <row r="66" spans="7:14">
      <c r="G66" s="80"/>
      <c r="H66" s="80"/>
      <c r="I66" s="80"/>
      <c r="J66" s="80"/>
      <c r="K66" s="80"/>
    </row>
  </sheetData>
  <mergeCells count="2">
    <mergeCell ref="A2:U2"/>
    <mergeCell ref="A1:U1"/>
  </mergeCells>
  <printOptions horizontalCentered="1"/>
  <pageMargins left="1.0029166666666667" right="0.99687499999999996" top="1.6965625" bottom="0.35" header="1.0029166666666667" footer="0.25"/>
  <pageSetup scale="46" orientation="landscape" r:id="rId1"/>
  <headerFooter scaleWithDoc="0">
    <oddHeader xml:space="preserve">&amp;R&amp;"Times New Roman,Regular"&amp;8Utah Association of Energy Users
UAE Exhibit COS 2.5 (TNT-5)
Docket No. 11-035-200
Witness: Neal Townsend
Page 1 of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UAE Exhibit COS 2.1 TNT-1</vt:lpstr>
      <vt:lpstr>UAE Exhibit COS 2.2 TNT-2</vt:lpstr>
      <vt:lpstr>UAE Exhibit COS 2.3 TNT-3</vt:lpstr>
      <vt:lpstr>UAE Exhibit COS 2.4 TNT-4</vt:lpstr>
      <vt:lpstr>UAE Exhibit 2.5 TNT-5</vt:lpstr>
      <vt:lpstr>'UAE Exhibit COS 2.4 TNT-4'!Print_Area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ntownsend</dc:creator>
  <cp:lastModifiedBy>Melissa Robyn Paschal</cp:lastModifiedBy>
  <cp:lastPrinted>2012-06-22T18:23:02Z</cp:lastPrinted>
  <dcterms:created xsi:type="dcterms:W3CDTF">2012-06-20T21:41:53Z</dcterms:created>
  <dcterms:modified xsi:type="dcterms:W3CDTF">2012-07-02T19:04:30Z</dcterms:modified>
</cp:coreProperties>
</file>