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80" windowHeight="11700"/>
  </bookViews>
  <sheets>
    <sheet name="Exhibit A1 1&amp;2of3" sheetId="3" r:id="rId1"/>
    <sheet name="Exhibit A1 3of3" sheetId="4" r:id="rId2"/>
    <sheet name="Exhibit A2 1of1" sheetId="2" r:id="rId3"/>
    <sheet name="Exhibit A3 1of2" sheetId="7" r:id="rId4"/>
    <sheet name="Exhibit A3 2of2" sheetId="8" r:id="rId5"/>
  </sheets>
  <externalReferences>
    <externalReference r:id="rId6"/>
    <externalReference r:id="rId7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'Exhibit A1 3of3'!#REF!</definedName>
    <definedName name="Classification">[1]FuncStudy!$Y$91</definedName>
    <definedName name="COSFacVal">[1]Inputs!$W$11</definedName>
    <definedName name="Demand">[2]Inputs!$D$9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[2]Inputs!$Y$11</definedName>
    <definedName name="LinkCos">'[1]JAM Download'!$I$4</definedName>
    <definedName name="NetToGross">[1]Inputs!$H$21</definedName>
    <definedName name="OH">[1]Inputs!$D$24</definedName>
    <definedName name="Page110" localSheetId="4">'Exhibit A3 2of2'!#REF!</definedName>
    <definedName name="Page110">#REF!</definedName>
    <definedName name="Page111" localSheetId="4">'Exhibit A3 2of2'!#REF!</definedName>
    <definedName name="Page111">#REF!</definedName>
    <definedName name="Page112" localSheetId="4">'Exhibit A3 2of2'!#REF!</definedName>
    <definedName name="Page112">#REF!</definedName>
    <definedName name="Page113" localSheetId="4">'Exhibit A3 2of2'!#REF!</definedName>
    <definedName name="Page113">#REF!</definedName>
    <definedName name="Page114" localSheetId="4">'Exhibit A3 2of2'!#REF!</definedName>
    <definedName name="Page114">#REF!</definedName>
    <definedName name="Page115" localSheetId="4">'Exhibit A3 2of2'!$A$45:$P$74</definedName>
    <definedName name="Page115">#REF!</definedName>
    <definedName name="Page116" localSheetId="4">'Exhibit A3 2of2'!#REF!</definedName>
    <definedName name="Page116">#REF!</definedName>
    <definedName name="Page117" localSheetId="4">'Exhibit A3 2of2'!#REF!</definedName>
    <definedName name="Page117">#REF!</definedName>
    <definedName name="Page118" localSheetId="4">'Exhibit A3 2of2'!#REF!</definedName>
    <definedName name="Page118">#REF!</definedName>
    <definedName name="Page119" localSheetId="4">'Exhibit A3 2of2'!#REF!</definedName>
    <definedName name="Page119">#REF!</definedName>
    <definedName name="Page120" localSheetId="4">'Exhibit A3 2of2'!#REF!</definedName>
    <definedName name="Page120">#REF!</definedName>
    <definedName name="Page121" localSheetId="4">'Exhibit A3 2of2'!#REF!</definedName>
    <definedName name="Page121">#REF!</definedName>
    <definedName name="Page122" localSheetId="4">'Exhibit A3 2of2'!#REF!</definedName>
    <definedName name="Page122">#REF!</definedName>
    <definedName name="Page123" localSheetId="4">'Exhibit A3 2of2'!#REF!</definedName>
    <definedName name="Page123">#REF!</definedName>
    <definedName name="page63" localSheetId="4">'[1]Energy Factor'!#REF!</definedName>
    <definedName name="page63">'[1]Energy Factor'!#REF!</definedName>
    <definedName name="page64" localSheetId="4">'[1]Energy Factor'!#REF!</definedName>
    <definedName name="page64">'[1]Energy Factor'!#REF!</definedName>
    <definedName name="_xlnm.Print_Area" localSheetId="1">'Exhibit A1 3of3'!$A$1:$P$49</definedName>
    <definedName name="_xlnm.Print_Area" localSheetId="2">'Exhibit A2 1of1'!$A$1:$O$39</definedName>
    <definedName name="_xlnm.Print_Area" localSheetId="3">'Exhibit A3 1of2'!$A$1:$O$41</definedName>
    <definedName name="_xlnm.Print_Area" localSheetId="4">'Exhibit A3 2of2'!$A$1:$P$79</definedName>
    <definedName name="_xlnm.Print_Titles" localSheetId="4">'Exhibit A3 2of2'!#REF!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25725"/>
</workbook>
</file>

<file path=xl/calcChain.xml><?xml version="1.0" encoding="utf-8"?>
<calcChain xmlns="http://schemas.openxmlformats.org/spreadsheetml/2006/main">
  <c r="L14" i="8"/>
  <c r="N14"/>
  <c r="D14"/>
  <c r="F14"/>
  <c r="G14"/>
  <c r="H14"/>
  <c r="I14"/>
  <c r="J14"/>
  <c r="K14"/>
  <c r="M14"/>
  <c r="O14"/>
  <c r="P17"/>
  <c r="D21"/>
  <c r="E21"/>
  <c r="F21"/>
  <c r="G21"/>
  <c r="H21"/>
  <c r="I21"/>
  <c r="J21"/>
  <c r="K21"/>
  <c r="L21"/>
  <c r="M21"/>
  <c r="N21"/>
  <c r="F26"/>
  <c r="H26"/>
  <c r="J26"/>
  <c r="L26"/>
  <c r="N26"/>
  <c r="D26"/>
  <c r="E35"/>
  <c r="G35"/>
  <c r="I35"/>
  <c r="E50"/>
  <c r="F50"/>
  <c r="I50"/>
  <c r="J50"/>
  <c r="M50"/>
  <c r="N50"/>
  <c r="D50"/>
  <c r="H50"/>
  <c r="L50"/>
  <c r="M56"/>
  <c r="H62"/>
  <c r="D66"/>
  <c r="F66"/>
  <c r="H66"/>
  <c r="L66"/>
  <c r="G67"/>
  <c r="D68"/>
  <c r="H68"/>
  <c r="L68"/>
  <c r="D69"/>
  <c r="F69"/>
  <c r="H69"/>
  <c r="J69"/>
  <c r="L69"/>
  <c r="N69"/>
  <c r="K70"/>
  <c r="M71"/>
  <c r="F12" i="7"/>
  <c r="F13" s="1"/>
  <c r="F14" s="1"/>
  <c r="F15" s="1"/>
  <c r="F16" s="1"/>
  <c r="F17" s="1"/>
  <c r="F18" s="1"/>
  <c r="F19" s="1"/>
  <c r="F20" s="1"/>
  <c r="F21" s="1"/>
  <c r="F22" s="1"/>
  <c r="F23" s="1"/>
  <c r="B25"/>
  <c r="L25"/>
  <c r="F36"/>
  <c r="H25" s="1"/>
  <c r="I47" i="8" l="1"/>
  <c r="E71"/>
  <c r="G70"/>
  <c r="O67"/>
  <c r="P12"/>
  <c r="P11"/>
  <c r="E14"/>
  <c r="M70"/>
  <c r="I70"/>
  <c r="E70"/>
  <c r="E69"/>
  <c r="K67"/>
  <c r="G66"/>
  <c r="E66"/>
  <c r="D62"/>
  <c r="E56"/>
  <c r="P10"/>
  <c r="I71"/>
  <c r="L62"/>
  <c r="P30"/>
  <c r="M47"/>
  <c r="E47"/>
  <c r="I48"/>
  <c r="P19"/>
  <c r="O69"/>
  <c r="M69"/>
  <c r="K69"/>
  <c r="I69"/>
  <c r="P69" s="1"/>
  <c r="G69"/>
  <c r="M67"/>
  <c r="I67"/>
  <c r="E67"/>
  <c r="I61"/>
  <c r="I56"/>
  <c r="O71"/>
  <c r="K71"/>
  <c r="O70"/>
  <c r="M35"/>
  <c r="P24"/>
  <c r="G71"/>
  <c r="N68"/>
  <c r="J68"/>
  <c r="F68"/>
  <c r="N66"/>
  <c r="J66"/>
  <c r="N62"/>
  <c r="J62"/>
  <c r="F62"/>
  <c r="M61"/>
  <c r="E61"/>
  <c r="M48"/>
  <c r="E48"/>
  <c r="O26"/>
  <c r="M26"/>
  <c r="K26"/>
  <c r="I26"/>
  <c r="I37" s="1"/>
  <c r="G26"/>
  <c r="P20"/>
  <c r="P34"/>
  <c r="O35"/>
  <c r="K35"/>
  <c r="K37" s="1"/>
  <c r="O47"/>
  <c r="O48"/>
  <c r="O61"/>
  <c r="K47"/>
  <c r="K48"/>
  <c r="K61"/>
  <c r="G47"/>
  <c r="G48"/>
  <c r="G61"/>
  <c r="P33"/>
  <c r="O68"/>
  <c r="M68"/>
  <c r="K68"/>
  <c r="I68"/>
  <c r="G68"/>
  <c r="P31"/>
  <c r="N35"/>
  <c r="N37" s="1"/>
  <c r="L35"/>
  <c r="L37" s="1"/>
  <c r="J35"/>
  <c r="J37" s="1"/>
  <c r="H35"/>
  <c r="H37" s="1"/>
  <c r="F35"/>
  <c r="F37" s="1"/>
  <c r="D35"/>
  <c r="P18"/>
  <c r="O62"/>
  <c r="M62"/>
  <c r="M63" s="1"/>
  <c r="K62"/>
  <c r="I62"/>
  <c r="I63" s="1"/>
  <c r="G62"/>
  <c r="E62"/>
  <c r="O56"/>
  <c r="K56"/>
  <c r="G56"/>
  <c r="O50"/>
  <c r="K50"/>
  <c r="G50"/>
  <c r="N48"/>
  <c r="L48"/>
  <c r="J48"/>
  <c r="H48"/>
  <c r="D48"/>
  <c r="N71"/>
  <c r="L71"/>
  <c r="J71"/>
  <c r="H71"/>
  <c r="F71"/>
  <c r="D71"/>
  <c r="P32"/>
  <c r="O66"/>
  <c r="M66"/>
  <c r="K66"/>
  <c r="I66"/>
  <c r="P29"/>
  <c r="M37"/>
  <c r="G37"/>
  <c r="P25"/>
  <c r="P14"/>
  <c r="N47"/>
  <c r="N55"/>
  <c r="L49"/>
  <c r="J61"/>
  <c r="J63" s="1"/>
  <c r="J47"/>
  <c r="J55"/>
  <c r="J57"/>
  <c r="H49"/>
  <c r="F48"/>
  <c r="F61"/>
  <c r="F54"/>
  <c r="F55"/>
  <c r="F47"/>
  <c r="F49"/>
  <c r="F57"/>
  <c r="D49"/>
  <c r="D54"/>
  <c r="M72"/>
  <c r="D37"/>
  <c r="O21"/>
  <c r="N70"/>
  <c r="L70"/>
  <c r="J70"/>
  <c r="H70"/>
  <c r="F70"/>
  <c r="D70"/>
  <c r="E68"/>
  <c r="N67"/>
  <c r="L67"/>
  <c r="J67"/>
  <c r="H67"/>
  <c r="F67"/>
  <c r="D67"/>
  <c r="O57"/>
  <c r="M57"/>
  <c r="K57"/>
  <c r="I57"/>
  <c r="G57"/>
  <c r="E57"/>
  <c r="N56"/>
  <c r="L56"/>
  <c r="J56"/>
  <c r="H56"/>
  <c r="F56"/>
  <c r="D56"/>
  <c r="O55"/>
  <c r="M55"/>
  <c r="K55"/>
  <c r="I55"/>
  <c r="G55"/>
  <c r="E55"/>
  <c r="O54"/>
  <c r="M54"/>
  <c r="M58" s="1"/>
  <c r="K54"/>
  <c r="I54"/>
  <c r="I58" s="1"/>
  <c r="G54"/>
  <c r="E54"/>
  <c r="E58" s="1"/>
  <c r="O49"/>
  <c r="M49"/>
  <c r="M51" s="1"/>
  <c r="K49"/>
  <c r="I49"/>
  <c r="I51" s="1"/>
  <c r="G49"/>
  <c r="E49"/>
  <c r="E51" s="1"/>
  <c r="E26"/>
  <c r="H12" i="7"/>
  <c r="P35" i="8" l="1"/>
  <c r="K58"/>
  <c r="K72"/>
  <c r="P71"/>
  <c r="G51"/>
  <c r="K51"/>
  <c r="O51"/>
  <c r="O58"/>
  <c r="F63"/>
  <c r="P66"/>
  <c r="I72"/>
  <c r="G72"/>
  <c r="N61"/>
  <c r="N63" s="1"/>
  <c r="O72"/>
  <c r="J49"/>
  <c r="J54"/>
  <c r="J58" s="1"/>
  <c r="N57"/>
  <c r="N49"/>
  <c r="N51" s="1"/>
  <c r="N54"/>
  <c r="P62"/>
  <c r="D55"/>
  <c r="D57"/>
  <c r="D61"/>
  <c r="H54"/>
  <c r="H61"/>
  <c r="H63" s="1"/>
  <c r="L57"/>
  <c r="L61"/>
  <c r="L63" s="1"/>
  <c r="K63"/>
  <c r="P48"/>
  <c r="F72"/>
  <c r="J72"/>
  <c r="N72"/>
  <c r="P70"/>
  <c r="D47"/>
  <c r="D51" s="1"/>
  <c r="H55"/>
  <c r="H57"/>
  <c r="H47"/>
  <c r="H51" s="1"/>
  <c r="J51"/>
  <c r="L54"/>
  <c r="L55"/>
  <c r="L47"/>
  <c r="L51" s="1"/>
  <c r="E63"/>
  <c r="G63"/>
  <c r="O63"/>
  <c r="D72"/>
  <c r="P67"/>
  <c r="P68"/>
  <c r="E72"/>
  <c r="E76" s="1"/>
  <c r="P21"/>
  <c r="O37"/>
  <c r="D63"/>
  <c r="P56"/>
  <c r="H72"/>
  <c r="L72"/>
  <c r="F58"/>
  <c r="F51"/>
  <c r="N58"/>
  <c r="E37"/>
  <c r="P26"/>
  <c r="G58"/>
  <c r="M76"/>
  <c r="I76"/>
  <c r="H13" i="7"/>
  <c r="P61" i="8" l="1"/>
  <c r="K76"/>
  <c r="D58"/>
  <c r="D76" s="1"/>
  <c r="G76"/>
  <c r="O76"/>
  <c r="H58"/>
  <c r="H76" s="1"/>
  <c r="P57"/>
  <c r="N76"/>
  <c r="P49"/>
  <c r="P63"/>
  <c r="P54"/>
  <c r="P37"/>
  <c r="J76"/>
  <c r="P72"/>
  <c r="L58"/>
  <c r="L76" s="1"/>
  <c r="P47"/>
  <c r="P55"/>
  <c r="P58" s="1"/>
  <c r="F76"/>
  <c r="H14" i="7"/>
  <c r="P51" i="8" l="1"/>
  <c r="P76"/>
  <c r="D18" i="7"/>
  <c r="D19"/>
  <c r="D20"/>
  <c r="H15"/>
  <c r="D22" l="1"/>
  <c r="D17"/>
  <c r="D13"/>
  <c r="J13" s="1"/>
  <c r="N13" s="1"/>
  <c r="D15"/>
  <c r="J15" s="1"/>
  <c r="N15" s="1"/>
  <c r="D12"/>
  <c r="D21"/>
  <c r="D23"/>
  <c r="D14"/>
  <c r="J14" s="1"/>
  <c r="N14" s="1"/>
  <c r="D16"/>
  <c r="P78" i="8"/>
  <c r="H16" i="7"/>
  <c r="D25"/>
  <c r="J25" s="1"/>
  <c r="N25" s="1"/>
  <c r="J12"/>
  <c r="N12" s="1"/>
  <c r="C25" l="1"/>
  <c r="J16"/>
  <c r="N16" s="1"/>
  <c r="H17"/>
  <c r="J17" l="1"/>
  <c r="N17" s="1"/>
  <c r="H18"/>
  <c r="Q49" i="4"/>
  <c r="Q47"/>
  <c r="E38"/>
  <c r="E35"/>
  <c r="P33"/>
  <c r="O33"/>
  <c r="N33"/>
  <c r="M33"/>
  <c r="L33"/>
  <c r="K33"/>
  <c r="J33"/>
  <c r="I33"/>
  <c r="H33"/>
  <c r="G33"/>
  <c r="F33"/>
  <c r="P32"/>
  <c r="O32"/>
  <c r="N32"/>
  <c r="M32"/>
  <c r="L32"/>
  <c r="K32"/>
  <c r="J32"/>
  <c r="I32"/>
  <c r="H32"/>
  <c r="G32"/>
  <c r="F32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F29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P23"/>
  <c r="O23"/>
  <c r="N23"/>
  <c r="M23"/>
  <c r="L23"/>
  <c r="K23"/>
  <c r="J23"/>
  <c r="I23"/>
  <c r="H23"/>
  <c r="G23"/>
  <c r="F23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P18"/>
  <c r="O18"/>
  <c r="N18"/>
  <c r="M18"/>
  <c r="L18"/>
  <c r="K18"/>
  <c r="J18"/>
  <c r="I18"/>
  <c r="H18"/>
  <c r="G18"/>
  <c r="F18"/>
  <c r="P17"/>
  <c r="O17"/>
  <c r="N17"/>
  <c r="M17"/>
  <c r="L17"/>
  <c r="K17"/>
  <c r="J17"/>
  <c r="I17"/>
  <c r="H17"/>
  <c r="G17"/>
  <c r="F17"/>
  <c r="P14"/>
  <c r="O14"/>
  <c r="N14"/>
  <c r="M14"/>
  <c r="L14"/>
  <c r="K14"/>
  <c r="J14"/>
  <c r="I14"/>
  <c r="H14"/>
  <c r="G14"/>
  <c r="F14"/>
  <c r="AC37" i="3"/>
  <c r="AB33"/>
  <c r="AC34" s="1"/>
  <c r="AD25"/>
  <c r="Z25"/>
  <c r="Z12" s="1"/>
  <c r="Z13" s="1"/>
  <c r="L25"/>
  <c r="D25"/>
  <c r="U23"/>
  <c r="B23"/>
  <c r="F23" s="1"/>
  <c r="U22"/>
  <c r="B22"/>
  <c r="F22" s="1"/>
  <c r="U21"/>
  <c r="B21"/>
  <c r="F21" s="1"/>
  <c r="U20"/>
  <c r="B20"/>
  <c r="F20" s="1"/>
  <c r="U19"/>
  <c r="B19"/>
  <c r="F19" s="1"/>
  <c r="U18"/>
  <c r="B18"/>
  <c r="F18" s="1"/>
  <c r="U17"/>
  <c r="B17"/>
  <c r="F17" s="1"/>
  <c r="U16"/>
  <c r="B16"/>
  <c r="F16" s="1"/>
  <c r="U15"/>
  <c r="B15"/>
  <c r="F15" s="1"/>
  <c r="U14"/>
  <c r="H14"/>
  <c r="H15" s="1"/>
  <c r="H16" s="1"/>
  <c r="H17" s="1"/>
  <c r="H18" s="1"/>
  <c r="H19" s="1"/>
  <c r="H20" s="1"/>
  <c r="H21" s="1"/>
  <c r="H22" s="1"/>
  <c r="H23" s="1"/>
  <c r="B14"/>
  <c r="F14" s="1"/>
  <c r="U13"/>
  <c r="H13"/>
  <c r="B13"/>
  <c r="F13" s="1"/>
  <c r="J13" s="1"/>
  <c r="N13" s="1"/>
  <c r="W13" s="1"/>
  <c r="U12"/>
  <c r="B12"/>
  <c r="F12" s="1"/>
  <c r="J12" s="1"/>
  <c r="N12" s="1"/>
  <c r="F35" i="2"/>
  <c r="H25" s="1"/>
  <c r="J25" s="1"/>
  <c r="L25"/>
  <c r="B25"/>
  <c r="D23" s="1"/>
  <c r="D22"/>
  <c r="D20"/>
  <c r="D18"/>
  <c r="D16"/>
  <c r="D14"/>
  <c r="F12"/>
  <c r="F13" s="1"/>
  <c r="F14" s="1"/>
  <c r="F15" s="1"/>
  <c r="F16" s="1"/>
  <c r="F17" s="1"/>
  <c r="F18" s="1"/>
  <c r="F19" s="1"/>
  <c r="F20" s="1"/>
  <c r="F21" s="1"/>
  <c r="F22" s="1"/>
  <c r="F23" s="1"/>
  <c r="D12"/>
  <c r="E41" i="4" l="1"/>
  <c r="J14" i="3"/>
  <c r="N14" s="1"/>
  <c r="W14" s="1"/>
  <c r="E36" i="4"/>
  <c r="D13" i="2"/>
  <c r="D15"/>
  <c r="D17"/>
  <c r="D19"/>
  <c r="D21"/>
  <c r="N25"/>
  <c r="J18" i="7"/>
  <c r="N18" s="1"/>
  <c r="H19"/>
  <c r="F38" i="4"/>
  <c r="H38"/>
  <c r="J38"/>
  <c r="L38"/>
  <c r="N38"/>
  <c r="P38"/>
  <c r="Q17"/>
  <c r="Q20"/>
  <c r="Q23"/>
  <c r="Q26"/>
  <c r="Q30"/>
  <c r="Q33"/>
  <c r="G35"/>
  <c r="I35"/>
  <c r="I36" s="1"/>
  <c r="K35"/>
  <c r="K36" s="1"/>
  <c r="M35"/>
  <c r="M36" s="1"/>
  <c r="O35"/>
  <c r="Q18"/>
  <c r="Q21"/>
  <c r="Q25"/>
  <c r="Q29"/>
  <c r="Q32"/>
  <c r="Z14" i="3"/>
  <c r="AB13"/>
  <c r="AF13" s="1"/>
  <c r="G36" i="4"/>
  <c r="O36"/>
  <c r="J17" i="3"/>
  <c r="N17" s="1"/>
  <c r="W17" s="1"/>
  <c r="J21"/>
  <c r="N21" s="1"/>
  <c r="W21" s="1"/>
  <c r="J15"/>
  <c r="N15" s="1"/>
  <c r="W15" s="1"/>
  <c r="J16"/>
  <c r="N16" s="1"/>
  <c r="W16" s="1"/>
  <c r="J19"/>
  <c r="N19" s="1"/>
  <c r="W19" s="1"/>
  <c r="J20"/>
  <c r="N20" s="1"/>
  <c r="W20" s="1"/>
  <c r="J23"/>
  <c r="N23" s="1"/>
  <c r="W23" s="1"/>
  <c r="W12"/>
  <c r="J18"/>
  <c r="N18" s="1"/>
  <c r="W18" s="1"/>
  <c r="J22"/>
  <c r="N22" s="1"/>
  <c r="W22" s="1"/>
  <c r="B25"/>
  <c r="F25" s="1"/>
  <c r="Q14" i="4"/>
  <c r="F35"/>
  <c r="H35"/>
  <c r="J35"/>
  <c r="L35"/>
  <c r="N35"/>
  <c r="P35"/>
  <c r="G38"/>
  <c r="I38"/>
  <c r="K38"/>
  <c r="M38"/>
  <c r="O38"/>
  <c r="E43"/>
  <c r="E42" s="1"/>
  <c r="H12" i="2"/>
  <c r="AB12" i="3"/>
  <c r="Y25"/>
  <c r="Y12" s="1"/>
  <c r="Y13" s="1"/>
  <c r="Y14" s="1"/>
  <c r="Y15" s="1"/>
  <c r="Y16" s="1"/>
  <c r="Y17" s="1"/>
  <c r="Y18" s="1"/>
  <c r="Y19" s="1"/>
  <c r="Y20" s="1"/>
  <c r="Y21" s="1"/>
  <c r="Y22" s="1"/>
  <c r="Y23" s="1"/>
  <c r="E39" i="4" l="1"/>
  <c r="J19" i="7"/>
  <c r="N19" s="1"/>
  <c r="H20"/>
  <c r="Q38" i="4"/>
  <c r="M41"/>
  <c r="M43" s="1"/>
  <c r="M39" s="1"/>
  <c r="P36"/>
  <c r="P41"/>
  <c r="H36"/>
  <c r="H41"/>
  <c r="AF12" i="3"/>
  <c r="N36" i="4"/>
  <c r="N41"/>
  <c r="J36"/>
  <c r="J41"/>
  <c r="F36"/>
  <c r="F41"/>
  <c r="Z15" i="3"/>
  <c r="AB14"/>
  <c r="AF14" s="1"/>
  <c r="Q35" i="4"/>
  <c r="I41"/>
  <c r="I43" s="1"/>
  <c r="I39" s="1"/>
  <c r="N25" i="3"/>
  <c r="J25" s="1"/>
  <c r="O41" i="4"/>
  <c r="O43" s="1"/>
  <c r="O39" s="1"/>
  <c r="K41"/>
  <c r="G41"/>
  <c r="G43" s="1"/>
  <c r="G39" s="1"/>
  <c r="H13" i="2"/>
  <c r="J12"/>
  <c r="N12" s="1"/>
  <c r="L36" i="4"/>
  <c r="L41"/>
  <c r="W25" i="3"/>
  <c r="J20" i="7" l="1"/>
  <c r="N20" s="1"/>
  <c r="H21"/>
  <c r="M42" i="4"/>
  <c r="F43"/>
  <c r="Q41"/>
  <c r="H14" i="2"/>
  <c r="J13"/>
  <c r="N13" s="1"/>
  <c r="J43" i="4"/>
  <c r="J39" s="1"/>
  <c r="N43"/>
  <c r="N39" s="1"/>
  <c r="H43"/>
  <c r="H39" s="1"/>
  <c r="P43"/>
  <c r="P39" s="1"/>
  <c r="L43"/>
  <c r="L39" s="1"/>
  <c r="Z16" i="3"/>
  <c r="AB15"/>
  <c r="AF15" s="1"/>
  <c r="K43" i="4"/>
  <c r="K39" s="1"/>
  <c r="G42"/>
  <c r="O42"/>
  <c r="I42"/>
  <c r="J21" i="7" l="1"/>
  <c r="N21" s="1"/>
  <c r="H22"/>
  <c r="K42" i="4"/>
  <c r="F39"/>
  <c r="Q43"/>
  <c r="Z17" i="3"/>
  <c r="AB16"/>
  <c r="AF16" s="1"/>
  <c r="H15" i="2"/>
  <c r="J14"/>
  <c r="N14" s="1"/>
  <c r="L42" i="4"/>
  <c r="P42"/>
  <c r="H42"/>
  <c r="N42"/>
  <c r="J42"/>
  <c r="F42"/>
  <c r="J22" i="7" l="1"/>
  <c r="N22" s="1"/>
  <c r="H23"/>
  <c r="J23" s="1"/>
  <c r="N23" s="1"/>
  <c r="H16" i="2"/>
  <c r="J15"/>
  <c r="N15" s="1"/>
  <c r="Z18" i="3"/>
  <c r="AB17"/>
  <c r="AF17" s="1"/>
  <c r="Z19" l="1"/>
  <c r="AB18"/>
  <c r="AF18" s="1"/>
  <c r="H17" i="2"/>
  <c r="J16"/>
  <c r="N16" s="1"/>
  <c r="H18" l="1"/>
  <c r="J17"/>
  <c r="N17" s="1"/>
  <c r="Z20" i="3"/>
  <c r="AB19"/>
  <c r="AF19" s="1"/>
  <c r="Z21" l="1"/>
  <c r="AB20"/>
  <c r="AF20" s="1"/>
  <c r="H19" i="2"/>
  <c r="J18"/>
  <c r="N18" s="1"/>
  <c r="H20" l="1"/>
  <c r="J19"/>
  <c r="N19" s="1"/>
  <c r="Z22" i="3"/>
  <c r="AB21"/>
  <c r="AF21" s="1"/>
  <c r="Z23" l="1"/>
  <c r="AB23" s="1"/>
  <c r="AB22"/>
  <c r="AF22" s="1"/>
  <c r="H21" i="2"/>
  <c r="J20"/>
  <c r="N20" s="1"/>
  <c r="H22" l="1"/>
  <c r="J21"/>
  <c r="N21" s="1"/>
  <c r="AF23" i="3"/>
  <c r="AB25"/>
  <c r="AF25" s="1"/>
  <c r="J22" i="2" l="1"/>
  <c r="N22" s="1"/>
  <c r="H23"/>
  <c r="J23" s="1"/>
  <c r="N23" s="1"/>
</calcChain>
</file>

<file path=xl/sharedStrings.xml><?xml version="1.0" encoding="utf-8"?>
<sst xmlns="http://schemas.openxmlformats.org/spreadsheetml/2006/main" count="331" uniqueCount="168">
  <si>
    <t>Utah EBA $/MWh</t>
  </si>
  <si>
    <t>Total</t>
  </si>
  <si>
    <t>Utah Energy Balancing Account Base</t>
  </si>
  <si>
    <t>Rebuttal Net Power Costs</t>
  </si>
  <si>
    <t>Wheeling Revenues</t>
  </si>
  <si>
    <t>Total Company</t>
  </si>
  <si>
    <t>Utah Allocated</t>
  </si>
  <si>
    <t>Utah EBA Base</t>
  </si>
  <si>
    <t>Utah Retail Sales MWh</t>
  </si>
  <si>
    <t>(a)</t>
  </si>
  <si>
    <t>(b)</t>
  </si>
  <si>
    <t>(c)</t>
  </si>
  <si>
    <t>(d)</t>
  </si>
  <si>
    <t>(e)</t>
  </si>
  <si>
    <t>(f)</t>
  </si>
  <si>
    <t>(g)</t>
  </si>
  <si>
    <t>[note 1]</t>
  </si>
  <si>
    <t>[note 2]</t>
  </si>
  <si>
    <t>[see detail below]</t>
  </si>
  <si>
    <t xml:space="preserve">[(b) + (d)] </t>
  </si>
  <si>
    <t>[note 3]</t>
  </si>
  <si>
    <t xml:space="preserve">[(c) / (d)] </t>
  </si>
  <si>
    <t xml:space="preserve">Footnotes:  (1) </t>
  </si>
  <si>
    <t>GND-1R</t>
  </si>
  <si>
    <t xml:space="preserve">(2) </t>
  </si>
  <si>
    <t>Total per SRM-2R, page 2.2. Monthly amounts calculated using ratio of totals (Column B/Column A).</t>
  </si>
  <si>
    <t xml:space="preserve">(3) </t>
  </si>
  <si>
    <t>Total per SRM-3, page 3.1.5; monthly per pricing backup.</t>
  </si>
  <si>
    <t>Utah Allocated Wheeling Revenues</t>
  </si>
  <si>
    <t>Firm Wheeling</t>
  </si>
  <si>
    <t>Utah SG Allocation</t>
  </si>
  <si>
    <t>Non-firm Wheeling</t>
  </si>
  <si>
    <t>Utah SE Allocation</t>
  </si>
  <si>
    <t>Page 1 of 2</t>
  </si>
  <si>
    <t>Page 2 of 2</t>
  </si>
  <si>
    <t>Net Power Cost Calculation</t>
  </si>
  <si>
    <t>Utah Net Power Cost Calculation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</si>
  <si>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</si>
  <si>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</si>
  <si>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</si>
  <si>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</si>
  <si>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</si>
  <si>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</si>
  <si>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(h)</t>
  </si>
  <si>
    <t>(i)</t>
  </si>
  <si>
    <t>(j)</t>
  </si>
  <si>
    <t>(k)</t>
  </si>
  <si>
    <t>(l)</t>
  </si>
  <si>
    <t>(m)</t>
  </si>
  <si>
    <t xml:space="preserve">[(a) / (b)] </t>
  </si>
  <si>
    <t>[note 4]</t>
  </si>
  <si>
    <t>[(c) * (d)]</t>
  </si>
  <si>
    <t>[(e) * (f)]</t>
  </si>
  <si>
    <t>[column (g)]</t>
  </si>
  <si>
    <t>[(h) + (j)]</t>
  </si>
  <si>
    <t xml:space="preserve">[(k) / (l)] </t>
  </si>
  <si>
    <t xml:space="preserve">(4) </t>
  </si>
  <si>
    <t>Rocky Mountain Power</t>
  </si>
  <si>
    <t>Cost Of Service By Rate Schedule</t>
  </si>
  <si>
    <t>State of Utah</t>
  </si>
  <si>
    <t>2010 Protocol (Non Wgt)</t>
  </si>
  <si>
    <t>12 Months Ended May 2013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</si>
  <si>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</si>
  <si>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</si>
  <si>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</si>
  <si>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</si>
  <si>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</si>
  <si>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</si>
  <si>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</si>
  <si>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</si>
  <si>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</si>
  <si>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</si>
  <si>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</si>
  <si>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</si>
  <si>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</si>
  <si>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</si>
  <si>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</si>
  <si>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</si>
  <si>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</si>
  <si>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</si>
  <si>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</si>
  <si>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</si>
  <si>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</si>
  <si>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</si>
  <si>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</si>
  <si>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</si>
  <si>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</si>
  <si>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</si>
  <si>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</si>
  <si>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</si>
  <si>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</si>
  <si>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</si>
  <si>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</si>
  <si>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</si>
  <si>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</si>
  <si>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</si>
  <si>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</si>
  <si>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</si>
  <si>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</si>
  <si>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</si>
  <si>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</si>
  <si>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</si>
  <si>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</si>
  <si>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</si>
  <si>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</si>
  <si>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</si>
  <si>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</si>
  <si>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</si>
  <si>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</si>
  <si>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</si>
  <si>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</si>
  <si>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</si>
  <si>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</si>
  <si>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</si>
  <si>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</si>
  <si>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</si>
  <si>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</si>
  <si>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</si>
  <si>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Exhibit A2</t>
  </si>
  <si>
    <t>Exhibit A1</t>
  </si>
  <si>
    <t>SRM-3 Page 3.2.4</t>
  </si>
  <si>
    <t xml:space="preserve">[(e) / (f)] </t>
  </si>
  <si>
    <t>Exhibit A3</t>
  </si>
  <si>
    <t>TOTAL UTAH ALLOCATED NET POWER COST (SCALED)</t>
  </si>
  <si>
    <t>TOTAL UTAH ALLOCATED NET POWER COST</t>
  </si>
  <si>
    <t>501/547/503</t>
  </si>
  <si>
    <t>Total Fuel Expense</t>
  </si>
  <si>
    <t>SE</t>
  </si>
  <si>
    <t>Simple Cycle CT</t>
  </si>
  <si>
    <t>Natural Gas Consumed</t>
  </si>
  <si>
    <t>Fuel Consumed-Gas</t>
  </si>
  <si>
    <t>Fuel Consumed - Coal (Cholla)</t>
  </si>
  <si>
    <t>Fuel Consumed - Coal</t>
  </si>
  <si>
    <t>Fuel Expense</t>
  </si>
  <si>
    <t xml:space="preserve"> </t>
  </si>
  <si>
    <t>Total Wheeling Expense</t>
  </si>
  <si>
    <t>Non-Firm Wheeling</t>
  </si>
  <si>
    <t>SG</t>
  </si>
  <si>
    <t>Wheeling Expense</t>
  </si>
  <si>
    <t>Total Purchased Power</t>
  </si>
  <si>
    <t>Post-Merger Firm</t>
  </si>
  <si>
    <t>Existing Firm Energy</t>
  </si>
  <si>
    <t>Existing Firm Demand UPL</t>
  </si>
  <si>
    <t>Existing Firm Demand PPL</t>
  </si>
  <si>
    <t>Total Sales for Resale</t>
  </si>
  <si>
    <t>Non-Firm</t>
  </si>
  <si>
    <t>Existing Firm UPL</t>
  </si>
  <si>
    <t>Existing Firm PPL</t>
  </si>
  <si>
    <t>FERC Account</t>
  </si>
  <si>
    <t>Monthly Utah SG</t>
  </si>
  <si>
    <t>Monthly Utah SE</t>
  </si>
  <si>
    <t>SC</t>
  </si>
  <si>
    <t>Monthly Utah SC</t>
  </si>
  <si>
    <t>MONTHLY ALLOCATION TO UTAH</t>
  </si>
  <si>
    <t>TOTAL COMPANY NET POWER COST</t>
  </si>
  <si>
    <t>TOTAL COMPANY NPC BY FERC ACCOUNT</t>
  </si>
  <si>
    <t>Utah Allocation Based on Annual SE and SG Factors</t>
  </si>
  <si>
    <t>Utah Allocation Based on Monthly SE and SG Factors</t>
  </si>
  <si>
    <t>Utah Allocation Based on Scalar Method from Docket 10-035-124</t>
  </si>
  <si>
    <t>SRM-2R, page 11.16, loads at input used in calculating allocation factors.</t>
  </si>
  <si>
    <t>not all costs use an SE factor.  The scalar will be dynamically calculated using actual Utah allocated NPC for the EBA.</t>
  </si>
  <si>
    <t>The scalar is calculated by iteration to achieve the annual Utah allocated NPC amount.  This adjustment is necessary because</t>
  </si>
  <si>
    <t>Page 3 of 3</t>
  </si>
  <si>
    <t>Page 1 of 3</t>
  </si>
  <si>
    <t>Page 2 of 3</t>
  </si>
  <si>
    <t>TOTAL EBA COSTS</t>
  </si>
  <si>
    <t>See Exhibit A3 page 2 of 2</t>
  </si>
  <si>
    <t>Utah Allocation Based on Scalar Method</t>
  </si>
</sst>
</file>

<file path=xl/styles.xml><?xml version="1.0" encoding="utf-8"?>
<styleSheet xmlns="http://schemas.openxmlformats.org/spreadsheetml/2006/main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0.000%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%"/>
    <numFmt numFmtId="171" formatCode="dd\-mmm\-yy_)"/>
    <numFmt numFmtId="172" formatCode="_(* #,##0.00000_);_(* \(#,##0.00000\);_(* &quot;-&quot;??_);_(@_)"/>
    <numFmt numFmtId="173" formatCode="_(* #,##0_);[Red]_(* \(#,##0\);_(* &quot;-&quot;_);_(@_)"/>
    <numFmt numFmtId="174" formatCode="[$-409]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Swiss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9"/>
      <name val="Helv"/>
    </font>
    <font>
      <sz val="12"/>
      <name val="Times New Roman"/>
      <family val="1"/>
    </font>
    <font>
      <sz val="10"/>
      <name val="SWISS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9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/>
    <xf numFmtId="173" fontId="8" fillId="0" borderId="0"/>
    <xf numFmtId="0" fontId="17" fillId="0" borderId="0"/>
    <xf numFmtId="0" fontId="18" fillId="0" borderId="0"/>
    <xf numFmtId="0" fontId="8" fillId="0" borderId="0"/>
    <xf numFmtId="0" fontId="17" fillId="0" borderId="0"/>
    <xf numFmtId="41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164" fontId="2" fillId="0" borderId="0" xfId="0" applyNumberFormat="1" applyFont="1" applyBorder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 applyBorder="1" applyAlignment="1">
      <alignment horizontal="center"/>
    </xf>
    <xf numFmtId="165" fontId="0" fillId="0" borderId="7" xfId="2" applyNumberFormat="1" applyFont="1" applyBorder="1"/>
    <xf numFmtId="0" fontId="0" fillId="0" borderId="8" xfId="0" applyBorder="1"/>
    <xf numFmtId="167" fontId="0" fillId="0" borderId="0" xfId="3" applyNumberFormat="1" applyFont="1"/>
    <xf numFmtId="167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2" applyNumberFormat="1" applyFont="1" applyFill="1"/>
    <xf numFmtId="168" fontId="0" fillId="0" borderId="0" xfId="2" applyNumberFormat="1" applyFont="1"/>
    <xf numFmtId="169" fontId="0" fillId="0" borderId="0" xfId="1" applyNumberFormat="1" applyFont="1"/>
    <xf numFmtId="169" fontId="0" fillId="0" borderId="0" xfId="0" applyNumberFormat="1" applyFill="1"/>
    <xf numFmtId="169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168" fontId="1" fillId="0" borderId="7" xfId="2" applyNumberFormat="1" applyFont="1" applyFill="1" applyBorder="1"/>
    <xf numFmtId="168" fontId="1" fillId="0" borderId="0" xfId="2" applyNumberFormat="1" applyFont="1"/>
    <xf numFmtId="168" fontId="0" fillId="0" borderId="7" xfId="2" applyNumberFormat="1" applyFont="1" applyFill="1" applyBorder="1"/>
    <xf numFmtId="169" fontId="1" fillId="0" borderId="7" xfId="1" applyNumberFormat="1" applyFont="1" applyFill="1" applyBorder="1"/>
    <xf numFmtId="0" fontId="0" fillId="0" borderId="0" xfId="0" applyFont="1"/>
    <xf numFmtId="165" fontId="1" fillId="0" borderId="7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8" fontId="0" fillId="0" borderId="0" xfId="0" applyNumberFormat="1"/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8" fontId="0" fillId="0" borderId="0" xfId="2" applyNumberFormat="1" applyFont="1" applyBorder="1"/>
    <xf numFmtId="170" fontId="0" fillId="0" borderId="0" xfId="3" applyNumberFormat="1" applyFont="1" applyBorder="1"/>
    <xf numFmtId="168" fontId="0" fillId="0" borderId="6" xfId="2" applyNumberFormat="1" applyFont="1" applyBorder="1"/>
    <xf numFmtId="0" fontId="0" fillId="0" borderId="5" xfId="0" applyBorder="1" applyAlignment="1">
      <alignment horizontal="right"/>
    </xf>
    <xf numFmtId="170" fontId="0" fillId="0" borderId="5" xfId="3" applyNumberFormat="1" applyFont="1" applyBorder="1"/>
    <xf numFmtId="168" fontId="0" fillId="0" borderId="9" xfId="2" applyNumberFormat="1" applyFont="1" applyBorder="1"/>
    <xf numFmtId="169" fontId="0" fillId="0" borderId="0" xfId="1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69" fontId="0" fillId="0" borderId="7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168" fontId="2" fillId="0" borderId="0" xfId="2" applyNumberFormat="1" applyFont="1"/>
    <xf numFmtId="169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43" fontId="0" fillId="0" borderId="0" xfId="1" applyFont="1"/>
    <xf numFmtId="37" fontId="7" fillId="0" borderId="0" xfId="0" applyNumberFormat="1" applyFont="1" applyFill="1" applyAlignment="1" applyProtection="1">
      <alignment horizontal="centerContinuous"/>
    </xf>
    <xf numFmtId="41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 applyProtection="1">
      <alignment horizontal="centerContinuous"/>
    </xf>
    <xf numFmtId="171" fontId="8" fillId="0" borderId="0" xfId="4" applyFont="1" applyFill="1"/>
    <xf numFmtId="171" fontId="8" fillId="0" borderId="0" xfId="4" applyFont="1" applyFill="1" applyAlignment="1">
      <alignment horizontal="centerContinuous"/>
    </xf>
    <xf numFmtId="169" fontId="8" fillId="0" borderId="0" xfId="4" applyNumberFormat="1" applyFont="1" applyFill="1"/>
    <xf numFmtId="41" fontId="7" fillId="0" borderId="0" xfId="0" applyNumberFormat="1" applyFont="1" applyFill="1"/>
    <xf numFmtId="41" fontId="7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37" fontId="7" fillId="0" borderId="0" xfId="0" applyNumberFormat="1" applyFont="1" applyFill="1" applyProtection="1"/>
    <xf numFmtId="169" fontId="8" fillId="0" borderId="0" xfId="0" applyNumberFormat="1" applyFont="1" applyFill="1" applyBorder="1" applyProtection="1"/>
    <xf numFmtId="41" fontId="7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Protection="1"/>
    <xf numFmtId="37" fontId="8" fillId="0" borderId="0" xfId="0" applyNumberFormat="1" applyFont="1" applyFill="1" applyProtection="1"/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Protection="1"/>
    <xf numFmtId="169" fontId="11" fillId="0" borderId="0" xfId="0" applyNumberFormat="1" applyFont="1" applyFill="1" applyProtection="1"/>
    <xf numFmtId="41" fontId="11" fillId="0" borderId="0" xfId="0" applyNumberFormat="1" applyFont="1" applyFill="1"/>
    <xf numFmtId="3" fontId="7" fillId="0" borderId="0" xfId="0" applyNumberFormat="1" applyFont="1" applyFill="1"/>
    <xf numFmtId="37" fontId="11" fillId="0" borderId="0" xfId="0" applyNumberFormat="1" applyFont="1" applyFill="1" applyProtection="1"/>
    <xf numFmtId="169" fontId="11" fillId="0" borderId="5" xfId="0" applyNumberFormat="1" applyFont="1" applyFill="1" applyBorder="1" applyProtection="1"/>
    <xf numFmtId="169" fontId="7" fillId="0" borderId="5" xfId="0" applyNumberFormat="1" applyFont="1" applyFill="1" applyBorder="1" applyProtection="1"/>
    <xf numFmtId="41" fontId="7" fillId="0" borderId="0" xfId="0" applyNumberFormat="1" applyFont="1" applyFill="1" applyBorder="1"/>
    <xf numFmtId="37" fontId="7" fillId="0" borderId="0" xfId="0" applyNumberFormat="1" applyFont="1" applyFill="1" applyBorder="1" applyProtection="1"/>
    <xf numFmtId="171" fontId="7" fillId="0" borderId="0" xfId="4" applyFont="1" applyFill="1" applyAlignment="1">
      <alignment horizontal="center"/>
    </xf>
    <xf numFmtId="171" fontId="7" fillId="0" borderId="0" xfId="4" applyFont="1" applyFill="1"/>
    <xf numFmtId="169" fontId="7" fillId="0" borderId="0" xfId="1" applyNumberFormat="1" applyFont="1" applyFill="1"/>
    <xf numFmtId="169" fontId="8" fillId="0" borderId="0" xfId="1" applyNumberFormat="1" applyFont="1" applyFill="1"/>
    <xf numFmtId="171" fontId="8" fillId="0" borderId="0" xfId="4" applyFont="1" applyFill="1" applyAlignment="1">
      <alignment horizontal="center"/>
    </xf>
    <xf numFmtId="10" fontId="7" fillId="0" borderId="0" xfId="3" applyNumberFormat="1" applyFont="1" applyFill="1"/>
    <xf numFmtId="9" fontId="12" fillId="0" borderId="0" xfId="3" applyFont="1" applyFill="1" applyAlignment="1">
      <alignment horizontal="center"/>
    </xf>
    <xf numFmtId="169" fontId="8" fillId="0" borderId="0" xfId="3" applyNumberFormat="1" applyFont="1" applyFill="1"/>
    <xf numFmtId="10" fontId="7" fillId="2" borderId="0" xfId="3" applyNumberFormat="1" applyFont="1" applyFill="1"/>
    <xf numFmtId="169" fontId="8" fillId="0" borderId="0" xfId="3" applyNumberFormat="1" applyFont="1" applyFill="1" applyBorder="1"/>
    <xf numFmtId="10" fontId="7" fillId="2" borderId="5" xfId="3" applyNumberFormat="1" applyFont="1" applyFill="1" applyBorder="1"/>
    <xf numFmtId="37" fontId="7" fillId="0" borderId="0" xfId="0" applyNumberFormat="1" applyFont="1" applyFill="1" applyBorder="1" applyAlignment="1" applyProtection="1">
      <alignment horizontal="center"/>
    </xf>
    <xf numFmtId="41" fontId="7" fillId="0" borderId="11" xfId="0" applyNumberFormat="1" applyFont="1" applyFill="1" applyBorder="1" applyAlignment="1">
      <alignment horizontal="center"/>
    </xf>
    <xf numFmtId="172" fontId="11" fillId="0" borderId="11" xfId="1" applyNumberFormat="1" applyFont="1" applyFill="1" applyBorder="1" applyProtection="1"/>
    <xf numFmtId="172" fontId="13" fillId="0" borderId="11" xfId="1" applyNumberFormat="1" applyFont="1" applyFill="1" applyBorder="1" applyAlignment="1" applyProtection="1">
      <alignment horizontal="right"/>
    </xf>
    <xf numFmtId="172" fontId="0" fillId="0" borderId="0" xfId="1" applyNumberFormat="1" applyFont="1"/>
    <xf numFmtId="0" fontId="7" fillId="0" borderId="11" xfId="0" applyNumberFormat="1" applyFont="1" applyFill="1" applyBorder="1" applyAlignment="1">
      <alignment horizontal="center"/>
    </xf>
    <xf numFmtId="172" fontId="14" fillId="0" borderId="11" xfId="1" applyNumberFormat="1" applyFont="1" applyFill="1" applyBorder="1" applyProtection="1"/>
    <xf numFmtId="172" fontId="7" fillId="0" borderId="11" xfId="1" applyNumberFormat="1" applyFont="1" applyFill="1" applyBorder="1" applyAlignment="1" applyProtection="1">
      <alignment horizontal="right"/>
    </xf>
    <xf numFmtId="43" fontId="0" fillId="0" borderId="0" xfId="1" applyFont="1" applyAlignment="1">
      <alignment horizontal="right"/>
    </xf>
    <xf numFmtId="0" fontId="1" fillId="0" borderId="0" xfId="5"/>
    <xf numFmtId="168" fontId="0" fillId="0" borderId="9" xfId="6" applyNumberFormat="1" applyFont="1" applyBorder="1"/>
    <xf numFmtId="170" fontId="0" fillId="0" borderId="5" xfId="7" applyNumberFormat="1" applyFont="1" applyBorder="1"/>
    <xf numFmtId="0" fontId="1" fillId="0" borderId="5" xfId="5" applyBorder="1" applyAlignment="1">
      <alignment horizontal="right"/>
    </xf>
    <xf numFmtId="0" fontId="1" fillId="0" borderId="8" xfId="5" applyBorder="1"/>
    <xf numFmtId="168" fontId="1" fillId="0" borderId="0" xfId="5" applyNumberFormat="1"/>
    <xf numFmtId="168" fontId="0" fillId="0" borderId="6" xfId="6" applyNumberFormat="1" applyFont="1" applyBorder="1"/>
    <xf numFmtId="168" fontId="0" fillId="0" borderId="0" xfId="6" applyNumberFormat="1" applyFont="1" applyBorder="1"/>
    <xf numFmtId="0" fontId="1" fillId="0" borderId="0" xfId="5" applyBorder="1" applyAlignment="1">
      <alignment horizontal="right"/>
    </xf>
    <xf numFmtId="0" fontId="1" fillId="0" borderId="4" xfId="5" applyBorder="1"/>
    <xf numFmtId="0" fontId="1" fillId="0" borderId="0" xfId="5" applyBorder="1"/>
    <xf numFmtId="170" fontId="0" fillId="0" borderId="0" xfId="7" applyNumberFormat="1" applyFont="1" applyBorder="1"/>
    <xf numFmtId="0" fontId="1" fillId="0" borderId="6" xfId="5" applyBorder="1"/>
    <xf numFmtId="0" fontId="1" fillId="0" borderId="3" xfId="5" applyBorder="1"/>
    <xf numFmtId="0" fontId="1" fillId="0" borderId="2" xfId="5" applyBorder="1"/>
    <xf numFmtId="0" fontId="6" fillId="0" borderId="2" xfId="5" applyFont="1" applyBorder="1" applyAlignment="1">
      <alignment horizontal="centerContinuous"/>
    </xf>
    <xf numFmtId="167" fontId="0" fillId="0" borderId="0" xfId="7" applyNumberFormat="1" applyFont="1"/>
    <xf numFmtId="0" fontId="1" fillId="0" borderId="0" xfId="5" quotePrefix="1" applyAlignment="1">
      <alignment horizontal="right"/>
    </xf>
    <xf numFmtId="0" fontId="1" fillId="0" borderId="0" xfId="5" applyAlignment="1">
      <alignment horizontal="right"/>
    </xf>
    <xf numFmtId="43" fontId="1" fillId="0" borderId="0" xfId="5" applyNumberFormat="1"/>
    <xf numFmtId="0" fontId="4" fillId="0" borderId="0" xfId="5" applyFont="1" applyAlignment="1">
      <alignment horizontal="center"/>
    </xf>
    <xf numFmtId="0" fontId="4" fillId="0" borderId="0" xfId="5" applyFont="1"/>
    <xf numFmtId="0" fontId="1" fillId="0" borderId="0" xfId="5" applyAlignment="1">
      <alignment horizontal="centerContinuous"/>
    </xf>
    <xf numFmtId="165" fontId="1" fillId="0" borderId="7" xfId="6" applyNumberFormat="1" applyFont="1" applyBorder="1"/>
    <xf numFmtId="0" fontId="1" fillId="0" borderId="0" xfId="5" applyFont="1"/>
    <xf numFmtId="169" fontId="1" fillId="0" borderId="7" xfId="8" applyNumberFormat="1" applyFont="1" applyFill="1" applyBorder="1"/>
    <xf numFmtId="168" fontId="1" fillId="0" borderId="0" xfId="6" applyNumberFormat="1" applyFont="1"/>
    <xf numFmtId="168" fontId="1" fillId="0" borderId="7" xfId="6" applyNumberFormat="1" applyFont="1" applyFill="1" applyBorder="1"/>
    <xf numFmtId="168" fontId="0" fillId="0" borderId="7" xfId="6" applyNumberFormat="1" applyFont="1" applyFill="1" applyBorder="1"/>
    <xf numFmtId="0" fontId="1" fillId="0" borderId="0" xfId="5" applyFont="1" applyBorder="1" applyAlignment="1">
      <alignment horizontal="center"/>
    </xf>
    <xf numFmtId="165" fontId="1" fillId="0" borderId="0" xfId="5" applyNumberFormat="1"/>
    <xf numFmtId="44" fontId="1" fillId="0" borderId="0" xfId="5" applyNumberFormat="1"/>
    <xf numFmtId="166" fontId="0" fillId="0" borderId="0" xfId="8" applyNumberFormat="1" applyFont="1"/>
    <xf numFmtId="169" fontId="0" fillId="0" borderId="0" xfId="8" applyNumberFormat="1" applyFont="1"/>
    <xf numFmtId="169" fontId="1" fillId="0" borderId="0" xfId="5" applyNumberFormat="1"/>
    <xf numFmtId="169" fontId="1" fillId="0" borderId="0" xfId="5" applyNumberFormat="1" applyFill="1"/>
    <xf numFmtId="164" fontId="2" fillId="0" borderId="0" xfId="5" applyNumberFormat="1" applyFont="1" applyBorder="1" applyAlignment="1">
      <alignment horizontal="center"/>
    </xf>
    <xf numFmtId="165" fontId="0" fillId="0" borderId="0" xfId="6" applyNumberFormat="1" applyFont="1"/>
    <xf numFmtId="168" fontId="0" fillId="0" borderId="0" xfId="6" applyNumberFormat="1" applyFont="1"/>
    <xf numFmtId="168" fontId="0" fillId="0" borderId="0" xfId="6" applyNumberFormat="1" applyFont="1" applyFill="1"/>
    <xf numFmtId="0" fontId="1" fillId="0" borderId="0" xfId="5" quotePrefix="1" applyAlignment="1">
      <alignment horizontal="center"/>
    </xf>
    <xf numFmtId="0" fontId="2" fillId="0" borderId="5" xfId="5" applyFont="1" applyBorder="1" applyAlignment="1">
      <alignment horizontal="center" wrapText="1"/>
    </xf>
    <xf numFmtId="0" fontId="1" fillId="0" borderId="0" xfId="5" applyAlignment="1">
      <alignment horizontal="center" wrapText="1"/>
    </xf>
    <xf numFmtId="0" fontId="2" fillId="0" borderId="10" xfId="5" applyFont="1" applyBorder="1" applyAlignment="1">
      <alignment horizontal="center" wrapText="1"/>
    </xf>
    <xf numFmtId="0" fontId="2" fillId="0" borderId="5" xfId="5" applyFont="1" applyBorder="1" applyAlignment="1">
      <alignment horizontal="centerContinuous"/>
    </xf>
    <xf numFmtId="0" fontId="1" fillId="0" borderId="5" xfId="5" applyBorder="1" applyAlignment="1">
      <alignment horizontal="centerContinuous"/>
    </xf>
    <xf numFmtId="0" fontId="3" fillId="0" borderId="0" xfId="5" applyFont="1" applyAlignment="1">
      <alignment horizontal="centerContinuous"/>
    </xf>
    <xf numFmtId="167" fontId="0" fillId="0" borderId="0" xfId="7" applyNumberFormat="1" applyFont="1" applyAlignment="1">
      <alignment horizontal="right"/>
    </xf>
    <xf numFmtId="41" fontId="19" fillId="0" borderId="0" xfId="16" applyFont="1" applyFill="1"/>
    <xf numFmtId="41" fontId="8" fillId="0" borderId="0" xfId="16" applyFont="1" applyFill="1"/>
    <xf numFmtId="1" fontId="8" fillId="0" borderId="0" xfId="15" applyNumberFormat="1" applyFont="1" applyFill="1"/>
    <xf numFmtId="169" fontId="8" fillId="0" borderId="0" xfId="17" applyNumberFormat="1" applyFont="1" applyFill="1"/>
    <xf numFmtId="41" fontId="8" fillId="0" borderId="0" xfId="16" applyFont="1" applyFill="1" applyBorder="1"/>
    <xf numFmtId="1" fontId="8" fillId="0" borderId="0" xfId="15" applyNumberFormat="1" applyFont="1" applyFill="1" applyAlignment="1">
      <alignment horizontal="right"/>
    </xf>
    <xf numFmtId="1" fontId="8" fillId="0" borderId="0" xfId="15" applyNumberFormat="1" applyFont="1" applyFill="1" applyBorder="1"/>
    <xf numFmtId="1" fontId="7" fillId="0" borderId="0" xfId="15" applyNumberFormat="1" applyFont="1" applyFill="1" applyBorder="1"/>
    <xf numFmtId="169" fontId="7" fillId="0" borderId="0" xfId="17" applyNumberFormat="1" applyFont="1" applyFill="1" applyBorder="1"/>
    <xf numFmtId="169" fontId="7" fillId="0" borderId="0" xfId="17" applyNumberFormat="1" applyFont="1" applyFill="1"/>
    <xf numFmtId="1" fontId="7" fillId="0" borderId="0" xfId="15" applyNumberFormat="1" applyFont="1" applyFill="1" applyAlignment="1">
      <alignment horizontal="center"/>
    </xf>
    <xf numFmtId="1" fontId="7" fillId="0" borderId="0" xfId="15" applyNumberFormat="1" applyFont="1" applyFill="1"/>
    <xf numFmtId="1" fontId="7" fillId="0" borderId="0" xfId="15" quotePrefix="1" applyNumberFormat="1" applyFont="1" applyFill="1" applyAlignment="1">
      <alignment horizontal="center"/>
    </xf>
    <xf numFmtId="169" fontId="8" fillId="0" borderId="0" xfId="17" applyNumberFormat="1" applyFont="1" applyFill="1" applyBorder="1" applyAlignment="1">
      <alignment horizontal="center"/>
    </xf>
    <xf numFmtId="0" fontId="20" fillId="0" borderId="0" xfId="12" applyFont="1" applyFill="1"/>
    <xf numFmtId="1" fontId="21" fillId="0" borderId="0" xfId="15" applyNumberFormat="1" applyFont="1" applyFill="1"/>
    <xf numFmtId="0" fontId="20" fillId="0" borderId="0" xfId="12" applyNumberFormat="1" applyFont="1" applyFill="1" applyAlignment="1">
      <alignment horizontal="left"/>
    </xf>
    <xf numFmtId="169" fontId="8" fillId="0" borderId="0" xfId="17" quotePrefix="1" applyNumberFormat="1" applyFont="1" applyFill="1" applyBorder="1" applyAlignment="1">
      <alignment horizontal="center"/>
    </xf>
    <xf numFmtId="169" fontId="8" fillId="0" borderId="5" xfId="17" applyNumberFormat="1" applyFont="1" applyFill="1" applyBorder="1"/>
    <xf numFmtId="37" fontId="8" fillId="0" borderId="5" xfId="17" applyNumberFormat="1" applyFont="1" applyFill="1" applyBorder="1" applyAlignment="1">
      <alignment horizontal="center"/>
    </xf>
    <xf numFmtId="37" fontId="8" fillId="0" borderId="0" xfId="17" applyNumberFormat="1" applyFont="1" applyFill="1" applyBorder="1" applyAlignment="1">
      <alignment horizontal="center"/>
    </xf>
    <xf numFmtId="0" fontId="20" fillId="0" borderId="0" xfId="13" applyFont="1" applyFill="1" applyBorder="1" applyAlignment="1">
      <alignment horizontal="left" indent="1"/>
    </xf>
    <xf numFmtId="0" fontId="20" fillId="0" borderId="0" xfId="13" quotePrefix="1" applyFont="1" applyFill="1" applyBorder="1" applyAlignment="1">
      <alignment horizontal="left"/>
    </xf>
    <xf numFmtId="169" fontId="8" fillId="0" borderId="0" xfId="17" applyNumberFormat="1" applyFont="1" applyFill="1" applyBorder="1"/>
    <xf numFmtId="0" fontId="20" fillId="0" borderId="0" xfId="13" applyFont="1" applyFill="1" applyBorder="1"/>
    <xf numFmtId="41" fontId="20" fillId="0" borderId="0" xfId="13" applyNumberFormat="1" applyFont="1" applyFill="1" applyBorder="1" applyAlignment="1">
      <alignment horizontal="center"/>
    </xf>
    <xf numFmtId="170" fontId="10" fillId="0" borderId="0" xfId="18" applyNumberFormat="1" applyFont="1" applyFill="1" applyAlignment="1">
      <alignment horizontal="center"/>
    </xf>
    <xf numFmtId="1" fontId="7" fillId="0" borderId="5" xfId="15" applyNumberFormat="1" applyFont="1" applyFill="1" applyBorder="1" applyAlignment="1">
      <alignment horizontal="center"/>
    </xf>
    <xf numFmtId="0" fontId="8" fillId="0" borderId="0" xfId="14" applyFont="1" applyFill="1" applyAlignment="1">
      <alignment horizontal="right"/>
    </xf>
    <xf numFmtId="1" fontId="10" fillId="0" borderId="0" xfId="15" applyNumberFormat="1" applyFont="1" applyFill="1" applyAlignment="1">
      <alignment horizontal="center"/>
    </xf>
    <xf numFmtId="17" fontId="10" fillId="0" borderId="0" xfId="9" applyNumberFormat="1" applyFont="1" applyFill="1" applyAlignment="1">
      <alignment horizontal="center"/>
    </xf>
    <xf numFmtId="169" fontId="8" fillId="3" borderId="0" xfId="17" applyNumberFormat="1" applyFont="1" applyFill="1" applyAlignment="1">
      <alignment horizontal="fill"/>
    </xf>
    <xf numFmtId="1" fontId="8" fillId="3" borderId="0" xfId="15" applyNumberFormat="1" applyFont="1" applyFill="1"/>
    <xf numFmtId="1" fontId="22" fillId="3" borderId="0" xfId="15" applyNumberFormat="1" applyFont="1" applyFill="1"/>
    <xf numFmtId="0" fontId="0" fillId="0" borderId="0" xfId="5" applyFont="1"/>
    <xf numFmtId="0" fontId="23" fillId="0" borderId="0" xfId="5" applyFont="1"/>
    <xf numFmtId="167" fontId="23" fillId="0" borderId="0" xfId="7" applyNumberFormat="1" applyFont="1"/>
    <xf numFmtId="43" fontId="23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167" fontId="23" fillId="0" borderId="0" xfId="7" applyNumberFormat="1" applyFont="1" applyAlignment="1">
      <alignment horizontal="right"/>
    </xf>
    <xf numFmtId="0" fontId="25" fillId="0" borderId="0" xfId="5" applyFont="1" applyAlignment="1">
      <alignment horizontal="centerContinuous"/>
    </xf>
    <xf numFmtId="0" fontId="25" fillId="0" borderId="0" xfId="0" applyFont="1" applyAlignment="1">
      <alignment horizontal="centerContinuous"/>
    </xf>
    <xf numFmtId="169" fontId="23" fillId="0" borderId="0" xfId="1" applyNumberFormat="1" applyFont="1" applyAlignment="1">
      <alignment horizontal="centerContinuous"/>
    </xf>
    <xf numFmtId="0" fontId="23" fillId="0" borderId="0" xfId="0" applyFont="1"/>
    <xf numFmtId="41" fontId="19" fillId="0" borderId="0" xfId="16" applyFont="1"/>
    <xf numFmtId="41" fontId="19" fillId="0" borderId="0" xfId="16" applyFont="1" applyAlignment="1">
      <alignment horizontal="center"/>
    </xf>
    <xf numFmtId="1" fontId="22" fillId="3" borderId="0" xfId="15" applyNumberFormat="1" applyFont="1" applyFill="1" applyBorder="1" applyAlignment="1">
      <alignment horizontal="left"/>
    </xf>
    <xf numFmtId="41" fontId="19" fillId="3" borderId="0" xfId="16" applyFont="1" applyFill="1"/>
    <xf numFmtId="1" fontId="22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center"/>
    </xf>
    <xf numFmtId="170" fontId="8" fillId="0" borderId="0" xfId="18" applyNumberFormat="1" applyFont="1" applyFill="1" applyBorder="1"/>
    <xf numFmtId="1" fontId="8" fillId="0" borderId="0" xfId="15" applyNumberFormat="1" applyFont="1" applyFill="1" applyBorder="1" applyAlignment="1">
      <alignment horizontal="right"/>
    </xf>
    <xf numFmtId="174" fontId="7" fillId="0" borderId="5" xfId="17" applyNumberFormat="1" applyFont="1" applyFill="1" applyBorder="1" applyAlignment="1">
      <alignment horizontal="center"/>
    </xf>
    <xf numFmtId="1" fontId="21" fillId="0" borderId="0" xfId="15" applyNumberFormat="1" applyFont="1" applyFill="1" applyBorder="1" applyAlignment="1">
      <alignment horizontal="left"/>
    </xf>
  </cellXfs>
  <cellStyles count="19">
    <cellStyle name="Comma" xfId="1" builtinId="3"/>
    <cellStyle name="Comma 2" xfId="8"/>
    <cellStyle name="Comma 3" xfId="17"/>
    <cellStyle name="Comma_GRID Rev Reqts - Normalized - Annual v1" xfId="9"/>
    <cellStyle name="Currency" xfId="2" builtinId="4"/>
    <cellStyle name="Currency 2" xfId="6"/>
    <cellStyle name="Normal" xfId="0" builtinId="0"/>
    <cellStyle name="Normal 2" xfId="10"/>
    <cellStyle name="Normal 3" xfId="5"/>
    <cellStyle name="Normal 4" xfId="16"/>
    <cellStyle name="Normal 6" xfId="11"/>
    <cellStyle name="Normal_Actual NPC 2004 Workbook Clean up" xfId="12"/>
    <cellStyle name="Normal_Adjustment Template" xfId="13"/>
    <cellStyle name="Normal_Distribution" xfId="4"/>
    <cellStyle name="Normal_Generic Fixed Fuel Allocation" xfId="14"/>
    <cellStyle name="Normal_Type I (00)" xfId="15"/>
    <cellStyle name="Percent" xfId="3" builtinId="5"/>
    <cellStyle name="Percent 2" xfId="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zoomScaleNormal="100" workbookViewId="0">
      <selection activeCell="B25" sqref="B25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3"/>
      <c r="H1" s="13"/>
      <c r="L1" s="23"/>
      <c r="P1" s="23"/>
      <c r="R1" s="14" t="s">
        <v>119</v>
      </c>
      <c r="W1" s="14"/>
      <c r="Y1" s="13"/>
      <c r="AB1" s="13"/>
      <c r="AD1" s="23"/>
      <c r="AG1" s="14" t="s">
        <v>119</v>
      </c>
    </row>
    <row r="2" spans="1:33">
      <c r="F2" s="13"/>
      <c r="H2" s="13"/>
      <c r="L2" s="23"/>
      <c r="P2" s="23"/>
      <c r="R2" s="14" t="s">
        <v>163</v>
      </c>
      <c r="W2" s="14"/>
      <c r="Y2" s="13"/>
      <c r="AB2" s="13"/>
      <c r="AD2" s="23"/>
      <c r="AG2" s="14" t="s">
        <v>164</v>
      </c>
    </row>
    <row r="3" spans="1:33">
      <c r="F3" s="13"/>
      <c r="H3" s="13"/>
      <c r="J3" s="14"/>
      <c r="L3" s="23"/>
      <c r="P3" s="23"/>
      <c r="R3" s="13"/>
      <c r="W3" s="13"/>
      <c r="Y3" s="13"/>
      <c r="AB3" s="13"/>
      <c r="AD3" s="23"/>
      <c r="AF3" s="14"/>
    </row>
    <row r="4" spans="1:33">
      <c r="F4" s="13"/>
      <c r="H4" s="13"/>
      <c r="J4" s="14"/>
      <c r="L4" s="23"/>
      <c r="P4" s="23"/>
      <c r="R4" s="13"/>
      <c r="W4" s="13"/>
      <c r="Y4" s="13"/>
      <c r="AB4" s="13"/>
      <c r="AD4" s="23"/>
      <c r="AF4" s="14"/>
    </row>
    <row r="5" spans="1:33" ht="18.7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50"/>
      <c r="M5" s="15"/>
      <c r="N5" s="15"/>
      <c r="O5" s="15"/>
      <c r="P5" s="50"/>
      <c r="Q5" s="15"/>
      <c r="R5" s="15"/>
      <c r="U5" s="15" t="s">
        <v>36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ht="18.75">
      <c r="A6" s="15" t="s">
        <v>158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O6" s="15"/>
      <c r="P6" s="50"/>
      <c r="Q6" s="15"/>
      <c r="R6" s="15"/>
      <c r="U6" s="15" t="s">
        <v>167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>
      <c r="L7" s="23"/>
      <c r="P7" s="23"/>
      <c r="AD7" s="23"/>
    </row>
    <row r="8" spans="1:33">
      <c r="B8" s="16" t="s">
        <v>5</v>
      </c>
      <c r="C8" s="17"/>
      <c r="D8" s="16"/>
      <c r="E8" s="17"/>
      <c r="F8" s="17"/>
      <c r="H8" s="1"/>
      <c r="L8" s="1"/>
      <c r="N8" s="51"/>
      <c r="W8" s="51"/>
      <c r="Y8" s="16" t="s">
        <v>4</v>
      </c>
      <c r="Z8" s="17"/>
      <c r="AB8" s="1"/>
      <c r="AD8" s="1"/>
      <c r="AF8" s="1"/>
    </row>
    <row r="9" spans="1:33" ht="45">
      <c r="B9" s="18" t="s">
        <v>3</v>
      </c>
      <c r="C9" s="19"/>
      <c r="D9" s="5" t="s">
        <v>37</v>
      </c>
      <c r="E9" s="19"/>
      <c r="F9" s="5" t="s">
        <v>38</v>
      </c>
      <c r="H9" s="5" t="s">
        <v>39</v>
      </c>
      <c r="J9" s="5" t="s">
        <v>40</v>
      </c>
      <c r="L9" s="5" t="s">
        <v>41</v>
      </c>
      <c r="N9" s="5" t="s">
        <v>42</v>
      </c>
      <c r="W9" s="5" t="s">
        <v>42</v>
      </c>
      <c r="Y9" s="18" t="s">
        <v>5</v>
      </c>
      <c r="Z9" s="18" t="s">
        <v>6</v>
      </c>
      <c r="AB9" s="5" t="s">
        <v>7</v>
      </c>
      <c r="AD9" s="5" t="s">
        <v>8</v>
      </c>
      <c r="AF9" s="5" t="s">
        <v>0</v>
      </c>
    </row>
    <row r="10" spans="1:33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L10" s="20" t="s">
        <v>14</v>
      </c>
      <c r="N10" s="20" t="s">
        <v>15</v>
      </c>
      <c r="W10" s="20" t="s">
        <v>43</v>
      </c>
      <c r="Y10" s="20" t="s">
        <v>44</v>
      </c>
      <c r="Z10" s="20" t="s">
        <v>45</v>
      </c>
      <c r="AB10" s="20" t="s">
        <v>46</v>
      </c>
      <c r="AD10" s="20" t="s">
        <v>47</v>
      </c>
      <c r="AF10" s="20" t="s">
        <v>48</v>
      </c>
    </row>
    <row r="12" spans="1:33">
      <c r="A12" s="7">
        <v>41061</v>
      </c>
      <c r="B12" s="21">
        <f>'Exhibit A2 1of1'!B12</f>
        <v>123896956.59901568</v>
      </c>
      <c r="C12" s="22"/>
      <c r="D12" s="23">
        <v>4713145.9059045585</v>
      </c>
      <c r="E12" s="22"/>
      <c r="F12" s="8">
        <f t="shared" ref="F12:F23" si="0">B12/D12</f>
        <v>26.28752834572752</v>
      </c>
      <c r="G12" s="22"/>
      <c r="H12" s="13">
        <v>0.99918599324504409</v>
      </c>
      <c r="I12" s="22"/>
      <c r="J12" s="8">
        <f t="shared" ref="J12:J23" si="1">F12*H12</f>
        <v>26.266130120083002</v>
      </c>
      <c r="K12" s="22"/>
      <c r="L12" s="23">
        <v>2045533.1242271182</v>
      </c>
      <c r="N12" s="22">
        <f>J12*L12</f>
        <v>53728239.205889396</v>
      </c>
      <c r="U12" s="7">
        <f>A12</f>
        <v>41061</v>
      </c>
      <c r="W12" s="22">
        <f t="shared" ref="W12:W23" si="2">N12</f>
        <v>53728239.205889396</v>
      </c>
      <c r="X12" s="22"/>
      <c r="Y12" s="22">
        <f>Y25/12</f>
        <v>-6225838.666666667</v>
      </c>
      <c r="Z12" s="22">
        <f>Z25/12</f>
        <v>-2684824.28561325</v>
      </c>
      <c r="AA12" s="22"/>
      <c r="AB12" s="22">
        <f t="shared" ref="AB12:AB23" si="3">Z12+N12</f>
        <v>51043414.92027615</v>
      </c>
      <c r="AC12" s="22"/>
      <c r="AD12" s="23">
        <v>1912132.46205</v>
      </c>
      <c r="AF12" s="8">
        <f>AB12/AD12</f>
        <v>26.694497339139588</v>
      </c>
    </row>
    <row r="13" spans="1:33">
      <c r="A13" s="7">
        <v>41091</v>
      </c>
      <c r="B13" s="24">
        <f>'Exhibit A2 1of1'!B13</f>
        <v>141773973.05509216</v>
      </c>
      <c r="D13" s="23">
        <v>5411202.5594906937</v>
      </c>
      <c r="F13" s="9">
        <f t="shared" si="0"/>
        <v>26.200086116982476</v>
      </c>
      <c r="H13" s="13">
        <f>H12</f>
        <v>0.99918599324504409</v>
      </c>
      <c r="J13" s="9">
        <f t="shared" si="1"/>
        <v>26.178759069902824</v>
      </c>
      <c r="L13" s="23">
        <v>2424358.491213867</v>
      </c>
      <c r="N13" s="23">
        <f t="shared" ref="N13:N23" si="4">J13*L13</f>
        <v>63466696.84056095</v>
      </c>
      <c r="U13" s="7">
        <f t="shared" ref="U13:U23" si="5">A13</f>
        <v>41091</v>
      </c>
      <c r="W13" s="23">
        <f t="shared" si="2"/>
        <v>63466696.84056095</v>
      </c>
      <c r="Y13" s="25">
        <f>Y12</f>
        <v>-6225838.666666667</v>
      </c>
      <c r="Z13" s="25">
        <f>Z12</f>
        <v>-2684824.28561325</v>
      </c>
      <c r="AB13" s="23">
        <f t="shared" si="3"/>
        <v>60781872.554947704</v>
      </c>
      <c r="AD13" s="23">
        <v>2266364.4785400005</v>
      </c>
      <c r="AF13" s="9">
        <f>AB13/AD13</f>
        <v>26.819107487116806</v>
      </c>
    </row>
    <row r="14" spans="1:33">
      <c r="A14" s="7">
        <v>41122</v>
      </c>
      <c r="B14" s="24">
        <f>'Exhibit A2 1of1'!B14</f>
        <v>144558297.42193317</v>
      </c>
      <c r="D14" s="23">
        <v>5356313.5881086495</v>
      </c>
      <c r="F14" s="9">
        <f t="shared" si="0"/>
        <v>26.988393238002647</v>
      </c>
      <c r="H14" s="13">
        <f t="shared" ref="H14:H23" si="6">H13</f>
        <v>0.99918599324504409</v>
      </c>
      <c r="J14" s="9">
        <f t="shared" si="1"/>
        <v>26.966424503601505</v>
      </c>
      <c r="L14" s="23">
        <v>2475599.2047931016</v>
      </c>
      <c r="N14" s="23">
        <f t="shared" si="4"/>
        <v>66758059.057229094</v>
      </c>
      <c r="U14" s="7">
        <f t="shared" si="5"/>
        <v>41122</v>
      </c>
      <c r="W14" s="23">
        <f t="shared" si="2"/>
        <v>66758059.057229094</v>
      </c>
      <c r="Y14" s="25">
        <f t="shared" ref="Y14:Z23" si="7">Y13</f>
        <v>-6225838.666666667</v>
      </c>
      <c r="Z14" s="25">
        <f t="shared" si="7"/>
        <v>-2684824.28561325</v>
      </c>
      <c r="AB14" s="23">
        <f t="shared" si="3"/>
        <v>64073234.771615848</v>
      </c>
      <c r="AD14" s="23">
        <v>2314401.9906899994</v>
      </c>
      <c r="AF14" s="9">
        <f t="shared" ref="AF14:AF23" si="8">AB14/AD14</f>
        <v>27.684574688994935</v>
      </c>
    </row>
    <row r="15" spans="1:33">
      <c r="A15" s="7">
        <v>41153</v>
      </c>
      <c r="B15" s="24">
        <f>'Exhibit A2 1of1'!B15</f>
        <v>127875043.19533841</v>
      </c>
      <c r="D15" s="23">
        <v>4710722.9544614423</v>
      </c>
      <c r="F15" s="9">
        <f t="shared" si="0"/>
        <v>27.145524037712772</v>
      </c>
      <c r="H15" s="13">
        <f t="shared" si="6"/>
        <v>0.99918599324504409</v>
      </c>
      <c r="J15" s="9">
        <f t="shared" si="1"/>
        <v>27.123427397779256</v>
      </c>
      <c r="L15" s="23">
        <v>2106011.7744731456</v>
      </c>
      <c r="N15" s="23">
        <f t="shared" si="4"/>
        <v>57122257.463790625</v>
      </c>
      <c r="U15" s="7">
        <f t="shared" si="5"/>
        <v>41153</v>
      </c>
      <c r="W15" s="23">
        <f t="shared" si="2"/>
        <v>57122257.463790625</v>
      </c>
      <c r="Y15" s="25">
        <f t="shared" si="7"/>
        <v>-6225838.666666667</v>
      </c>
      <c r="Z15" s="25">
        <f t="shared" si="7"/>
        <v>-2684824.28561325</v>
      </c>
      <c r="AB15" s="23">
        <f t="shared" si="3"/>
        <v>54437433.178177372</v>
      </c>
      <c r="AD15" s="23">
        <v>1968925.9935399997</v>
      </c>
      <c r="AF15" s="9">
        <f t="shared" si="8"/>
        <v>27.648288131085334</v>
      </c>
    </row>
    <row r="16" spans="1:33">
      <c r="A16" s="7">
        <v>41183</v>
      </c>
      <c r="B16" s="24">
        <f>'Exhibit A2 1of1'!B16</f>
        <v>118467640.01367652</v>
      </c>
      <c r="D16" s="23">
        <v>4742412.817473474</v>
      </c>
      <c r="F16" s="9">
        <f t="shared" si="0"/>
        <v>24.980457116086807</v>
      </c>
      <c r="H16" s="13">
        <f t="shared" si="6"/>
        <v>0.99918599324504409</v>
      </c>
      <c r="J16" s="9">
        <f t="shared" si="1"/>
        <v>24.960122855252425</v>
      </c>
      <c r="L16" s="23">
        <v>2039254.7907722283</v>
      </c>
      <c r="N16" s="23">
        <f t="shared" si="4"/>
        <v>50900050.110836901</v>
      </c>
      <c r="U16" s="7">
        <f t="shared" si="5"/>
        <v>41183</v>
      </c>
      <c r="W16" s="23">
        <f t="shared" si="2"/>
        <v>50900050.110836901</v>
      </c>
      <c r="Y16" s="25">
        <f t="shared" si="7"/>
        <v>-6225838.666666667</v>
      </c>
      <c r="Z16" s="25">
        <f t="shared" si="7"/>
        <v>-2684824.28561325</v>
      </c>
      <c r="AB16" s="23">
        <f t="shared" si="3"/>
        <v>48215225.825223655</v>
      </c>
      <c r="AD16" s="23">
        <v>1906260.0009999997</v>
      </c>
      <c r="AF16" s="9">
        <f t="shared" si="8"/>
        <v>25.29310052140346</v>
      </c>
    </row>
    <row r="17" spans="1:32">
      <c r="A17" s="7">
        <v>41214</v>
      </c>
      <c r="B17" s="24">
        <f>'Exhibit A2 1of1'!B17</f>
        <v>114387233.72441298</v>
      </c>
      <c r="D17" s="23">
        <v>4755748.3950937102</v>
      </c>
      <c r="F17" s="9">
        <f t="shared" si="0"/>
        <v>24.052414934823108</v>
      </c>
      <c r="H17" s="13">
        <f t="shared" si="6"/>
        <v>0.99918599324504409</v>
      </c>
      <c r="J17" s="9">
        <f t="shared" si="1"/>
        <v>24.032836106593159</v>
      </c>
      <c r="L17" s="23">
        <v>1986043.739369818</v>
      </c>
      <c r="N17" s="23">
        <f t="shared" si="4"/>
        <v>47730263.688800253</v>
      </c>
      <c r="U17" s="7">
        <f t="shared" si="5"/>
        <v>41214</v>
      </c>
      <c r="W17" s="23">
        <f t="shared" si="2"/>
        <v>47730263.688800253</v>
      </c>
      <c r="Y17" s="25">
        <f t="shared" si="7"/>
        <v>-6225838.666666667</v>
      </c>
      <c r="Z17" s="25">
        <f t="shared" si="7"/>
        <v>-2684824.28561325</v>
      </c>
      <c r="AB17" s="23">
        <f t="shared" si="3"/>
        <v>45045439.403187007</v>
      </c>
      <c r="AD17" s="23">
        <v>1856770.00499</v>
      </c>
      <c r="AF17" s="9">
        <f t="shared" si="8"/>
        <v>24.260107219595895</v>
      </c>
    </row>
    <row r="18" spans="1:32">
      <c r="A18" s="7">
        <v>41244</v>
      </c>
      <c r="B18" s="24">
        <f>'Exhibit A2 1of1'!B18</f>
        <v>118233498.30395085</v>
      </c>
      <c r="D18" s="23">
        <v>5126919.7517647333</v>
      </c>
      <c r="F18" s="9">
        <f t="shared" si="0"/>
        <v>23.061312450473558</v>
      </c>
      <c r="H18" s="13">
        <f t="shared" si="6"/>
        <v>0.99918599324504409</v>
      </c>
      <c r="J18" s="9">
        <f t="shared" si="1"/>
        <v>23.042540386360724</v>
      </c>
      <c r="L18" s="23">
        <v>2109251.0385792581</v>
      </c>
      <c r="N18" s="23">
        <f t="shared" si="4"/>
        <v>48602502.241435856</v>
      </c>
      <c r="U18" s="7">
        <f t="shared" si="5"/>
        <v>41244</v>
      </c>
      <c r="W18" s="23">
        <f t="shared" si="2"/>
        <v>48602502.241435856</v>
      </c>
      <c r="Y18" s="25">
        <f t="shared" si="7"/>
        <v>-6225838.666666667</v>
      </c>
      <c r="Z18" s="25">
        <f t="shared" si="7"/>
        <v>-2684824.28561325</v>
      </c>
      <c r="AB18" s="23">
        <f t="shared" si="3"/>
        <v>45917677.955822602</v>
      </c>
      <c r="AD18" s="23">
        <v>1971890.61411</v>
      </c>
      <c r="AF18" s="9">
        <f t="shared" si="8"/>
        <v>23.286118219365452</v>
      </c>
    </row>
    <row r="19" spans="1:32">
      <c r="A19" s="7">
        <v>41275</v>
      </c>
      <c r="B19" s="24">
        <f>'Exhibit A2 1of1'!B19</f>
        <v>122818180.18978149</v>
      </c>
      <c r="D19" s="23">
        <v>5204459.3895183671</v>
      </c>
      <c r="F19" s="9">
        <f t="shared" si="0"/>
        <v>23.598643201469457</v>
      </c>
      <c r="H19" s="13">
        <f t="shared" si="6"/>
        <v>0.99918599324504409</v>
      </c>
      <c r="J19" s="9">
        <f t="shared" si="1"/>
        <v>23.579433746495667</v>
      </c>
      <c r="L19" s="23">
        <v>2120961.2442313544</v>
      </c>
      <c r="N19" s="23">
        <f t="shared" si="4"/>
        <v>50011065.137238234</v>
      </c>
      <c r="U19" s="7">
        <f t="shared" si="5"/>
        <v>41275</v>
      </c>
      <c r="W19" s="23">
        <f t="shared" si="2"/>
        <v>50011065.137238234</v>
      </c>
      <c r="Y19" s="25">
        <f t="shared" si="7"/>
        <v>-6225838.666666667</v>
      </c>
      <c r="Z19" s="25">
        <f t="shared" si="7"/>
        <v>-2684824.28561325</v>
      </c>
      <c r="AB19" s="23">
        <f t="shared" si="3"/>
        <v>47326240.851624981</v>
      </c>
      <c r="AD19" s="23">
        <v>1982626.99979</v>
      </c>
      <c r="AF19" s="9">
        <f t="shared" si="8"/>
        <v>23.870471277067132</v>
      </c>
    </row>
    <row r="20" spans="1:32">
      <c r="A20" s="7">
        <v>41306</v>
      </c>
      <c r="B20" s="24">
        <f>'Exhibit A2 1of1'!B20</f>
        <v>111057433.76046157</v>
      </c>
      <c r="D20" s="23">
        <v>4620578.9866995877</v>
      </c>
      <c r="F20" s="9">
        <f t="shared" si="0"/>
        <v>24.035393417176117</v>
      </c>
      <c r="H20" s="13">
        <f t="shared" si="6"/>
        <v>0.99918599324504409</v>
      </c>
      <c r="J20" s="9">
        <f t="shared" si="1"/>
        <v>24.015828444576513</v>
      </c>
      <c r="L20" s="23">
        <v>1914785.7924679948</v>
      </c>
      <c r="N20" s="23">
        <f t="shared" si="4"/>
        <v>45985167.100023851</v>
      </c>
      <c r="U20" s="7">
        <f t="shared" si="5"/>
        <v>41306</v>
      </c>
      <c r="W20" s="23">
        <f t="shared" si="2"/>
        <v>45985167.100023851</v>
      </c>
      <c r="Y20" s="25">
        <f t="shared" si="7"/>
        <v>-6225838.666666667</v>
      </c>
      <c r="Z20" s="25">
        <f t="shared" si="7"/>
        <v>-2684824.28561325</v>
      </c>
      <c r="AB20" s="23">
        <f t="shared" si="3"/>
        <v>43300342.814410597</v>
      </c>
      <c r="AD20" s="23">
        <v>1789929.9980000001</v>
      </c>
      <c r="AF20" s="9">
        <f t="shared" si="8"/>
        <v>24.191081697492503</v>
      </c>
    </row>
    <row r="21" spans="1:32">
      <c r="A21" s="7">
        <v>41334</v>
      </c>
      <c r="B21" s="24">
        <f>'Exhibit A2 1of1'!B21</f>
        <v>120279486.36298758</v>
      </c>
      <c r="D21" s="23">
        <v>4920290.8823490171</v>
      </c>
      <c r="F21" s="9">
        <f t="shared" si="0"/>
        <v>24.445604790252652</v>
      </c>
      <c r="H21" s="13">
        <f t="shared" si="6"/>
        <v>0.99918599324504409</v>
      </c>
      <c r="J21" s="9">
        <f t="shared" si="1"/>
        <v>24.425705902824404</v>
      </c>
      <c r="L21" s="23">
        <v>2043215.1830304964</v>
      </c>
      <c r="N21" s="23">
        <f t="shared" si="4"/>
        <v>49906973.15688844</v>
      </c>
      <c r="U21" s="7">
        <f t="shared" si="5"/>
        <v>41334</v>
      </c>
      <c r="W21" s="23">
        <f t="shared" si="2"/>
        <v>49906973.15688844</v>
      </c>
      <c r="Y21" s="25">
        <f t="shared" si="7"/>
        <v>-6225838.666666667</v>
      </c>
      <c r="Z21" s="25">
        <f t="shared" si="7"/>
        <v>-2684824.28561325</v>
      </c>
      <c r="AB21" s="23">
        <f t="shared" si="3"/>
        <v>47222148.871275187</v>
      </c>
      <c r="AD21" s="23">
        <v>1910070.0009899999</v>
      </c>
      <c r="AF21" s="9">
        <f t="shared" si="8"/>
        <v>24.722732070971055</v>
      </c>
    </row>
    <row r="22" spans="1:32">
      <c r="A22" s="7">
        <v>41365</v>
      </c>
      <c r="B22" s="24">
        <f>'Exhibit A2 1of1'!B22</f>
        <v>114965906.06768632</v>
      </c>
      <c r="D22" s="23">
        <v>4664058.4768792829</v>
      </c>
      <c r="F22" s="9">
        <f t="shared" si="0"/>
        <v>24.649327755558051</v>
      </c>
      <c r="H22" s="13">
        <f t="shared" si="6"/>
        <v>0.99918599324504409</v>
      </c>
      <c r="J22" s="9">
        <f t="shared" si="1"/>
        <v>24.629263036259903</v>
      </c>
      <c r="L22" s="23">
        <v>1986136.5413850038</v>
      </c>
      <c r="N22" s="23">
        <f t="shared" si="4"/>
        <v>48917079.303698763</v>
      </c>
      <c r="U22" s="7">
        <f t="shared" si="5"/>
        <v>41365</v>
      </c>
      <c r="W22" s="23">
        <f t="shared" si="2"/>
        <v>48917079.303698763</v>
      </c>
      <c r="Y22" s="25">
        <f t="shared" si="7"/>
        <v>-6225838.666666667</v>
      </c>
      <c r="Z22" s="25">
        <f t="shared" si="7"/>
        <v>-2684824.28561325</v>
      </c>
      <c r="AB22" s="23">
        <f t="shared" si="3"/>
        <v>46232255.01808551</v>
      </c>
      <c r="AD22" s="23">
        <v>1856810.0009900001</v>
      </c>
      <c r="AF22" s="9">
        <f t="shared" si="8"/>
        <v>24.898753773103195</v>
      </c>
    </row>
    <row r="23" spans="1:32">
      <c r="A23" s="7">
        <v>41395</v>
      </c>
      <c r="B23" s="24">
        <f>'Exhibit A2 1of1'!B23</f>
        <v>120850885.3599188</v>
      </c>
      <c r="D23" s="23">
        <v>4882345.9886108236</v>
      </c>
      <c r="F23" s="9">
        <f t="shared" si="0"/>
        <v>24.752626225554444</v>
      </c>
      <c r="H23" s="13">
        <f t="shared" si="6"/>
        <v>0.99918599324504409</v>
      </c>
      <c r="J23" s="9">
        <f t="shared" si="1"/>
        <v>24.732477420603942</v>
      </c>
      <c r="L23" s="23">
        <v>2137811.218602804</v>
      </c>
      <c r="N23" s="23">
        <f t="shared" si="4"/>
        <v>52873367.693607651</v>
      </c>
      <c r="U23" s="7">
        <f t="shared" si="5"/>
        <v>41395</v>
      </c>
      <c r="W23" s="23">
        <f t="shared" si="2"/>
        <v>52873367.693607651</v>
      </c>
      <c r="Y23" s="25">
        <f t="shared" si="7"/>
        <v>-6225838.666666667</v>
      </c>
      <c r="Z23" s="25">
        <f t="shared" si="7"/>
        <v>-2684824.28561325</v>
      </c>
      <c r="AB23" s="23">
        <f t="shared" si="3"/>
        <v>50188543.407994404</v>
      </c>
      <c r="AD23" s="23">
        <v>1998460.00202</v>
      </c>
      <c r="AF23" s="9">
        <f t="shared" si="8"/>
        <v>25.113609157683875</v>
      </c>
    </row>
    <row r="24" spans="1:32" ht="7.5" customHeight="1">
      <c r="F24" s="26"/>
      <c r="J24" s="26"/>
    </row>
    <row r="25" spans="1:32" ht="15.75" thickBot="1">
      <c r="A25" s="27" t="s">
        <v>1</v>
      </c>
      <c r="B25" s="28">
        <f>SUM(B12:B24)</f>
        <v>1479164534.0542552</v>
      </c>
      <c r="C25" s="29"/>
      <c r="D25" s="31">
        <f>SUM(D12:D24)</f>
        <v>59108199.696354344</v>
      </c>
      <c r="E25" s="29"/>
      <c r="F25" s="33">
        <f>B25/D25</f>
        <v>25.024692710197478</v>
      </c>
      <c r="G25" s="22"/>
      <c r="I25" s="22"/>
      <c r="J25" s="33">
        <f>N25/L25</f>
        <v>25.050323735729791</v>
      </c>
      <c r="K25" s="22"/>
      <c r="L25" s="52">
        <f>SUM(L12:L24)</f>
        <v>25388962.143146191</v>
      </c>
      <c r="N25" s="28">
        <f>SUM(N12:N24)</f>
        <v>636001721.00000012</v>
      </c>
      <c r="U25" s="10" t="s">
        <v>1</v>
      </c>
      <c r="W25" s="28">
        <f>SUM(W12:W24)</f>
        <v>636001721.00000012</v>
      </c>
      <c r="X25" s="22"/>
      <c r="Y25" s="30">
        <f>AB33+AB36</f>
        <v>-74710064</v>
      </c>
      <c r="Z25" s="30">
        <f>AB33*AB34+AB36*AB37</f>
        <v>-32217891.427359</v>
      </c>
      <c r="AA25" s="22"/>
      <c r="AB25" s="30">
        <f>SUM(AB12:AB24)</f>
        <v>603783829.5726409</v>
      </c>
      <c r="AC25" s="22"/>
      <c r="AD25" s="31">
        <f>SUM(AD12:AD24)</f>
        <v>23734642.546710003</v>
      </c>
      <c r="AF25" s="11">
        <f>AB25/AD25</f>
        <v>25.438926597878545</v>
      </c>
    </row>
    <row r="26" spans="1:32" ht="15.75" thickTop="1">
      <c r="B26" s="34" t="s">
        <v>16</v>
      </c>
      <c r="C26" s="35"/>
      <c r="D26" s="34" t="s">
        <v>17</v>
      </c>
      <c r="E26" s="35"/>
      <c r="F26" s="34" t="s">
        <v>49</v>
      </c>
      <c r="H26" s="34" t="s">
        <v>50</v>
      </c>
      <c r="J26" s="34" t="s">
        <v>51</v>
      </c>
      <c r="L26" s="34" t="s">
        <v>17</v>
      </c>
      <c r="N26" s="34" t="s">
        <v>52</v>
      </c>
      <c r="W26" s="34" t="s">
        <v>53</v>
      </c>
      <c r="Y26" s="36" t="s">
        <v>18</v>
      </c>
      <c r="Z26" s="36"/>
      <c r="AB26" s="34" t="s">
        <v>54</v>
      </c>
      <c r="AD26" s="34" t="s">
        <v>20</v>
      </c>
      <c r="AF26" s="34" t="s">
        <v>55</v>
      </c>
    </row>
    <row r="27" spans="1:32">
      <c r="G27" s="53"/>
    </row>
    <row r="28" spans="1:32">
      <c r="A28" s="54"/>
      <c r="B28" s="55"/>
      <c r="C28" s="55"/>
      <c r="D28" s="55"/>
      <c r="E28" s="55"/>
      <c r="F28" s="55"/>
      <c r="G28" s="55"/>
      <c r="H28" s="56"/>
      <c r="I28" s="57"/>
      <c r="J28" s="58"/>
      <c r="K28" s="53"/>
      <c r="R28" s="59"/>
    </row>
    <row r="29" spans="1:32">
      <c r="B29" s="34"/>
      <c r="C29" s="35"/>
      <c r="D29" s="34"/>
      <c r="F29" s="34"/>
      <c r="H29" s="34"/>
      <c r="J29" s="34"/>
      <c r="N29" s="9"/>
      <c r="P29" s="23"/>
      <c r="R29" s="23"/>
    </row>
    <row r="30" spans="1:32">
      <c r="J30" s="13"/>
    </row>
    <row r="31" spans="1:32">
      <c r="A31" s="38" t="s">
        <v>22</v>
      </c>
      <c r="B31" t="s">
        <v>23</v>
      </c>
      <c r="J31" s="13"/>
      <c r="Y31" t="s">
        <v>28</v>
      </c>
    </row>
    <row r="32" spans="1:32">
      <c r="A32" s="39" t="s">
        <v>24</v>
      </c>
      <c r="B32" t="s">
        <v>159</v>
      </c>
      <c r="J32" s="13"/>
      <c r="Y32" s="41" t="s">
        <v>120</v>
      </c>
      <c r="Z32" s="42"/>
      <c r="AA32" s="42"/>
      <c r="AB32" s="2"/>
      <c r="AC32" s="3"/>
    </row>
    <row r="33" spans="1:29">
      <c r="A33" s="39" t="s">
        <v>26</v>
      </c>
      <c r="B33" t="s">
        <v>27</v>
      </c>
      <c r="J33" s="13"/>
      <c r="Y33" s="4"/>
      <c r="Z33" s="43" t="s">
        <v>29</v>
      </c>
      <c r="AA33" s="43"/>
      <c r="AB33" s="44">
        <f>-74710064-AB36</f>
        <v>-63278091</v>
      </c>
      <c r="AC33" s="6"/>
    </row>
    <row r="34" spans="1:29">
      <c r="A34" s="39" t="s">
        <v>56</v>
      </c>
      <c r="B34" t="s">
        <v>161</v>
      </c>
      <c r="J34" s="13"/>
      <c r="Y34" s="4"/>
      <c r="Z34" s="43" t="s">
        <v>30</v>
      </c>
      <c r="AA34" s="43"/>
      <c r="AB34" s="45">
        <v>0.43154700000000001</v>
      </c>
      <c r="AC34" s="46">
        <f>AB34*AB33</f>
        <v>-27307470.336777002</v>
      </c>
    </row>
    <row r="35" spans="1:29">
      <c r="A35" s="39"/>
      <c r="B35" t="s">
        <v>160</v>
      </c>
      <c r="J35" s="13"/>
      <c r="Y35" s="4"/>
      <c r="Z35" s="1"/>
      <c r="AA35" s="1"/>
      <c r="AB35" s="1"/>
      <c r="AC35" s="46"/>
    </row>
    <row r="36" spans="1:29">
      <c r="A36" s="39"/>
      <c r="J36" s="13"/>
      <c r="Y36" s="4"/>
      <c r="Z36" s="43" t="s">
        <v>31</v>
      </c>
      <c r="AA36" s="43"/>
      <c r="AB36" s="44">
        <v>-11431973</v>
      </c>
      <c r="AC36" s="46"/>
    </row>
    <row r="37" spans="1:29">
      <c r="J37" s="13"/>
      <c r="Y37" s="12"/>
      <c r="Z37" s="47" t="s">
        <v>32</v>
      </c>
      <c r="AA37" s="47"/>
      <c r="AB37" s="48">
        <v>0.42953400000000003</v>
      </c>
      <c r="AC37" s="49">
        <f>AB37*AB36</f>
        <v>-4910421.0905820001</v>
      </c>
    </row>
    <row r="38" spans="1:29">
      <c r="J38" s="13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9"/>
  <sheetViews>
    <sheetView zoomScale="80" zoomScaleNormal="80" workbookViewId="0"/>
  </sheetViews>
  <sheetFormatPr defaultRowHeight="12.75"/>
  <cols>
    <col min="1" max="1" width="8.140625" style="63" bestFit="1" customWidth="1"/>
    <col min="2" max="2" width="2.7109375" style="63" customWidth="1"/>
    <col min="3" max="3" width="36.42578125" style="63" customWidth="1"/>
    <col min="4" max="4" width="8.7109375" style="89" bestFit="1" customWidth="1"/>
    <col min="5" max="5" width="16.28515625" style="63" bestFit="1" customWidth="1"/>
    <col min="6" max="6" width="13.5703125" style="63" bestFit="1" customWidth="1"/>
    <col min="7" max="7" width="13.42578125" style="63" bestFit="1" customWidth="1"/>
    <col min="8" max="8" width="12.28515625" style="63" bestFit="1" customWidth="1"/>
    <col min="9" max="9" width="16" style="63" customWidth="1"/>
    <col min="10" max="10" width="13.42578125" style="63" bestFit="1" customWidth="1"/>
    <col min="11" max="11" width="11.5703125" style="63" bestFit="1" customWidth="1"/>
    <col min="12" max="13" width="12.7109375" style="63" customWidth="1"/>
    <col min="14" max="14" width="12.85546875" style="63" bestFit="1" customWidth="1"/>
    <col min="15" max="16" width="12.7109375" style="63" customWidth="1"/>
    <col min="17" max="17" width="10.7109375" style="63" bestFit="1" customWidth="1"/>
    <col min="18" max="18" width="16.140625" style="63" bestFit="1" customWidth="1"/>
    <col min="19" max="19" width="12" style="63" bestFit="1" customWidth="1"/>
    <col min="20" max="49" width="9.140625" style="63"/>
    <col min="50" max="224" width="9.140625" style="64"/>
    <col min="225" max="16384" width="9.140625" style="63"/>
  </cols>
  <sheetData>
    <row r="1" spans="1:225" ht="15">
      <c r="P1" s="108" t="s">
        <v>119</v>
      </c>
    </row>
    <row r="2" spans="1:225" ht="15">
      <c r="P2" s="108" t="s">
        <v>162</v>
      </c>
    </row>
    <row r="3" spans="1:225">
      <c r="A3" s="60" t="s">
        <v>57</v>
      </c>
      <c r="B3" s="60"/>
      <c r="C3" s="60"/>
      <c r="D3" s="61"/>
      <c r="E3" s="61"/>
      <c r="F3" s="62"/>
      <c r="G3" s="61"/>
      <c r="H3" s="61"/>
      <c r="I3" s="61"/>
      <c r="J3" s="62"/>
      <c r="K3" s="62"/>
      <c r="L3" s="62"/>
      <c r="M3" s="62"/>
      <c r="N3" s="62"/>
      <c r="O3" s="61"/>
      <c r="P3" s="61"/>
    </row>
    <row r="4" spans="1:225">
      <c r="A4" s="60" t="s">
        <v>58</v>
      </c>
      <c r="B4" s="61"/>
      <c r="C4" s="61"/>
      <c r="D4" s="61"/>
      <c r="E4" s="61"/>
      <c r="F4" s="62"/>
      <c r="G4" s="61"/>
      <c r="H4" s="62"/>
      <c r="I4" s="62"/>
      <c r="J4" s="62"/>
      <c r="K4" s="62"/>
      <c r="L4" s="62"/>
      <c r="M4" s="62"/>
      <c r="N4" s="62"/>
      <c r="O4" s="61"/>
      <c r="P4" s="61"/>
    </row>
    <row r="5" spans="1:225">
      <c r="A5" s="60" t="s">
        <v>59</v>
      </c>
      <c r="B5" s="61"/>
      <c r="C5" s="61"/>
      <c r="D5" s="61"/>
      <c r="E5" s="61"/>
      <c r="F5" s="62"/>
      <c r="G5" s="61"/>
      <c r="H5" s="62"/>
      <c r="I5" s="62"/>
      <c r="J5" s="62"/>
      <c r="K5" s="62"/>
      <c r="L5" s="62"/>
      <c r="M5" s="62"/>
      <c r="N5" s="62"/>
      <c r="O5" s="61"/>
      <c r="P5" s="61"/>
    </row>
    <row r="6" spans="1:225">
      <c r="A6" s="60" t="s">
        <v>60</v>
      </c>
      <c r="B6" s="61"/>
      <c r="C6" s="61"/>
      <c r="D6" s="61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1"/>
      <c r="Q6" s="65"/>
      <c r="R6" s="65"/>
      <c r="U6" s="63" t="s">
        <v>158</v>
      </c>
    </row>
    <row r="7" spans="1:225">
      <c r="A7" s="60" t="s">
        <v>61</v>
      </c>
      <c r="B7" s="61"/>
      <c r="C7" s="60"/>
      <c r="D7" s="61"/>
      <c r="E7" s="61"/>
      <c r="F7" s="62"/>
      <c r="G7" s="61"/>
      <c r="H7" s="62"/>
      <c r="I7" s="62"/>
      <c r="J7" s="62"/>
      <c r="K7" s="62"/>
      <c r="L7" s="62"/>
      <c r="M7" s="62"/>
      <c r="N7" s="62"/>
      <c r="O7" s="62"/>
      <c r="P7" s="61"/>
      <c r="Q7" s="65"/>
      <c r="R7" s="65"/>
    </row>
    <row r="8" spans="1:225">
      <c r="A8" s="66"/>
      <c r="B8" s="66"/>
      <c r="C8" s="66"/>
      <c r="D8" s="67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  <c r="AX8" s="63"/>
      <c r="HQ8" s="64"/>
    </row>
    <row r="9" spans="1:225">
      <c r="A9" s="66"/>
      <c r="B9" s="66"/>
      <c r="C9" s="66"/>
      <c r="D9" s="71"/>
      <c r="E9" s="67" t="s">
        <v>62</v>
      </c>
      <c r="F9" s="67"/>
      <c r="G9" s="67" t="s">
        <v>63</v>
      </c>
      <c r="H9" s="67" t="s">
        <v>63</v>
      </c>
      <c r="I9" s="67" t="s">
        <v>64</v>
      </c>
      <c r="J9" s="67" t="s">
        <v>63</v>
      </c>
      <c r="K9" s="67"/>
      <c r="L9" s="67" t="s">
        <v>65</v>
      </c>
      <c r="M9" s="67" t="s">
        <v>66</v>
      </c>
      <c r="N9" s="67" t="s">
        <v>63</v>
      </c>
      <c r="O9" s="67"/>
      <c r="P9" s="67"/>
      <c r="Q9" s="70"/>
      <c r="AX9" s="63"/>
      <c r="HQ9" s="64"/>
    </row>
    <row r="10" spans="1:225">
      <c r="A10" s="67" t="s">
        <v>67</v>
      </c>
      <c r="B10" s="66"/>
      <c r="C10" s="66"/>
      <c r="D10" s="71" t="s">
        <v>68</v>
      </c>
      <c r="E10" s="67" t="s">
        <v>69</v>
      </c>
      <c r="F10" s="67" t="s">
        <v>70</v>
      </c>
      <c r="G10" s="67" t="s">
        <v>71</v>
      </c>
      <c r="H10" s="67" t="s">
        <v>72</v>
      </c>
      <c r="I10" s="67" t="s">
        <v>73</v>
      </c>
      <c r="J10" s="67" t="s">
        <v>74</v>
      </c>
      <c r="K10" s="67" t="s">
        <v>75</v>
      </c>
      <c r="L10" s="67" t="s">
        <v>76</v>
      </c>
      <c r="M10" s="67" t="s">
        <v>73</v>
      </c>
      <c r="N10" s="67" t="s">
        <v>77</v>
      </c>
      <c r="O10" s="67" t="s">
        <v>78</v>
      </c>
      <c r="P10" s="67" t="s">
        <v>78</v>
      </c>
      <c r="Q10" s="70"/>
      <c r="AX10" s="63"/>
      <c r="HQ10" s="64"/>
    </row>
    <row r="11" spans="1:225">
      <c r="A11" s="72" t="s">
        <v>79</v>
      </c>
      <c r="B11" s="73"/>
      <c r="C11" s="72" t="s">
        <v>80</v>
      </c>
      <c r="D11" s="74" t="s">
        <v>81</v>
      </c>
      <c r="E11" s="72" t="s">
        <v>82</v>
      </c>
      <c r="F11" s="72" t="s">
        <v>83</v>
      </c>
      <c r="G11" s="72" t="s">
        <v>84</v>
      </c>
      <c r="H11" s="72" t="s">
        <v>85</v>
      </c>
      <c r="I11" s="72" t="s">
        <v>86</v>
      </c>
      <c r="J11" s="72" t="s">
        <v>87</v>
      </c>
      <c r="K11" s="72" t="s">
        <v>88</v>
      </c>
      <c r="L11" s="72" t="s">
        <v>89</v>
      </c>
      <c r="M11" s="72" t="s">
        <v>89</v>
      </c>
      <c r="N11" s="72" t="s">
        <v>90</v>
      </c>
      <c r="O11" s="72" t="s">
        <v>91</v>
      </c>
      <c r="P11" s="72" t="s">
        <v>92</v>
      </c>
      <c r="Q11" s="70"/>
      <c r="AX11" s="63"/>
      <c r="HQ11" s="64"/>
    </row>
    <row r="12" spans="1:225">
      <c r="A12" s="75"/>
      <c r="B12" s="68"/>
      <c r="C12" s="68"/>
      <c r="D12" s="76"/>
      <c r="E12" s="6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0"/>
      <c r="R12" s="65"/>
      <c r="S12" s="65"/>
      <c r="AX12" s="63"/>
      <c r="HQ12" s="64"/>
    </row>
    <row r="13" spans="1:225">
      <c r="A13" s="67" t="s">
        <v>93</v>
      </c>
      <c r="B13" s="66" t="s">
        <v>94</v>
      </c>
      <c r="C13" s="66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0"/>
      <c r="R13" s="65"/>
      <c r="S13" s="65"/>
      <c r="AX13" s="63"/>
      <c r="HQ13" s="64"/>
    </row>
    <row r="14" spans="1:225">
      <c r="A14" s="67"/>
      <c r="B14" s="66"/>
      <c r="C14" s="66" t="s">
        <v>95</v>
      </c>
      <c r="D14" s="79" t="s">
        <v>96</v>
      </c>
      <c r="E14" s="81">
        <v>196905820</v>
      </c>
      <c r="F14" s="80">
        <f>+$E14*'Exhibit A1 3of3'!F$47</f>
        <v>68283145.989649832</v>
      </c>
      <c r="G14" s="80">
        <f>+$E14*'Exhibit A1 3of3'!G$47</f>
        <v>55518902.273175381</v>
      </c>
      <c r="H14" s="80">
        <f>+$E14*'Exhibit A1 3of3'!H$47</f>
        <v>16810210.991657585</v>
      </c>
      <c r="I14" s="80">
        <f>+$E14*'Exhibit A1 3of3'!I$47</f>
        <v>408210.39562234131</v>
      </c>
      <c r="J14" s="80">
        <f>+$E14*'Exhibit A1 3of3'!J$47</f>
        <v>33476891.028154746</v>
      </c>
      <c r="K14" s="80">
        <f>+$E14*'Exhibit A1 3of3'!K$47</f>
        <v>1481447.159512542</v>
      </c>
      <c r="L14" s="80">
        <f>+$E14*'Exhibit A1 3of3'!L$47</f>
        <v>41887.937263614367</v>
      </c>
      <c r="M14" s="80">
        <f>+$E14*'Exhibit A1 3of3'!M$47</f>
        <v>75885.262278284776</v>
      </c>
      <c r="N14" s="80">
        <f>+$E14*'Exhibit A1 3of3'!N$47</f>
        <v>13601217.137345592</v>
      </c>
      <c r="O14" s="80">
        <f>+$E14*'Exhibit A1 3of3'!O$47</f>
        <v>3794300.280277262</v>
      </c>
      <c r="P14" s="80">
        <f>+$E14*'Exhibit A1 3of3'!P$47</f>
        <v>3413721.5450628004</v>
      </c>
      <c r="Q14" s="70">
        <f>SUM(F14:P14)-E14</f>
        <v>0</v>
      </c>
      <c r="R14" s="65"/>
      <c r="S14" s="65"/>
      <c r="AX14" s="63"/>
      <c r="HQ14" s="64"/>
    </row>
    <row r="15" spans="1:225">
      <c r="A15" s="67"/>
      <c r="B15" s="66"/>
      <c r="C15" s="66"/>
      <c r="D15" s="71"/>
      <c r="E15" s="8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0"/>
      <c r="R15" s="65"/>
      <c r="S15" s="65"/>
      <c r="AX15" s="63"/>
      <c r="HQ15" s="64"/>
    </row>
    <row r="16" spans="1:225">
      <c r="A16" s="67" t="s">
        <v>97</v>
      </c>
      <c r="B16" s="66" t="s">
        <v>98</v>
      </c>
      <c r="C16" s="66"/>
      <c r="D16" s="7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70"/>
      <c r="R16" s="65"/>
      <c r="S16" s="65"/>
      <c r="AX16" s="63"/>
      <c r="HQ16" s="64"/>
    </row>
    <row r="17" spans="1:225">
      <c r="A17" s="67"/>
      <c r="B17" s="66"/>
      <c r="C17" s="66" t="s">
        <v>95</v>
      </c>
      <c r="D17" s="71" t="s">
        <v>96</v>
      </c>
      <c r="E17" s="81">
        <v>27307458</v>
      </c>
      <c r="F17" s="80">
        <f>+$E17*'Exhibit A1 3of3'!F$47</f>
        <v>9469700.4954969399</v>
      </c>
      <c r="G17" s="80">
        <f>+$E17*'Exhibit A1 3of3'!G$47</f>
        <v>7699518.9478444131</v>
      </c>
      <c r="H17" s="80">
        <f>+$E17*'Exhibit A1 3of3'!H$47</f>
        <v>2331287.7731385888</v>
      </c>
      <c r="I17" s="80">
        <f>+$E17*'Exhibit A1 3of3'!I$47</f>
        <v>56611.77629803156</v>
      </c>
      <c r="J17" s="80">
        <f>+$E17*'Exhibit A1 3of3'!J$47</f>
        <v>4642670.2660282589</v>
      </c>
      <c r="K17" s="80">
        <f>+$E17*'Exhibit A1 3of3'!K$47</f>
        <v>205451.29690736433</v>
      </c>
      <c r="L17" s="80">
        <f>+$E17*'Exhibit A1 3of3'!L$47</f>
        <v>5809.1380312312976</v>
      </c>
      <c r="M17" s="80">
        <f>+$E17*'Exhibit A1 3of3'!M$47</f>
        <v>10523.983559669519</v>
      </c>
      <c r="N17" s="80">
        <f>+$E17*'Exhibit A1 3of3'!N$47</f>
        <v>1886255.3972601977</v>
      </c>
      <c r="O17" s="80">
        <f>+$E17*'Exhibit A1 3of3'!O$47</f>
        <v>526204.33232019015</v>
      </c>
      <c r="P17" s="80">
        <f>+$E17*'Exhibit A1 3of3'!P$47</f>
        <v>473424.59311511222</v>
      </c>
      <c r="Q17" s="70">
        <f t="shared" ref="Q17:Q35" si="0">SUM(F17:P17)-E17</f>
        <v>0</v>
      </c>
      <c r="R17" s="65"/>
      <c r="S17" s="65"/>
      <c r="AX17" s="63"/>
      <c r="HQ17" s="64"/>
    </row>
    <row r="18" spans="1:225">
      <c r="A18" s="67"/>
      <c r="B18" s="66"/>
      <c r="C18" s="66" t="s">
        <v>99</v>
      </c>
      <c r="D18" s="71" t="s">
        <v>100</v>
      </c>
      <c r="E18" s="81">
        <v>4910417.512868817</v>
      </c>
      <c r="F18" s="80">
        <f>+$E18*'Exhibit A1 3of3'!F$49</f>
        <v>1476951.6246772183</v>
      </c>
      <c r="G18" s="80">
        <f>+$E18*'Exhibit A1 3of3'!G$49</f>
        <v>1347123.5874790256</v>
      </c>
      <c r="H18" s="80">
        <f>+$E18*'Exhibit A1 3of3'!H$49</f>
        <v>458398.33033300517</v>
      </c>
      <c r="I18" s="80">
        <f>+$E18*'Exhibit A1 3of3'!I$49</f>
        <v>18951.227382298457</v>
      </c>
      <c r="J18" s="80">
        <f>+$E18*'Exhibit A1 3of3'!J$49</f>
        <v>976836.53846943111</v>
      </c>
      <c r="K18" s="80">
        <f>+$E18*'Exhibit A1 3of3'!K$49</f>
        <v>41768.846769153191</v>
      </c>
      <c r="L18" s="80">
        <f>+$E18*'Exhibit A1 3of3'!L$49</f>
        <v>1262.9596058585639</v>
      </c>
      <c r="M18" s="80">
        <f>+$E18*'Exhibit A1 3of3'!M$49</f>
        <v>3505.4530665767752</v>
      </c>
      <c r="N18" s="80">
        <f>+$E18*'Exhibit A1 3of3'!N$49</f>
        <v>316550.70051933406</v>
      </c>
      <c r="O18" s="80">
        <f>+$E18*'Exhibit A1 3of3'!O$49</f>
        <v>115999.84613480409</v>
      </c>
      <c r="P18" s="80">
        <f>+$E18*'Exhibit A1 3of3'!P$49</f>
        <v>153068.39843211128</v>
      </c>
      <c r="Q18" s="70">
        <f t="shared" si="0"/>
        <v>0</v>
      </c>
      <c r="R18" s="65"/>
      <c r="S18" s="65"/>
      <c r="AX18" s="63"/>
      <c r="HQ18" s="64"/>
    </row>
    <row r="19" spans="1:225">
      <c r="A19" s="67"/>
      <c r="B19" s="66"/>
      <c r="C19" s="66"/>
      <c r="D19" s="71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0"/>
      <c r="R19" s="65"/>
      <c r="S19" s="65"/>
      <c r="AX19" s="63"/>
      <c r="HQ19" s="64"/>
    </row>
    <row r="20" spans="1:225">
      <c r="A20" s="67" t="s">
        <v>101</v>
      </c>
      <c r="B20" s="66" t="s">
        <v>102</v>
      </c>
      <c r="C20" s="66"/>
      <c r="D20" s="79" t="s">
        <v>100</v>
      </c>
      <c r="E20" s="81">
        <v>294771805</v>
      </c>
      <c r="F20" s="80">
        <f>+$E20*'Exhibit A1 3of3'!F$49</f>
        <v>88661238.105073735</v>
      </c>
      <c r="G20" s="80">
        <f>+$E20*'Exhibit A1 3of3'!G$49</f>
        <v>80867675.793065757</v>
      </c>
      <c r="H20" s="80">
        <f>+$E20*'Exhibit A1 3of3'!H$49</f>
        <v>27517599.651583035</v>
      </c>
      <c r="I20" s="80">
        <f>+$E20*'Exhibit A1 3of3'!I$49</f>
        <v>1137640.0250702633</v>
      </c>
      <c r="J20" s="80">
        <f>+$E20*'Exhibit A1 3of3'!J$49</f>
        <v>58639386.341378637</v>
      </c>
      <c r="K20" s="80">
        <f>+$E20*'Exhibit A1 3of3'!K$49</f>
        <v>2507379.12257862</v>
      </c>
      <c r="L20" s="80">
        <f>+$E20*'Exhibit A1 3of3'!L$49</f>
        <v>75815.321545543527</v>
      </c>
      <c r="M20" s="80">
        <f>+$E20*'Exhibit A1 3of3'!M$49</f>
        <v>210431.9490286948</v>
      </c>
      <c r="N20" s="80">
        <f>+$E20*'Exhibit A1 3of3'!N$49</f>
        <v>19002502.561454054</v>
      </c>
      <c r="O20" s="80">
        <f>+$E20*'Exhibit A1 3of3'!O$49</f>
        <v>6963457.5746903429</v>
      </c>
      <c r="P20" s="80">
        <f>+$E20*'Exhibit A1 3of3'!P$49</f>
        <v>9188678.5545312986</v>
      </c>
      <c r="Q20" s="70">
        <f t="shared" si="0"/>
        <v>0</v>
      </c>
      <c r="R20" s="65"/>
      <c r="S20" s="65"/>
      <c r="AX20" s="63"/>
      <c r="HQ20" s="64"/>
    </row>
    <row r="21" spans="1:225">
      <c r="A21" s="67"/>
      <c r="B21" s="66"/>
      <c r="C21" s="83" t="s">
        <v>103</v>
      </c>
      <c r="D21" s="71" t="s">
        <v>100</v>
      </c>
      <c r="E21" s="81">
        <v>23419803.277612053</v>
      </c>
      <c r="F21" s="80">
        <f>+$E21*'Exhibit A1 3of3'!F$49</f>
        <v>7044190.5214453889</v>
      </c>
      <c r="G21" s="80">
        <f>+$E21*'Exhibit A1 3of3'!G$49</f>
        <v>6424987.147571017</v>
      </c>
      <c r="H21" s="80">
        <f>+$E21*'Exhibit A1 3of3'!H$49</f>
        <v>2186290.4103469485</v>
      </c>
      <c r="I21" s="80">
        <f>+$E21*'Exhibit A1 3of3'!I$49</f>
        <v>90386.207689989926</v>
      </c>
      <c r="J21" s="80">
        <f>+$E21*'Exhibit A1 3of3'!J$49</f>
        <v>4658935.7229568781</v>
      </c>
      <c r="K21" s="80">
        <f>+$E21*'Exhibit A1 3of3'!K$49</f>
        <v>199212.83106836761</v>
      </c>
      <c r="L21" s="80">
        <f>+$E21*'Exhibit A1 3of3'!L$49</f>
        <v>6023.5744596588265</v>
      </c>
      <c r="M21" s="80">
        <f>+$E21*'Exhibit A1 3of3'!M$49</f>
        <v>16718.949254921172</v>
      </c>
      <c r="N21" s="80">
        <f>+$E21*'Exhibit A1 3of3'!N$49</f>
        <v>1509760.6495016478</v>
      </c>
      <c r="O21" s="80">
        <f>+$E21*'Exhibit A1 3of3'!O$49</f>
        <v>553251.03610654129</v>
      </c>
      <c r="P21" s="80">
        <f>+$E21*'Exhibit A1 3of3'!P$49</f>
        <v>730046.22721069166</v>
      </c>
      <c r="Q21" s="70">
        <f t="shared" si="0"/>
        <v>0</v>
      </c>
      <c r="R21" s="65"/>
      <c r="S21" s="65"/>
      <c r="AX21" s="63"/>
      <c r="HQ21" s="64"/>
    </row>
    <row r="22" spans="1:225">
      <c r="A22" s="67"/>
      <c r="B22" s="66"/>
      <c r="C22" s="66"/>
      <c r="D22" s="71"/>
      <c r="E22" s="8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AX22" s="63"/>
      <c r="HQ22" s="64"/>
    </row>
    <row r="23" spans="1:225">
      <c r="A23" s="67" t="s">
        <v>104</v>
      </c>
      <c r="B23" s="66" t="s">
        <v>105</v>
      </c>
      <c r="C23" s="66"/>
      <c r="D23" s="79" t="s">
        <v>100</v>
      </c>
      <c r="E23" s="81">
        <v>1496421</v>
      </c>
      <c r="F23" s="80">
        <f>+$E23*'Exhibit A1 3of3'!F$49</f>
        <v>450092.36411342851</v>
      </c>
      <c r="G23" s="80">
        <f>+$E23*'Exhibit A1 3of3'!G$49</f>
        <v>410528.02956488746</v>
      </c>
      <c r="H23" s="80">
        <f>+$E23*'Exhibit A1 3of3'!H$49</f>
        <v>139694.20850213792</v>
      </c>
      <c r="I23" s="80">
        <f>+$E23*'Exhibit A1 3of3'!I$49</f>
        <v>5775.2756372193344</v>
      </c>
      <c r="J23" s="80">
        <f>+$E23*'Exhibit A1 3of3'!J$49</f>
        <v>297685.21839581017</v>
      </c>
      <c r="K23" s="80">
        <f>+$E23*'Exhibit A1 3of3'!K$49</f>
        <v>12728.811610690585</v>
      </c>
      <c r="L23" s="80">
        <f>+$E23*'Exhibit A1 3of3'!L$49</f>
        <v>384.87954871567109</v>
      </c>
      <c r="M23" s="80">
        <f>+$E23*'Exhibit A1 3of3'!M$49</f>
        <v>1068.26630721167</v>
      </c>
      <c r="N23" s="80">
        <f>+$E23*'Exhibit A1 3of3'!N$49</f>
        <v>96466.973445827476</v>
      </c>
      <c r="O23" s="80">
        <f>+$E23*'Exhibit A1 3of3'!O$49</f>
        <v>35350.274248161884</v>
      </c>
      <c r="P23" s="80">
        <f>+$E23*'Exhibit A1 3of3'!P$49</f>
        <v>46646.698625909223</v>
      </c>
      <c r="Q23" s="70">
        <f t="shared" si="0"/>
        <v>0</v>
      </c>
      <c r="R23" s="65"/>
      <c r="S23" s="65"/>
      <c r="AX23" s="63"/>
      <c r="HQ23" s="64"/>
    </row>
    <row r="24" spans="1:225">
      <c r="A24" s="67"/>
      <c r="B24" s="66"/>
      <c r="C24" s="66"/>
      <c r="D24" s="71"/>
      <c r="E24" s="8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AX24" s="63"/>
      <c r="HQ24" s="64"/>
    </row>
    <row r="25" spans="1:225">
      <c r="A25" s="67" t="s">
        <v>106</v>
      </c>
      <c r="B25" s="66" t="s">
        <v>107</v>
      </c>
      <c r="C25" s="66"/>
      <c r="D25" s="71" t="s">
        <v>100</v>
      </c>
      <c r="E25" s="81">
        <v>153144261</v>
      </c>
      <c r="F25" s="80">
        <f>+$E25*'Exhibit A1 3of3'!F$49</f>
        <v>46062613.718929321</v>
      </c>
      <c r="G25" s="80">
        <f>+$E25*'Exhibit A1 3of3'!G$49</f>
        <v>42013585.553464465</v>
      </c>
      <c r="H25" s="80">
        <f>+$E25*'Exhibit A1 3of3'!H$49</f>
        <v>14296355.321824424</v>
      </c>
      <c r="I25" s="80">
        <f>+$E25*'Exhibit A1 3of3'!I$49</f>
        <v>591043.77680696745</v>
      </c>
      <c r="J25" s="80">
        <f>+$E25*'Exhibit A1 3of3'!J$49</f>
        <v>30465211.850040831</v>
      </c>
      <c r="K25" s="80">
        <f>+$E25*'Exhibit A1 3of3'!K$49</f>
        <v>1302671.1383543999</v>
      </c>
      <c r="L25" s="80">
        <f>+$E25*'Exhibit A1 3of3'!L$49</f>
        <v>39388.710838777952</v>
      </c>
      <c r="M25" s="80">
        <f>+$E25*'Exhibit A1 3of3'!M$49</f>
        <v>109326.7564202388</v>
      </c>
      <c r="N25" s="80">
        <f>+$E25*'Exhibit A1 3of3'!N$49</f>
        <v>9872464.6067302413</v>
      </c>
      <c r="O25" s="80">
        <f>+$E25*'Exhibit A1 3of3'!O$49</f>
        <v>3617759.725292603</v>
      </c>
      <c r="P25" s="80">
        <f>+$E25*'Exhibit A1 3of3'!P$49</f>
        <v>4773839.8412977252</v>
      </c>
      <c r="Q25" s="70">
        <f t="shared" si="0"/>
        <v>0</v>
      </c>
      <c r="R25" s="65"/>
      <c r="S25" s="65"/>
      <c r="AX25" s="63"/>
      <c r="HQ25" s="64"/>
    </row>
    <row r="26" spans="1:225">
      <c r="A26" s="67"/>
      <c r="B26" s="66"/>
      <c r="C26" s="83" t="s">
        <v>108</v>
      </c>
      <c r="D26" s="71" t="s">
        <v>100</v>
      </c>
      <c r="E26" s="81">
        <v>8933492.867324207</v>
      </c>
      <c r="F26" s="80">
        <f>+$E26*'Exhibit A1 3of3'!F$49</f>
        <v>2687009.1534697814</v>
      </c>
      <c r="G26" s="80">
        <f>+$E26*'Exhibit A1 3of3'!G$49</f>
        <v>2450813.7910084017</v>
      </c>
      <c r="H26" s="80">
        <f>+$E26*'Exhibit A1 3of3'!H$49</f>
        <v>833961.30852236738</v>
      </c>
      <c r="I26" s="80">
        <f>+$E26*'Exhibit A1 3of3'!I$49</f>
        <v>34477.853299258823</v>
      </c>
      <c r="J26" s="80">
        <f>+$E26*'Exhibit A1 3of3'!J$49</f>
        <v>1777152.803420173</v>
      </c>
      <c r="K26" s="80">
        <f>+$E26*'Exhibit A1 3of3'!K$49</f>
        <v>75989.810176158921</v>
      </c>
      <c r="L26" s="80">
        <f>+$E26*'Exhibit A1 3of3'!L$49</f>
        <v>2297.6947685380032</v>
      </c>
      <c r="M26" s="80">
        <f>+$E26*'Exhibit A1 3of3'!M$49</f>
        <v>6377.4495518829417</v>
      </c>
      <c r="N26" s="80">
        <f>+$E26*'Exhibit A1 3of3'!N$49</f>
        <v>575898.77394840994</v>
      </c>
      <c r="O26" s="80">
        <f>+$E26*'Exhibit A1 3of3'!O$49</f>
        <v>211037.81813668</v>
      </c>
      <c r="P26" s="80">
        <f>+$E26*'Exhibit A1 3of3'!P$49</f>
        <v>278476.41102255444</v>
      </c>
      <c r="Q26" s="70">
        <f t="shared" si="0"/>
        <v>0</v>
      </c>
      <c r="AX26" s="63"/>
      <c r="HQ26" s="64"/>
    </row>
    <row r="27" spans="1:225">
      <c r="A27" s="67"/>
      <c r="B27" s="66"/>
      <c r="C27" s="66"/>
      <c r="D27" s="71"/>
      <c r="E27" s="8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5"/>
      <c r="S27" s="65"/>
      <c r="AX27" s="63"/>
      <c r="HQ27" s="64"/>
    </row>
    <row r="28" spans="1:225">
      <c r="A28" s="67" t="s">
        <v>109</v>
      </c>
      <c r="B28" s="66" t="s">
        <v>110</v>
      </c>
      <c r="C28" s="66"/>
      <c r="D28" s="79"/>
      <c r="E28" s="81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70"/>
      <c r="AX28" s="63"/>
      <c r="HQ28" s="64"/>
    </row>
    <row r="29" spans="1:225">
      <c r="A29" s="67"/>
      <c r="B29" s="66"/>
      <c r="C29" s="66" t="s">
        <v>95</v>
      </c>
      <c r="D29" s="79" t="s">
        <v>96</v>
      </c>
      <c r="E29" s="81">
        <v>280635059</v>
      </c>
      <c r="F29" s="80">
        <f>+$E29*'Exhibit A1 3of3'!F$47</f>
        <v>97318833.458101928</v>
      </c>
      <c r="G29" s="80">
        <f>+$E29*'Exhibit A1 3of3'!G$47</f>
        <v>79126916.690668702</v>
      </c>
      <c r="H29" s="80">
        <f>+$E29*'Exhibit A1 3of3'!H$47</f>
        <v>23958329.690032903</v>
      </c>
      <c r="I29" s="80">
        <f>+$E29*'Exhibit A1 3of3'!I$47</f>
        <v>581791.58168046572</v>
      </c>
      <c r="J29" s="80">
        <f>+$E29*'Exhibit A1 3of3'!J$47</f>
        <v>47712095.50242231</v>
      </c>
      <c r="K29" s="80">
        <f>+$E29*'Exhibit A1 3of3'!K$47</f>
        <v>2111395.2396896374</v>
      </c>
      <c r="L29" s="80">
        <f>+$E29*'Exhibit A1 3of3'!L$47</f>
        <v>59699.727236923303</v>
      </c>
      <c r="M29" s="80">
        <f>+$E29*'Exhibit A1 3of3'!M$47</f>
        <v>108153.55816652307</v>
      </c>
      <c r="N29" s="80">
        <f>+$E29*'Exhibit A1 3of3'!N$47</f>
        <v>19384792.048354849</v>
      </c>
      <c r="O29" s="80">
        <f>+$E29*'Exhibit A1 3of3'!O$47</f>
        <v>5407730.8787486618</v>
      </c>
      <c r="P29" s="80">
        <f>+$E29*'Exhibit A1 3of3'!P$47</f>
        <v>4865320.6248970702</v>
      </c>
      <c r="Q29" s="70">
        <f t="shared" si="0"/>
        <v>0</v>
      </c>
      <c r="R29" s="65"/>
      <c r="S29" s="65"/>
      <c r="AX29" s="63"/>
      <c r="HQ29" s="64"/>
    </row>
    <row r="30" spans="1:225">
      <c r="A30" s="67"/>
      <c r="B30" s="66"/>
      <c r="C30" s="66" t="s">
        <v>99</v>
      </c>
      <c r="D30" s="71" t="s">
        <v>100</v>
      </c>
      <c r="E30" s="81">
        <v>12154101</v>
      </c>
      <c r="F30" s="80">
        <f>+$E30*'Exhibit A1 3of3'!F$49</f>
        <v>3655701.2049171897</v>
      </c>
      <c r="G30" s="80">
        <f>+$E30*'Exhibit A1 3of3'!G$49</f>
        <v>3334355.1946027409</v>
      </c>
      <c r="H30" s="80">
        <f>+$E30*'Exhibit A1 3of3'!H$49</f>
        <v>1134612.1975366843</v>
      </c>
      <c r="I30" s="80">
        <f>+$E30*'Exhibit A1 3of3'!I$49</f>
        <v>46907.443425081008</v>
      </c>
      <c r="J30" s="80">
        <f>+$E30*'Exhibit A1 3of3'!J$49</f>
        <v>2417833.0901462454</v>
      </c>
      <c r="K30" s="80">
        <f>+$E30*'Exhibit A1 3of3'!K$49</f>
        <v>103384.8508717173</v>
      </c>
      <c r="L30" s="80">
        <f>+$E30*'Exhibit A1 3of3'!L$49</f>
        <v>3126.0353255699342</v>
      </c>
      <c r="M30" s="80">
        <f>+$E30*'Exhibit A1 3of3'!M$49</f>
        <v>8676.5800484941501</v>
      </c>
      <c r="N30" s="80">
        <f>+$E30*'Exhibit A1 3of3'!N$49</f>
        <v>783515.69406263693</v>
      </c>
      <c r="O30" s="80">
        <f>+$E30*'Exhibit A1 3of3'!O$49</f>
        <v>287118.93483843026</v>
      </c>
      <c r="P30" s="80">
        <f>+$E30*'Exhibit A1 3of3'!P$49</f>
        <v>378869.77422520926</v>
      </c>
      <c r="Q30" s="70">
        <f t="shared" si="0"/>
        <v>0</v>
      </c>
      <c r="AX30" s="63"/>
      <c r="HQ30" s="64"/>
    </row>
    <row r="31" spans="1:225">
      <c r="A31" s="67"/>
      <c r="B31" s="66"/>
      <c r="C31" s="66"/>
      <c r="D31" s="71"/>
      <c r="E31" s="84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5"/>
      <c r="S31" s="65"/>
      <c r="AX31" s="63"/>
      <c r="HQ31" s="64"/>
    </row>
    <row r="32" spans="1:225">
      <c r="A32" s="67" t="s">
        <v>111</v>
      </c>
      <c r="B32" s="66" t="s">
        <v>112</v>
      </c>
      <c r="C32" s="66"/>
      <c r="D32" s="79" t="s">
        <v>96</v>
      </c>
      <c r="E32" s="81">
        <v>55768007</v>
      </c>
      <c r="F32" s="80">
        <f>+$E32*'Exhibit A1 3of3'!F$47</f>
        <v>19339270.741376836</v>
      </c>
      <c r="G32" s="80">
        <f>+$E32*'Exhibit A1 3of3'!G$47</f>
        <v>15724159.553042976</v>
      </c>
      <c r="H32" s="80">
        <f>+$E32*'Exhibit A1 3of3'!H$47</f>
        <v>4761017.0397921056</v>
      </c>
      <c r="I32" s="80">
        <f>+$E32*'Exhibit A1 3of3'!I$47</f>
        <v>115614.05447812309</v>
      </c>
      <c r="J32" s="80">
        <f>+$E32*'Exhibit A1 3of3'!J$47</f>
        <v>9481382.9941459876</v>
      </c>
      <c r="K32" s="80">
        <f>+$E32*'Exhibit A1 3of3'!K$47</f>
        <v>419578.02751500969</v>
      </c>
      <c r="L32" s="80">
        <f>+$E32*'Exhibit A1 3of3'!L$47</f>
        <v>11863.574060598143</v>
      </c>
      <c r="M32" s="80">
        <f>+$E32*'Exhibit A1 3of3'!M$47</f>
        <v>21492.355268789015</v>
      </c>
      <c r="N32" s="80">
        <f>+$E32*'Exhibit A1 3of3'!N$47</f>
        <v>3852160.2486102693</v>
      </c>
      <c r="O32" s="80">
        <f>+$E32*'Exhibit A1 3of3'!O$47</f>
        <v>1074628.2897610862</v>
      </c>
      <c r="P32" s="80">
        <f>+$E32*'Exhibit A1 3of3'!P$47</f>
        <v>966840.1219482139</v>
      </c>
      <c r="Q32" s="70">
        <f t="shared" si="0"/>
        <v>0</v>
      </c>
      <c r="AX32" s="63"/>
      <c r="HQ32" s="64"/>
    </row>
    <row r="33" spans="1:225">
      <c r="A33" s="67"/>
      <c r="B33" s="66" t="s">
        <v>99</v>
      </c>
      <c r="C33" s="68"/>
      <c r="D33" s="79" t="s">
        <v>100</v>
      </c>
      <c r="E33" s="85">
        <v>2584592</v>
      </c>
      <c r="F33" s="86">
        <f>+$E33*'Exhibit A1 3of3'!F$49</f>
        <v>777391.60540292761</v>
      </c>
      <c r="G33" s="86">
        <f>+$E33*'Exhibit A1 3of3'!G$49</f>
        <v>709056.78347816004</v>
      </c>
      <c r="H33" s="86">
        <f>+$E33*'Exhibit A1 3of3'!H$49</f>
        <v>241277.37698211774</v>
      </c>
      <c r="I33" s="86">
        <f>+$E33*'Exhibit A1 3of3'!I$49</f>
        <v>9974.9543809876996</v>
      </c>
      <c r="J33" s="86">
        <f>+$E33*'Exhibit A1 3of3'!J$49</f>
        <v>514156.6671304825</v>
      </c>
      <c r="K33" s="86">
        <f>+$E33*'Exhibit A1 3of3'!K$49</f>
        <v>21984.979266194474</v>
      </c>
      <c r="L33" s="86">
        <f>+$E33*'Exhibit A1 3of3'!L$49</f>
        <v>664.75717901187818</v>
      </c>
      <c r="M33" s="86">
        <f>+$E33*'Exhibit A1 3of3'!M$49</f>
        <v>1845.0907541987347</v>
      </c>
      <c r="N33" s="86">
        <f>+$E33*'Exhibit A1 3of3'!N$49</f>
        <v>166616.05780211461</v>
      </c>
      <c r="O33" s="86">
        <f>+$E33*'Exhibit A1 3of3'!O$49</f>
        <v>61056.37118137558</v>
      </c>
      <c r="P33" s="86">
        <f>+$E33*'Exhibit A1 3of3'!P$49</f>
        <v>80567.356442428936</v>
      </c>
      <c r="Q33" s="70">
        <f t="shared" si="0"/>
        <v>0</v>
      </c>
      <c r="AX33" s="63"/>
      <c r="HQ33" s="64"/>
    </row>
    <row r="34" spans="1:225">
      <c r="A34" s="67"/>
      <c r="B34" s="66"/>
      <c r="C34" s="66"/>
      <c r="D34" s="66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70"/>
      <c r="AX34" s="63"/>
      <c r="HQ34" s="64"/>
    </row>
    <row r="35" spans="1:225">
      <c r="A35" s="89"/>
      <c r="B35" s="90"/>
      <c r="C35" s="90" t="s">
        <v>165</v>
      </c>
      <c r="E35" s="91">
        <f>-E14-E17-E18+SUM(E20:E33)</f>
        <v>603783846.63206744</v>
      </c>
      <c r="F35" s="91">
        <f t="shared" ref="F35:P35" si="1">-F14-F17-F18+SUM(F20:F33)</f>
        <v>186766542.76300657</v>
      </c>
      <c r="G35" s="91">
        <f t="shared" si="1"/>
        <v>166496533.72796825</v>
      </c>
      <c r="H35" s="91">
        <f t="shared" si="1"/>
        <v>55469240.109993547</v>
      </c>
      <c r="I35" s="91">
        <f t="shared" si="1"/>
        <v>2129837.7731656851</v>
      </c>
      <c r="J35" s="91">
        <f t="shared" si="1"/>
        <v>116867442.35738491</v>
      </c>
      <c r="K35" s="91">
        <f t="shared" si="1"/>
        <v>5025657.5079417368</v>
      </c>
      <c r="L35" s="91">
        <f t="shared" si="1"/>
        <v>150304.24006263303</v>
      </c>
      <c r="M35" s="91">
        <f t="shared" si="1"/>
        <v>394176.25589642319</v>
      </c>
      <c r="N35" s="91">
        <f t="shared" si="1"/>
        <v>39440154.378784925</v>
      </c>
      <c r="O35" s="91">
        <f t="shared" si="1"/>
        <v>13774886.444271626</v>
      </c>
      <c r="P35" s="91">
        <f t="shared" si="1"/>
        <v>17269071.073591076</v>
      </c>
      <c r="Q35" s="92">
        <f t="shared" si="0"/>
        <v>0</v>
      </c>
    </row>
    <row r="36" spans="1:225">
      <c r="A36" s="93"/>
      <c r="C36" s="90" t="s">
        <v>113</v>
      </c>
      <c r="E36" s="94">
        <f>+E35/$E$35</f>
        <v>1</v>
      </c>
      <c r="F36" s="94">
        <f>+F35/$E$35</f>
        <v>0.30932682913727894</v>
      </c>
      <c r="G36" s="94">
        <f t="shared" ref="G36:P36" si="2">+G35/$E$35</f>
        <v>0.27575519725592718</v>
      </c>
      <c r="H36" s="94">
        <f t="shared" si="2"/>
        <v>9.186936752184309E-2</v>
      </c>
      <c r="I36" s="94">
        <f t="shared" si="2"/>
        <v>3.5274838587451667E-3</v>
      </c>
      <c r="J36" s="94">
        <f t="shared" si="2"/>
        <v>0.19355841168868063</v>
      </c>
      <c r="K36" s="94">
        <f t="shared" si="2"/>
        <v>8.3236037796888297E-3</v>
      </c>
      <c r="L36" s="94">
        <f t="shared" si="2"/>
        <v>2.4893716667154415E-4</v>
      </c>
      <c r="M36" s="94">
        <f t="shared" si="2"/>
        <v>6.5284332811345563E-4</v>
      </c>
      <c r="N36" s="94">
        <f t="shared" si="2"/>
        <v>6.5321645484197402E-2</v>
      </c>
      <c r="O36" s="94">
        <f t="shared" si="2"/>
        <v>2.2814267922384047E-2</v>
      </c>
      <c r="P36" s="94">
        <f t="shared" si="2"/>
        <v>2.8601412856469589E-2</v>
      </c>
    </row>
    <row r="37" spans="1:225">
      <c r="E37" s="92"/>
    </row>
    <row r="38" spans="1:225">
      <c r="C38" s="90" t="s">
        <v>114</v>
      </c>
      <c r="D38" s="95">
        <v>0.75</v>
      </c>
      <c r="E38" s="96">
        <f>(-E14-E17+E29+E32)*$D$38</f>
        <v>84142341</v>
      </c>
      <c r="F38" s="96">
        <f>(-F14-F17+F29+F32)*$D$38</f>
        <v>29178943.285748988</v>
      </c>
      <c r="G38" s="96">
        <f>(-G14-G17+G29+G32)*$D$38</f>
        <v>23724491.267018914</v>
      </c>
      <c r="H38" s="96">
        <f>(-H14-H17+H29+H32)*$D$38</f>
        <v>7183385.9737716252</v>
      </c>
      <c r="I38" s="96">
        <f t="shared" ref="I38:P38" si="3">(-I14-I17+I29+I32)*$D$38</f>
        <v>174437.59817866195</v>
      </c>
      <c r="J38" s="96">
        <f t="shared" si="3"/>
        <v>14305437.901788974</v>
      </c>
      <c r="K38" s="96">
        <f t="shared" si="3"/>
        <v>633056.10808855563</v>
      </c>
      <c r="L38" s="96">
        <f t="shared" si="3"/>
        <v>17899.669502006836</v>
      </c>
      <c r="M38" s="96">
        <f t="shared" si="3"/>
        <v>32427.500698018346</v>
      </c>
      <c r="N38" s="96">
        <f t="shared" si="3"/>
        <v>5812109.8217694964</v>
      </c>
      <c r="O38" s="96">
        <f t="shared" si="3"/>
        <v>1621390.9169342215</v>
      </c>
      <c r="P38" s="96">
        <f t="shared" si="3"/>
        <v>1458760.9565005284</v>
      </c>
      <c r="Q38" s="92">
        <f t="shared" ref="Q38:Q43" si="4">SUM(F38:P38)-E38</f>
        <v>0</v>
      </c>
    </row>
    <row r="39" spans="1:225">
      <c r="C39" s="90"/>
      <c r="E39" s="97">
        <f t="shared" ref="E39:P39" si="5">+E38/E43</f>
        <v>0.13935838374833914</v>
      </c>
      <c r="F39" s="97">
        <f t="shared" si="5"/>
        <v>0.15623217549609508</v>
      </c>
      <c r="G39" s="97">
        <f t="shared" si="5"/>
        <v>0.14249240351022185</v>
      </c>
      <c r="H39" s="97">
        <f t="shared" si="5"/>
        <v>0.12950215217528172</v>
      </c>
      <c r="I39" s="97">
        <f t="shared" si="5"/>
        <v>8.1901823874306903E-2</v>
      </c>
      <c r="J39" s="97">
        <f t="shared" si="5"/>
        <v>0.1224073840688874</v>
      </c>
      <c r="K39" s="97">
        <f t="shared" si="5"/>
        <v>0.12596483287772317</v>
      </c>
      <c r="L39" s="97">
        <f t="shared" si="5"/>
        <v>0.11908958452900527</v>
      </c>
      <c r="M39" s="97">
        <f t="shared" si="5"/>
        <v>8.2266499346270228E-2</v>
      </c>
      <c r="N39" s="97">
        <f t="shared" si="5"/>
        <v>0.1473652908644765</v>
      </c>
      <c r="O39" s="97">
        <f t="shared" si="5"/>
        <v>0.11770630004782996</v>
      </c>
      <c r="P39" s="97">
        <f t="shared" si="5"/>
        <v>8.4472462374154872E-2</v>
      </c>
    </row>
    <row r="40" spans="1:225">
      <c r="C40" s="90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225">
      <c r="C41" s="90" t="s">
        <v>115</v>
      </c>
      <c r="D41" s="93"/>
      <c r="E41" s="98">
        <f t="shared" ref="E41:P41" si="6">+E35-E38</f>
        <v>519641505.63206744</v>
      </c>
      <c r="F41" s="98">
        <f t="shared" si="6"/>
        <v>157587599.47725758</v>
      </c>
      <c r="G41" s="98">
        <f t="shared" si="6"/>
        <v>142772042.46094933</v>
      </c>
      <c r="H41" s="98">
        <f t="shared" si="6"/>
        <v>48285854.136221923</v>
      </c>
      <c r="I41" s="98">
        <f t="shared" si="6"/>
        <v>1955400.1749870232</v>
      </c>
      <c r="J41" s="98">
        <f t="shared" si="6"/>
        <v>102562004.45559593</v>
      </c>
      <c r="K41" s="98">
        <f t="shared" si="6"/>
        <v>4392601.3998531811</v>
      </c>
      <c r="L41" s="98">
        <f t="shared" si="6"/>
        <v>132404.57056062619</v>
      </c>
      <c r="M41" s="98">
        <f t="shared" si="6"/>
        <v>361748.75519840483</v>
      </c>
      <c r="N41" s="98">
        <f t="shared" si="6"/>
        <v>33628044.557015426</v>
      </c>
      <c r="O41" s="98">
        <f t="shared" si="6"/>
        <v>12153495.527337404</v>
      </c>
      <c r="P41" s="98">
        <f t="shared" si="6"/>
        <v>15810310.117090547</v>
      </c>
      <c r="Q41" s="92">
        <f t="shared" si="4"/>
        <v>0</v>
      </c>
    </row>
    <row r="42" spans="1:225">
      <c r="C42" s="90"/>
      <c r="E42" s="99">
        <f t="shared" ref="E42:P42" si="7">+E41/E43</f>
        <v>0.86064161625166091</v>
      </c>
      <c r="F42" s="99">
        <f t="shared" si="7"/>
        <v>0.84376782450390497</v>
      </c>
      <c r="G42" s="99">
        <f t="shared" si="7"/>
        <v>0.85750759648977815</v>
      </c>
      <c r="H42" s="99">
        <f t="shared" si="7"/>
        <v>0.87049784782471828</v>
      </c>
      <c r="I42" s="99">
        <f t="shared" si="7"/>
        <v>0.91809817612569311</v>
      </c>
      <c r="J42" s="99">
        <f t="shared" si="7"/>
        <v>0.8775926159311126</v>
      </c>
      <c r="K42" s="99">
        <f t="shared" si="7"/>
        <v>0.8740351671222768</v>
      </c>
      <c r="L42" s="99">
        <f t="shared" si="7"/>
        <v>0.88091041547099469</v>
      </c>
      <c r="M42" s="99">
        <f t="shared" si="7"/>
        <v>0.91773350065372972</v>
      </c>
      <c r="N42" s="99">
        <f t="shared" si="7"/>
        <v>0.85263470913552342</v>
      </c>
      <c r="O42" s="99">
        <f t="shared" si="7"/>
        <v>0.88229369995217</v>
      </c>
      <c r="P42" s="99">
        <f t="shared" si="7"/>
        <v>0.91552753762584516</v>
      </c>
    </row>
    <row r="43" spans="1:225">
      <c r="C43" s="90" t="s">
        <v>165</v>
      </c>
      <c r="D43" s="93"/>
      <c r="E43" s="92">
        <f>+E38+E41</f>
        <v>603783846.63206744</v>
      </c>
      <c r="F43" s="92">
        <f t="shared" ref="F43:P43" si="8">+F38+F41</f>
        <v>186766542.76300657</v>
      </c>
      <c r="G43" s="92">
        <f t="shared" si="8"/>
        <v>166496533.72796825</v>
      </c>
      <c r="H43" s="92">
        <f t="shared" si="8"/>
        <v>55469240.109993547</v>
      </c>
      <c r="I43" s="92">
        <f t="shared" si="8"/>
        <v>2129837.7731656851</v>
      </c>
      <c r="J43" s="92">
        <f t="shared" si="8"/>
        <v>116867442.35738491</v>
      </c>
      <c r="K43" s="92">
        <f t="shared" si="8"/>
        <v>5025657.5079417368</v>
      </c>
      <c r="L43" s="92">
        <f t="shared" si="8"/>
        <v>150304.24006263303</v>
      </c>
      <c r="M43" s="92">
        <f t="shared" si="8"/>
        <v>394176.25589642319</v>
      </c>
      <c r="N43" s="92">
        <f t="shared" si="8"/>
        <v>39440154.378784925</v>
      </c>
      <c r="O43" s="92">
        <f t="shared" si="8"/>
        <v>13774886.444271626</v>
      </c>
      <c r="P43" s="92">
        <f t="shared" si="8"/>
        <v>17269071.073591076</v>
      </c>
      <c r="Q43" s="92">
        <f t="shared" si="4"/>
        <v>0</v>
      </c>
    </row>
    <row r="44" spans="1:225"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225">
      <c r="E45" s="92"/>
    </row>
    <row r="46" spans="1:225" ht="15">
      <c r="D46"/>
      <c r="E46" s="1"/>
      <c r="F46" s="71" t="s">
        <v>83</v>
      </c>
      <c r="G46" s="71" t="s">
        <v>84</v>
      </c>
      <c r="H46" s="71" t="s">
        <v>85</v>
      </c>
      <c r="I46" s="71" t="s">
        <v>86</v>
      </c>
      <c r="J46" s="71" t="s">
        <v>87</v>
      </c>
      <c r="K46" s="71" t="s">
        <v>88</v>
      </c>
      <c r="L46" s="71" t="s">
        <v>89</v>
      </c>
      <c r="M46" s="71" t="s">
        <v>89</v>
      </c>
      <c r="N46" s="71" t="s">
        <v>90</v>
      </c>
      <c r="O46" s="100" t="s">
        <v>91</v>
      </c>
      <c r="P46" s="100" t="s">
        <v>92</v>
      </c>
      <c r="Q46" s="100" t="s">
        <v>1</v>
      </c>
    </row>
    <row r="47" spans="1:225">
      <c r="D47" s="101" t="s">
        <v>96</v>
      </c>
      <c r="E47" s="101" t="s">
        <v>116</v>
      </c>
      <c r="F47" s="102">
        <v>0.34678074010026638</v>
      </c>
      <c r="G47" s="102">
        <v>0.28195663425883188</v>
      </c>
      <c r="H47" s="102">
        <v>8.5371834065938651E-2</v>
      </c>
      <c r="I47" s="102">
        <v>2.0731250890519198E-3</v>
      </c>
      <c r="J47" s="102">
        <v>0.17001473612184112</v>
      </c>
      <c r="K47" s="102">
        <v>7.5236331740348855E-3</v>
      </c>
      <c r="L47" s="102">
        <v>2.1273082361717073E-4</v>
      </c>
      <c r="M47" s="102">
        <v>3.853886201956081E-4</v>
      </c>
      <c r="N47" s="102">
        <v>6.9074733988795212E-2</v>
      </c>
      <c r="O47" s="102">
        <v>1.9269619761758498E-2</v>
      </c>
      <c r="P47" s="102">
        <v>1.733682399566859E-2</v>
      </c>
      <c r="Q47" s="103">
        <f>SUM(F47:P47)</f>
        <v>0.99999999999999989</v>
      </c>
    </row>
    <row r="48" spans="1:225" ht="15">
      <c r="D48"/>
      <c r="E48" s="5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4:17">
      <c r="D49" s="105" t="s">
        <v>100</v>
      </c>
      <c r="E49" s="105" t="s">
        <v>117</v>
      </c>
      <c r="F49" s="106">
        <v>0.30077923533111905</v>
      </c>
      <c r="G49" s="106">
        <v>0.27433992811173291</v>
      </c>
      <c r="H49" s="106">
        <v>9.3352210709511496E-2</v>
      </c>
      <c r="I49" s="106">
        <v>3.8593922680979047E-3</v>
      </c>
      <c r="J49" s="106">
        <v>0.19893146273395665</v>
      </c>
      <c r="K49" s="106">
        <v>8.5061701290549824E-3</v>
      </c>
      <c r="L49" s="106">
        <v>2.5720004511809916E-4</v>
      </c>
      <c r="M49" s="106">
        <v>7.1388085786798635E-4</v>
      </c>
      <c r="N49" s="106">
        <v>6.4465129429370133E-2</v>
      </c>
      <c r="O49" s="106">
        <v>2.3623214488544257E-2</v>
      </c>
      <c r="P49" s="106">
        <v>3.1172175895626444E-2</v>
      </c>
      <c r="Q49" s="107">
        <f>ROUND(SUM(F49:P49),6)</f>
        <v>1</v>
      </c>
    </row>
  </sheetData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Normal="100" workbookViewId="0"/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5.7109375" customWidth="1"/>
    <col min="11" max="11" width="2.28515625" customWidth="1"/>
    <col min="12" max="12" width="13.7109375" customWidth="1"/>
    <col min="13" max="13" width="2.28515625" customWidth="1"/>
    <col min="14" max="14" width="12" customWidth="1"/>
  </cols>
  <sheetData>
    <row r="1" spans="1:30">
      <c r="F1" s="13"/>
      <c r="H1" s="13"/>
      <c r="J1" s="13"/>
      <c r="L1" s="13"/>
      <c r="O1" s="108" t="s">
        <v>118</v>
      </c>
    </row>
    <row r="2" spans="1:30">
      <c r="F2" s="13"/>
      <c r="H2" s="13"/>
      <c r="J2" s="13"/>
      <c r="L2" s="13"/>
      <c r="O2" s="108"/>
    </row>
    <row r="3" spans="1:30">
      <c r="F3" s="13"/>
      <c r="H3" s="13"/>
      <c r="J3" s="13"/>
      <c r="L3" s="13"/>
      <c r="N3" s="14"/>
    </row>
    <row r="4" spans="1:30">
      <c r="F4" s="13"/>
      <c r="H4" s="13"/>
      <c r="J4" s="13"/>
      <c r="L4" s="13"/>
      <c r="N4" s="14"/>
    </row>
    <row r="5" spans="1:30" ht="18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30" ht="18.75">
      <c r="A6" s="15" t="s">
        <v>156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6" t="s">
        <v>3</v>
      </c>
      <c r="C8" s="17"/>
      <c r="D8" s="16"/>
      <c r="E8" s="1"/>
      <c r="F8" s="16" t="s">
        <v>4</v>
      </c>
      <c r="G8" s="17"/>
      <c r="H8" s="16"/>
      <c r="I8" s="1"/>
      <c r="J8" s="1"/>
      <c r="K8" s="1"/>
      <c r="L8" s="1"/>
      <c r="M8" s="1"/>
      <c r="N8" s="1"/>
    </row>
    <row r="9" spans="1:30" ht="30">
      <c r="B9" s="18" t="s">
        <v>5</v>
      </c>
      <c r="C9" s="19"/>
      <c r="D9" s="5" t="s">
        <v>6</v>
      </c>
      <c r="E9" s="19"/>
      <c r="F9" s="18" t="s">
        <v>5</v>
      </c>
      <c r="G9" s="19"/>
      <c r="H9" s="5" t="s">
        <v>6</v>
      </c>
      <c r="I9" s="19"/>
      <c r="J9" s="5" t="s">
        <v>7</v>
      </c>
      <c r="K9" s="19"/>
      <c r="L9" s="5" t="s">
        <v>8</v>
      </c>
      <c r="M9" s="19"/>
      <c r="N9" s="5" t="s">
        <v>0</v>
      </c>
    </row>
    <row r="10" spans="1:30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K10" s="20"/>
      <c r="L10" s="20" t="s">
        <v>14</v>
      </c>
      <c r="N10" s="20" t="s">
        <v>15</v>
      </c>
    </row>
    <row r="12" spans="1:30">
      <c r="A12" s="7">
        <v>41061</v>
      </c>
      <c r="B12" s="21">
        <v>123896956.59901568</v>
      </c>
      <c r="C12" s="22"/>
      <c r="D12" s="22">
        <f t="shared" ref="D12:D23" si="0">D$25*$B12/$B$25</f>
        <v>53272422.24207221</v>
      </c>
      <c r="E12" s="22"/>
      <c r="F12" s="22">
        <f>F25/12</f>
        <v>-6225838.666666667</v>
      </c>
      <c r="G12" s="22"/>
      <c r="H12" s="22">
        <f>H25/12</f>
        <v>-2684824.28561325</v>
      </c>
      <c r="I12" s="22"/>
      <c r="J12" s="22">
        <f>H12+D12</f>
        <v>50587597.956458956</v>
      </c>
      <c r="K12" s="22"/>
      <c r="L12" s="23">
        <v>1912132.46205</v>
      </c>
      <c r="N12" s="8">
        <f>J12/L12</f>
        <v>26.456115860416865</v>
      </c>
    </row>
    <row r="13" spans="1:30">
      <c r="A13" s="7">
        <v>41091</v>
      </c>
      <c r="B13" s="24">
        <v>141773973.05509216</v>
      </c>
      <c r="D13" s="25">
        <f t="shared" si="0"/>
        <v>60959067.622384526</v>
      </c>
      <c r="F13" s="25">
        <f>F12</f>
        <v>-6225838.666666667</v>
      </c>
      <c r="H13" s="25">
        <f>H12</f>
        <v>-2684824.28561325</v>
      </c>
      <c r="J13" s="25">
        <f>H13+D13</f>
        <v>58274243.33677128</v>
      </c>
      <c r="L13" s="23">
        <v>2266364.4785400005</v>
      </c>
      <c r="N13" s="9">
        <f>J13/L13</f>
        <v>25.712652968472106</v>
      </c>
    </row>
    <row r="14" spans="1:30">
      <c r="A14" s="7">
        <v>41122</v>
      </c>
      <c r="B14" s="24">
        <v>144558297.42193317</v>
      </c>
      <c r="D14" s="25">
        <f t="shared" si="0"/>
        <v>62156253.634057894</v>
      </c>
      <c r="F14" s="25">
        <f t="shared" ref="F14:F23" si="1">F13</f>
        <v>-6225838.666666667</v>
      </c>
      <c r="H14" s="25">
        <f t="shared" ref="H14:H23" si="2">H13</f>
        <v>-2684824.28561325</v>
      </c>
      <c r="J14" s="25">
        <f t="shared" ref="J14:J23" si="3">H14+D14</f>
        <v>59471429.348444641</v>
      </c>
      <c r="L14" s="23">
        <v>2314401.9906899994</v>
      </c>
      <c r="N14" s="9">
        <f t="shared" ref="N14:N25" si="4">J14/L14</f>
        <v>25.696240146559091</v>
      </c>
    </row>
    <row r="15" spans="1:30">
      <c r="A15" s="7">
        <v>41153</v>
      </c>
      <c r="B15" s="24">
        <v>127875043.19533841</v>
      </c>
      <c r="D15" s="25">
        <f t="shared" si="0"/>
        <v>54982894.514290363</v>
      </c>
      <c r="F15" s="25">
        <f t="shared" si="1"/>
        <v>-6225838.666666667</v>
      </c>
      <c r="H15" s="25">
        <f t="shared" si="2"/>
        <v>-2684824.28561325</v>
      </c>
      <c r="J15" s="25">
        <f t="shared" si="3"/>
        <v>52298070.228677109</v>
      </c>
      <c r="L15" s="23">
        <v>1968925.9935399997</v>
      </c>
      <c r="N15" s="9">
        <f t="shared" si="4"/>
        <v>26.561724717061921</v>
      </c>
    </row>
    <row r="16" spans="1:30">
      <c r="A16" s="7">
        <v>41183</v>
      </c>
      <c r="B16" s="24">
        <v>118467640.01367652</v>
      </c>
      <c r="D16" s="25">
        <f t="shared" si="0"/>
        <v>50937959.366150595</v>
      </c>
      <c r="F16" s="25">
        <f t="shared" si="1"/>
        <v>-6225838.666666667</v>
      </c>
      <c r="H16" s="25">
        <f t="shared" si="2"/>
        <v>-2684824.28561325</v>
      </c>
      <c r="J16" s="25">
        <f t="shared" si="3"/>
        <v>48253135.080537349</v>
      </c>
      <c r="L16" s="23">
        <v>1906260.0009999997</v>
      </c>
      <c r="N16" s="9">
        <f t="shared" si="4"/>
        <v>25.312987239528905</v>
      </c>
    </row>
    <row r="17" spans="1:14">
      <c r="A17" s="7">
        <v>41214</v>
      </c>
      <c r="B17" s="24">
        <v>114387233.72441298</v>
      </c>
      <c r="D17" s="25">
        <f t="shared" si="0"/>
        <v>49183492.325734347</v>
      </c>
      <c r="F17" s="25">
        <f t="shared" si="1"/>
        <v>-6225838.666666667</v>
      </c>
      <c r="H17" s="25">
        <f t="shared" si="2"/>
        <v>-2684824.28561325</v>
      </c>
      <c r="J17" s="25">
        <f t="shared" si="3"/>
        <v>46498668.040121093</v>
      </c>
      <c r="L17" s="23">
        <v>1856770.00499</v>
      </c>
      <c r="N17" s="9">
        <f t="shared" si="4"/>
        <v>25.042772080094821</v>
      </c>
    </row>
    <row r="18" spans="1:14">
      <c r="A18" s="7">
        <v>41244</v>
      </c>
      <c r="B18" s="24">
        <v>118233498.30395085</v>
      </c>
      <c r="D18" s="25">
        <f t="shared" si="0"/>
        <v>50837284.608937979</v>
      </c>
      <c r="F18" s="25">
        <f t="shared" si="1"/>
        <v>-6225838.666666667</v>
      </c>
      <c r="H18" s="25">
        <f t="shared" si="2"/>
        <v>-2684824.28561325</v>
      </c>
      <c r="J18" s="25">
        <f t="shared" si="3"/>
        <v>48152460.323324725</v>
      </c>
      <c r="L18" s="23">
        <v>1971890.61411</v>
      </c>
      <c r="N18" s="9">
        <f t="shared" si="4"/>
        <v>24.419437862712293</v>
      </c>
    </row>
    <row r="19" spans="1:14">
      <c r="A19" s="7">
        <v>41275</v>
      </c>
      <c r="B19" s="24">
        <v>122818180.18978149</v>
      </c>
      <c r="D19" s="25">
        <f t="shared" si="0"/>
        <v>52808576.850264035</v>
      </c>
      <c r="F19" s="25">
        <f t="shared" si="1"/>
        <v>-6225838.666666667</v>
      </c>
      <c r="H19" s="25">
        <f t="shared" si="2"/>
        <v>-2684824.28561325</v>
      </c>
      <c r="J19" s="25">
        <f t="shared" si="3"/>
        <v>50123752.564650789</v>
      </c>
      <c r="L19" s="23">
        <v>1982626.99979</v>
      </c>
      <c r="N19" s="9">
        <f t="shared" si="4"/>
        <v>25.281483894832412</v>
      </c>
    </row>
    <row r="20" spans="1:14">
      <c r="A20" s="7">
        <v>41306</v>
      </c>
      <c r="B20" s="24">
        <v>111057433.76046157</v>
      </c>
      <c r="D20" s="25">
        <f t="shared" si="0"/>
        <v>47751766.200004272</v>
      </c>
      <c r="F20" s="25">
        <f t="shared" si="1"/>
        <v>-6225838.666666667</v>
      </c>
      <c r="H20" s="25">
        <f t="shared" si="2"/>
        <v>-2684824.28561325</v>
      </c>
      <c r="J20" s="25">
        <f t="shared" si="3"/>
        <v>45066941.914391026</v>
      </c>
      <c r="L20" s="23">
        <v>1789929.9980000001</v>
      </c>
      <c r="N20" s="9">
        <f t="shared" si="4"/>
        <v>25.178047166507692</v>
      </c>
    </row>
    <row r="21" spans="1:14">
      <c r="A21" s="7">
        <v>41334</v>
      </c>
      <c r="B21" s="24">
        <v>120279486.36298758</v>
      </c>
      <c r="D21" s="25">
        <f t="shared" si="0"/>
        <v>51717005.4897018</v>
      </c>
      <c r="F21" s="25">
        <f t="shared" si="1"/>
        <v>-6225838.666666667</v>
      </c>
      <c r="H21" s="25">
        <f t="shared" si="2"/>
        <v>-2684824.28561325</v>
      </c>
      <c r="J21" s="25">
        <f t="shared" si="3"/>
        <v>49032181.204088554</v>
      </c>
      <c r="L21" s="23">
        <v>1910070.0009899999</v>
      </c>
      <c r="N21" s="9">
        <f t="shared" si="4"/>
        <v>25.67035824795683</v>
      </c>
    </row>
    <row r="22" spans="1:14">
      <c r="A22" s="7">
        <v>41365</v>
      </c>
      <c r="B22" s="24">
        <v>114965906.06768632</v>
      </c>
      <c r="D22" s="25">
        <f t="shared" si="0"/>
        <v>49432306.164725073</v>
      </c>
      <c r="F22" s="25">
        <f t="shared" si="1"/>
        <v>-6225838.666666667</v>
      </c>
      <c r="H22" s="25">
        <f t="shared" si="2"/>
        <v>-2684824.28561325</v>
      </c>
      <c r="J22" s="25">
        <f t="shared" si="3"/>
        <v>46747481.879111826</v>
      </c>
      <c r="L22" s="23">
        <v>1856810.0009900001</v>
      </c>
      <c r="N22" s="9">
        <f t="shared" si="4"/>
        <v>25.17623335407896</v>
      </c>
    </row>
    <row r="23" spans="1:14">
      <c r="A23" s="7">
        <v>41395</v>
      </c>
      <c r="B23" s="24">
        <v>120850885.3599188</v>
      </c>
      <c r="D23" s="25">
        <f t="shared" si="0"/>
        <v>51962691.981677011</v>
      </c>
      <c r="F23" s="25">
        <f t="shared" si="1"/>
        <v>-6225838.666666667</v>
      </c>
      <c r="H23" s="25">
        <f t="shared" si="2"/>
        <v>-2684824.28561325</v>
      </c>
      <c r="J23" s="25">
        <f t="shared" si="3"/>
        <v>49277867.696063757</v>
      </c>
      <c r="L23" s="23">
        <v>1998460.00202</v>
      </c>
      <c r="N23" s="9">
        <f t="shared" si="4"/>
        <v>24.657920421852204</v>
      </c>
    </row>
    <row r="24" spans="1:14" ht="7.5" customHeight="1">
      <c r="N24" s="26"/>
    </row>
    <row r="25" spans="1:14" ht="15.75" thickBot="1">
      <c r="A25" s="27" t="s">
        <v>1</v>
      </c>
      <c r="B25" s="28">
        <f>SUM(B12:B24)</f>
        <v>1479164534.0542552</v>
      </c>
      <c r="C25" s="29"/>
      <c r="D25" s="28">
        <v>636001721</v>
      </c>
      <c r="E25" s="29"/>
      <c r="F25" s="28">
        <v>-74710064</v>
      </c>
      <c r="G25" s="29"/>
      <c r="H25" s="30">
        <f>F35*F36+F38*F39</f>
        <v>-32217891.427359</v>
      </c>
      <c r="I25" s="29"/>
      <c r="J25" s="28">
        <f>H25+D25</f>
        <v>603783829.57264102</v>
      </c>
      <c r="K25" s="29"/>
      <c r="L25" s="31">
        <f>SUM(L12:L24)</f>
        <v>23734642.546710003</v>
      </c>
      <c r="M25" s="32"/>
      <c r="N25" s="33">
        <f t="shared" si="4"/>
        <v>25.438926597878552</v>
      </c>
    </row>
    <row r="26" spans="1:14" ht="15.75" thickTop="1">
      <c r="B26" s="34" t="s">
        <v>16</v>
      </c>
      <c r="C26" s="35"/>
      <c r="D26" s="34" t="s">
        <v>17</v>
      </c>
      <c r="E26" s="35"/>
      <c r="F26" s="36" t="s">
        <v>18</v>
      </c>
      <c r="G26" s="36"/>
      <c r="H26" s="36"/>
      <c r="I26" s="35"/>
      <c r="J26" s="34" t="s">
        <v>19</v>
      </c>
      <c r="L26" s="34" t="s">
        <v>20</v>
      </c>
      <c r="N26" s="34" t="s">
        <v>21</v>
      </c>
    </row>
    <row r="27" spans="1:14">
      <c r="L27" s="37"/>
    </row>
    <row r="28" spans="1:14">
      <c r="A28" s="38" t="s">
        <v>22</v>
      </c>
      <c r="B28" t="s">
        <v>23</v>
      </c>
      <c r="N28" s="13"/>
    </row>
    <row r="29" spans="1:14">
      <c r="A29" s="39" t="s">
        <v>24</v>
      </c>
      <c r="B29" t="s">
        <v>25</v>
      </c>
      <c r="N29" s="13"/>
    </row>
    <row r="30" spans="1:14">
      <c r="A30" s="39" t="s">
        <v>26</v>
      </c>
      <c r="B30" t="s">
        <v>27</v>
      </c>
      <c r="N30" s="13"/>
    </row>
    <row r="31" spans="1:14">
      <c r="A31" s="39"/>
      <c r="N31" s="13"/>
    </row>
    <row r="32" spans="1:14">
      <c r="N32" s="13"/>
    </row>
    <row r="33" spans="2:10">
      <c r="B33" t="s">
        <v>28</v>
      </c>
      <c r="J33" s="40"/>
    </row>
    <row r="34" spans="2:10">
      <c r="B34" s="41" t="s">
        <v>120</v>
      </c>
      <c r="C34" s="42"/>
      <c r="D34" s="42"/>
      <c r="E34" s="42"/>
      <c r="F34" s="2"/>
      <c r="G34" s="3"/>
    </row>
    <row r="35" spans="2:10">
      <c r="B35" s="4"/>
      <c r="C35" s="43"/>
      <c r="D35" s="43" t="s">
        <v>29</v>
      </c>
      <c r="E35" s="43"/>
      <c r="F35" s="44">
        <f>-74710064-F38</f>
        <v>-63278091</v>
      </c>
      <c r="G35" s="6"/>
      <c r="J35" s="40"/>
    </row>
    <row r="36" spans="2:10">
      <c r="B36" s="4"/>
      <c r="C36" s="43"/>
      <c r="D36" s="43" t="s">
        <v>30</v>
      </c>
      <c r="E36" s="43"/>
      <c r="F36" s="45">
        <v>0.43154700000000001</v>
      </c>
      <c r="G36" s="46"/>
    </row>
    <row r="37" spans="2:10">
      <c r="B37" s="4"/>
      <c r="C37" s="1"/>
      <c r="D37" s="1"/>
      <c r="E37" s="1"/>
      <c r="F37" s="1"/>
      <c r="G37" s="46"/>
    </row>
    <row r="38" spans="2:10">
      <c r="B38" s="4"/>
      <c r="C38" s="43"/>
      <c r="D38" s="43" t="s">
        <v>31</v>
      </c>
      <c r="E38" s="43"/>
      <c r="F38" s="44">
        <v>-11431973</v>
      </c>
      <c r="G38" s="46"/>
      <c r="J38" s="40"/>
    </row>
    <row r="39" spans="2:10">
      <c r="B39" s="12"/>
      <c r="C39" s="47"/>
      <c r="D39" s="47" t="s">
        <v>32</v>
      </c>
      <c r="E39" s="47"/>
      <c r="F39" s="48">
        <v>0.42953400000000003</v>
      </c>
      <c r="G39" s="49"/>
    </row>
  </sheetData>
  <printOptions horizontalCentered="1"/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Normal="100" workbookViewId="0">
      <selection activeCell="B12" sqref="B12"/>
    </sheetView>
  </sheetViews>
  <sheetFormatPr defaultRowHeight="15"/>
  <cols>
    <col min="1" max="1" width="16.140625" style="109" customWidth="1"/>
    <col min="2" max="2" width="16.85546875" style="109" customWidth="1"/>
    <col min="3" max="3" width="2.28515625" style="109" customWidth="1"/>
    <col min="4" max="4" width="13.7109375" style="109" customWidth="1"/>
    <col min="5" max="5" width="2.28515625" style="109" customWidth="1"/>
    <col min="6" max="6" width="15.7109375" style="109" customWidth="1"/>
    <col min="7" max="7" width="2.28515625" style="109" customWidth="1"/>
    <col min="8" max="8" width="13.7109375" style="109" customWidth="1"/>
    <col min="9" max="9" width="2.28515625" style="109" customWidth="1"/>
    <col min="10" max="10" width="15.7109375" style="109" customWidth="1"/>
    <col min="11" max="11" width="2.28515625" style="109" customWidth="1"/>
    <col min="12" max="12" width="13.7109375" style="109" customWidth="1"/>
    <col min="13" max="13" width="2.28515625" style="109" customWidth="1"/>
    <col min="14" max="14" width="12" style="109" customWidth="1"/>
    <col min="15" max="15" width="9.140625" style="109"/>
    <col min="16" max="16" width="9.7109375" style="109" bestFit="1" customWidth="1"/>
    <col min="17" max="16384" width="9.140625" style="109"/>
  </cols>
  <sheetData>
    <row r="1" spans="1:30">
      <c r="L1" s="125"/>
      <c r="O1" s="108" t="s">
        <v>122</v>
      </c>
    </row>
    <row r="2" spans="1:30">
      <c r="F2" s="125"/>
      <c r="H2" s="125"/>
      <c r="J2" s="125"/>
      <c r="L2" s="125"/>
      <c r="O2" s="108" t="s">
        <v>33</v>
      </c>
    </row>
    <row r="3" spans="1:30">
      <c r="F3" s="125"/>
      <c r="H3" s="125"/>
      <c r="J3" s="125"/>
      <c r="L3" s="125"/>
      <c r="N3" s="156"/>
    </row>
    <row r="4" spans="1:30">
      <c r="F4" s="125"/>
      <c r="H4" s="125"/>
      <c r="J4" s="125"/>
      <c r="L4" s="125"/>
      <c r="N4" s="156"/>
    </row>
    <row r="5" spans="1:30" ht="18.7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30" customFormat="1" ht="18.75">
      <c r="A6" s="15" t="s">
        <v>157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 t="s">
        <v>158</v>
      </c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53" t="s">
        <v>3</v>
      </c>
      <c r="C8" s="154"/>
      <c r="D8" s="153"/>
      <c r="E8" s="119"/>
      <c r="F8" s="153" t="s">
        <v>4</v>
      </c>
      <c r="G8" s="154"/>
      <c r="H8" s="153"/>
      <c r="I8" s="119"/>
      <c r="J8" s="119"/>
      <c r="K8" s="119"/>
      <c r="L8" s="119"/>
      <c r="M8" s="119"/>
      <c r="N8" s="119"/>
    </row>
    <row r="9" spans="1:30" ht="30">
      <c r="B9" s="152" t="s">
        <v>5</v>
      </c>
      <c r="C9" s="151"/>
      <c r="D9" s="150" t="s">
        <v>6</v>
      </c>
      <c r="E9" s="151"/>
      <c r="F9" s="152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0</v>
      </c>
    </row>
    <row r="10" spans="1:30">
      <c r="B10" s="149" t="s">
        <v>9</v>
      </c>
      <c r="D10" s="149" t="s">
        <v>10</v>
      </c>
      <c r="E10" s="149"/>
      <c r="F10" s="149" t="s">
        <v>11</v>
      </c>
      <c r="G10" s="149"/>
      <c r="H10" s="149" t="s">
        <v>12</v>
      </c>
      <c r="I10" s="149"/>
      <c r="J10" s="149" t="s">
        <v>13</v>
      </c>
      <c r="K10" s="149"/>
      <c r="L10" s="149" t="s">
        <v>14</v>
      </c>
      <c r="N10" s="149" t="s">
        <v>15</v>
      </c>
    </row>
    <row r="12" spans="1:30">
      <c r="A12" s="145">
        <v>41061</v>
      </c>
      <c r="B12" s="148">
        <v>123896956.59901568</v>
      </c>
      <c r="C12" s="147"/>
      <c r="D12" s="148">
        <f>'Exhibit A3 2of2'!D78</f>
        <v>54344975.373879798</v>
      </c>
      <c r="E12" s="147"/>
      <c r="F12" s="147">
        <f>F25/12</f>
        <v>-6225838.666666667</v>
      </c>
      <c r="G12" s="147"/>
      <c r="H12" s="147">
        <f>H25/12</f>
        <v>-2684824.28561325</v>
      </c>
      <c r="I12" s="147"/>
      <c r="J12" s="147">
        <f t="shared" ref="J12:J23" si="0">H12+D12</f>
        <v>51660151.088266551</v>
      </c>
      <c r="K12" s="147"/>
      <c r="L12" s="142">
        <v>1912132.46205</v>
      </c>
      <c r="N12" s="146">
        <f t="shared" ref="N12:N23" si="1">J12/L12</f>
        <v>27.01703575121654</v>
      </c>
      <c r="P12" s="140"/>
    </row>
    <row r="13" spans="1:30">
      <c r="A13" s="145">
        <v>41091</v>
      </c>
      <c r="B13" s="144">
        <v>141773973.05509216</v>
      </c>
      <c r="D13" s="144">
        <f>'Exhibit A3 2of2'!E78</f>
        <v>63720157.874348603</v>
      </c>
      <c r="F13" s="143">
        <f t="shared" ref="F13:F23" si="2">F12</f>
        <v>-6225838.666666667</v>
      </c>
      <c r="H13" s="143">
        <f t="shared" ref="H13:H23" si="3">H12</f>
        <v>-2684824.28561325</v>
      </c>
      <c r="J13" s="143">
        <f t="shared" si="0"/>
        <v>61035333.588735357</v>
      </c>
      <c r="L13" s="142">
        <v>2266364.4785400005</v>
      </c>
      <c r="N13" s="141">
        <f t="shared" si="1"/>
        <v>26.930943441213181</v>
      </c>
      <c r="P13" s="140"/>
    </row>
    <row r="14" spans="1:30">
      <c r="A14" s="145">
        <v>41122</v>
      </c>
      <c r="B14" s="144">
        <v>144558297.42193317</v>
      </c>
      <c r="D14" s="144">
        <f>'Exhibit A3 2of2'!F78</f>
        <v>66891132.219142303</v>
      </c>
      <c r="F14" s="143">
        <f t="shared" si="2"/>
        <v>-6225838.666666667</v>
      </c>
      <c r="H14" s="143">
        <f t="shared" si="3"/>
        <v>-2684824.28561325</v>
      </c>
      <c r="J14" s="143">
        <f t="shared" si="0"/>
        <v>64206307.933529049</v>
      </c>
      <c r="L14" s="142">
        <v>2314401.9906899994</v>
      </c>
      <c r="N14" s="141">
        <f t="shared" si="1"/>
        <v>27.742072549111072</v>
      </c>
      <c r="P14" s="140"/>
    </row>
    <row r="15" spans="1:30">
      <c r="A15" s="145">
        <v>41153</v>
      </c>
      <c r="B15" s="144">
        <v>127875043.19533841</v>
      </c>
      <c r="D15" s="144">
        <f>'Exhibit A3 2of2'!G78</f>
        <v>57505636.989242204</v>
      </c>
      <c r="F15" s="143">
        <f t="shared" si="2"/>
        <v>-6225838.666666667</v>
      </c>
      <c r="H15" s="143">
        <f t="shared" si="3"/>
        <v>-2684824.28561325</v>
      </c>
      <c r="J15" s="143">
        <f t="shared" si="0"/>
        <v>54820812.703628957</v>
      </c>
      <c r="L15" s="142">
        <v>1968925.9935399997</v>
      </c>
      <c r="N15" s="141">
        <f t="shared" si="1"/>
        <v>27.843003182189054</v>
      </c>
      <c r="P15" s="140"/>
    </row>
    <row r="16" spans="1:30">
      <c r="A16" s="145">
        <v>41183</v>
      </c>
      <c r="B16" s="144">
        <v>118467640.01367652</v>
      </c>
      <c r="D16" s="144">
        <f>'Exhibit A3 2of2'!H78</f>
        <v>50594578.638835803</v>
      </c>
      <c r="F16" s="143">
        <f t="shared" si="2"/>
        <v>-6225838.666666667</v>
      </c>
      <c r="H16" s="143">
        <f t="shared" si="3"/>
        <v>-2684824.28561325</v>
      </c>
      <c r="J16" s="143">
        <f t="shared" si="0"/>
        <v>47909754.353222549</v>
      </c>
      <c r="L16" s="142">
        <v>1906260.0009999997</v>
      </c>
      <c r="N16" s="141">
        <f t="shared" si="1"/>
        <v>25.132854032550494</v>
      </c>
      <c r="P16" s="140"/>
    </row>
    <row r="17" spans="1:16">
      <c r="A17" s="145">
        <v>41214</v>
      </c>
      <c r="B17" s="144">
        <v>114387233.72441298</v>
      </c>
      <c r="D17" s="144">
        <f>'Exhibit A3 2of2'!I78</f>
        <v>47745574.1508146</v>
      </c>
      <c r="F17" s="143">
        <f t="shared" si="2"/>
        <v>-6225838.666666667</v>
      </c>
      <c r="H17" s="143">
        <f t="shared" si="3"/>
        <v>-2684824.28561325</v>
      </c>
      <c r="J17" s="143">
        <f t="shared" si="0"/>
        <v>45060749.865201354</v>
      </c>
      <c r="L17" s="142">
        <v>1856770.00499</v>
      </c>
      <c r="N17" s="141">
        <f t="shared" si="1"/>
        <v>24.268352969997508</v>
      </c>
      <c r="P17" s="140"/>
    </row>
    <row r="18" spans="1:16">
      <c r="A18" s="145">
        <v>41244</v>
      </c>
      <c r="B18" s="144">
        <v>118233498.30395085</v>
      </c>
      <c r="D18" s="144">
        <f>'Exhibit A3 2of2'!J78</f>
        <v>48542898.4908823</v>
      </c>
      <c r="F18" s="143">
        <f t="shared" si="2"/>
        <v>-6225838.666666667</v>
      </c>
      <c r="H18" s="143">
        <f t="shared" si="3"/>
        <v>-2684824.28561325</v>
      </c>
      <c r="J18" s="143">
        <f t="shared" si="0"/>
        <v>45858074.205269054</v>
      </c>
      <c r="L18" s="142">
        <v>1971890.61411</v>
      </c>
      <c r="N18" s="141">
        <f t="shared" si="1"/>
        <v>23.255891517069166</v>
      </c>
      <c r="P18" s="140"/>
    </row>
    <row r="19" spans="1:16">
      <c r="A19" s="145">
        <v>41275</v>
      </c>
      <c r="B19" s="144">
        <v>122818180.18978149</v>
      </c>
      <c r="D19" s="144">
        <f>'Exhibit A3 2of2'!K78</f>
        <v>49303185.707864098</v>
      </c>
      <c r="F19" s="143">
        <f t="shared" si="2"/>
        <v>-6225838.666666667</v>
      </c>
      <c r="H19" s="143">
        <f t="shared" si="3"/>
        <v>-2684824.28561325</v>
      </c>
      <c r="J19" s="143">
        <f t="shared" si="0"/>
        <v>46618361.422250852</v>
      </c>
      <c r="L19" s="142">
        <v>1982626.99979</v>
      </c>
      <c r="N19" s="141">
        <f t="shared" si="1"/>
        <v>23.513430124369673</v>
      </c>
      <c r="P19" s="140"/>
    </row>
    <row r="20" spans="1:16">
      <c r="A20" s="145">
        <v>41306</v>
      </c>
      <c r="B20" s="144">
        <v>111057433.76046157</v>
      </c>
      <c r="D20" s="144">
        <f>'Exhibit A3 2of2'!L78</f>
        <v>45475669.655012101</v>
      </c>
      <c r="F20" s="143">
        <f t="shared" si="2"/>
        <v>-6225838.666666667</v>
      </c>
      <c r="H20" s="143">
        <f t="shared" si="3"/>
        <v>-2684824.28561325</v>
      </c>
      <c r="J20" s="143">
        <f t="shared" si="0"/>
        <v>42790845.369398847</v>
      </c>
      <c r="L20" s="142">
        <v>1789929.9980000001</v>
      </c>
      <c r="N20" s="141">
        <f t="shared" si="1"/>
        <v>23.906435121603479</v>
      </c>
      <c r="P20" s="140"/>
    </row>
    <row r="21" spans="1:16">
      <c r="A21" s="145">
        <v>41334</v>
      </c>
      <c r="B21" s="144">
        <v>120279486.36298758</v>
      </c>
      <c r="D21" s="144">
        <f>'Exhibit A3 2of2'!M78</f>
        <v>49321841.725646697</v>
      </c>
      <c r="F21" s="143">
        <f t="shared" si="2"/>
        <v>-6225838.666666667</v>
      </c>
      <c r="H21" s="143">
        <f t="shared" si="3"/>
        <v>-2684824.28561325</v>
      </c>
      <c r="J21" s="143">
        <f t="shared" si="0"/>
        <v>46637017.440033451</v>
      </c>
      <c r="L21" s="142">
        <v>1910070.0009899999</v>
      </c>
      <c r="N21" s="141">
        <f t="shared" si="1"/>
        <v>24.416391763579988</v>
      </c>
      <c r="P21" s="140"/>
    </row>
    <row r="22" spans="1:16">
      <c r="A22" s="145">
        <v>41365</v>
      </c>
      <c r="B22" s="144">
        <v>114965906.06768632</v>
      </c>
      <c r="D22" s="144">
        <f>'Exhibit A3 2of2'!N78</f>
        <v>48151326.490553901</v>
      </c>
      <c r="F22" s="143">
        <f t="shared" si="2"/>
        <v>-6225838.666666667</v>
      </c>
      <c r="H22" s="143">
        <f t="shared" si="3"/>
        <v>-2684824.28561325</v>
      </c>
      <c r="J22" s="143">
        <f t="shared" si="0"/>
        <v>45466502.204940647</v>
      </c>
      <c r="L22" s="142">
        <v>1856810.0009900001</v>
      </c>
      <c r="N22" s="141">
        <f t="shared" si="1"/>
        <v>24.486351420284873</v>
      </c>
      <c r="P22" s="140"/>
    </row>
    <row r="23" spans="1:16">
      <c r="A23" s="145">
        <v>41395</v>
      </c>
      <c r="B23" s="144">
        <v>120850885.3599188</v>
      </c>
      <c r="D23" s="144">
        <f>'Exhibit A3 2of2'!O78</f>
        <v>54404743.8966479</v>
      </c>
      <c r="F23" s="143">
        <f t="shared" si="2"/>
        <v>-6225838.666666667</v>
      </c>
      <c r="H23" s="143">
        <f t="shared" si="3"/>
        <v>-2684824.28561325</v>
      </c>
      <c r="J23" s="143">
        <f t="shared" si="0"/>
        <v>51719919.611034647</v>
      </c>
      <c r="L23" s="142">
        <v>1998460.00202</v>
      </c>
      <c r="N23" s="141">
        <f t="shared" si="1"/>
        <v>25.879887292593935</v>
      </c>
      <c r="P23" s="140"/>
    </row>
    <row r="24" spans="1:16" ht="7.5" customHeight="1">
      <c r="N24" s="139"/>
    </row>
    <row r="25" spans="1:16" ht="15.75" thickBot="1">
      <c r="A25" s="138" t="s">
        <v>1</v>
      </c>
      <c r="B25" s="136">
        <f>SUM(B12:B24)</f>
        <v>1479164534.0542552</v>
      </c>
      <c r="C25" s="135">
        <f>SUM(D12:D23)</f>
        <v>636001721.21287024</v>
      </c>
      <c r="D25" s="136">
        <f>SUM(D12:D23)</f>
        <v>636001721.21287024</v>
      </c>
      <c r="E25" s="135"/>
      <c r="F25" s="136">
        <v>-74710064</v>
      </c>
      <c r="G25" s="135"/>
      <c r="H25" s="137">
        <f>F36*F37+F39*F40</f>
        <v>-32217891.427359</v>
      </c>
      <c r="I25" s="135"/>
      <c r="J25" s="136">
        <f>H25+D25</f>
        <v>603783829.78551126</v>
      </c>
      <c r="K25" s="135"/>
      <c r="L25" s="134">
        <f>SUM(L12:L24)</f>
        <v>23734642.546710003</v>
      </c>
      <c r="M25" s="133"/>
      <c r="N25" s="132">
        <f>J25/L25</f>
        <v>25.438926606847307</v>
      </c>
    </row>
    <row r="26" spans="1:16" ht="15.75" thickTop="1">
      <c r="B26" s="129" t="s">
        <v>16</v>
      </c>
      <c r="C26" s="130"/>
      <c r="D26" s="129" t="s">
        <v>17</v>
      </c>
      <c r="E26" s="130"/>
      <c r="F26" s="131" t="s">
        <v>18</v>
      </c>
      <c r="G26" s="131"/>
      <c r="H26" s="131"/>
      <c r="I26" s="130"/>
      <c r="J26" s="129" t="s">
        <v>19</v>
      </c>
      <c r="L26" s="129" t="s">
        <v>20</v>
      </c>
      <c r="N26" s="129" t="s">
        <v>121</v>
      </c>
    </row>
    <row r="27" spans="1:16">
      <c r="J27" s="114"/>
      <c r="L27" s="128"/>
    </row>
    <row r="28" spans="1:16">
      <c r="A28" s="127" t="s">
        <v>22</v>
      </c>
      <c r="B28" s="109" t="s">
        <v>23</v>
      </c>
      <c r="N28" s="125"/>
    </row>
    <row r="29" spans="1:16">
      <c r="A29" s="126" t="s">
        <v>24</v>
      </c>
      <c r="B29" s="191" t="s">
        <v>166</v>
      </c>
      <c r="N29" s="125"/>
    </row>
    <row r="30" spans="1:16">
      <c r="A30" s="126" t="s">
        <v>26</v>
      </c>
      <c r="B30" t="s">
        <v>27</v>
      </c>
      <c r="N30" s="125"/>
    </row>
    <row r="31" spans="1:16">
      <c r="A31" s="126"/>
      <c r="N31" s="125"/>
    </row>
    <row r="32" spans="1:16">
      <c r="A32" s="126"/>
      <c r="N32" s="125"/>
    </row>
    <row r="33" spans="2:14">
      <c r="N33" s="125"/>
    </row>
    <row r="34" spans="2:14">
      <c r="B34" s="109" t="s">
        <v>28</v>
      </c>
      <c r="J34" s="114"/>
    </row>
    <row r="35" spans="2:14">
      <c r="B35" s="41" t="s">
        <v>120</v>
      </c>
      <c r="C35" s="124"/>
      <c r="D35" s="124"/>
      <c r="E35" s="124"/>
      <c r="F35" s="123"/>
      <c r="G35" s="122"/>
    </row>
    <row r="36" spans="2:14">
      <c r="B36" s="118"/>
      <c r="C36" s="117"/>
      <c r="D36" s="117" t="s">
        <v>29</v>
      </c>
      <c r="E36" s="117"/>
      <c r="F36" s="116">
        <f>-74710064-F39</f>
        <v>-63278091</v>
      </c>
      <c r="G36" s="121"/>
      <c r="J36" s="114"/>
    </row>
    <row r="37" spans="2:14">
      <c r="B37" s="118"/>
      <c r="C37" s="117"/>
      <c r="D37" s="117" t="s">
        <v>30</v>
      </c>
      <c r="E37" s="117"/>
      <c r="F37" s="120">
        <v>0.43154700000000001</v>
      </c>
      <c r="G37" s="115"/>
    </row>
    <row r="38" spans="2:14">
      <c r="B38" s="118"/>
      <c r="C38" s="119"/>
      <c r="D38" s="119"/>
      <c r="E38" s="119"/>
      <c r="F38" s="119"/>
      <c r="G38" s="115"/>
    </row>
    <row r="39" spans="2:14">
      <c r="B39" s="118"/>
      <c r="C39" s="117"/>
      <c r="D39" s="117" t="s">
        <v>31</v>
      </c>
      <c r="E39" s="117"/>
      <c r="F39" s="116">
        <v>-11431973</v>
      </c>
      <c r="G39" s="115"/>
      <c r="J39" s="114"/>
    </row>
    <row r="40" spans="2:14">
      <c r="B40" s="113"/>
      <c r="C40" s="112"/>
      <c r="D40" s="112" t="s">
        <v>32</v>
      </c>
      <c r="E40" s="112"/>
      <c r="F40" s="111">
        <v>0.42953400000000003</v>
      </c>
      <c r="G40" s="110"/>
    </row>
  </sheetData>
  <printOptions horizontalCentered="1"/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opLeftCell="A22" zoomScale="87" zoomScaleNormal="87" workbookViewId="0">
      <selection activeCell="P76" sqref="P76:P78"/>
    </sheetView>
  </sheetViews>
  <sheetFormatPr defaultColWidth="7.7109375" defaultRowHeight="12.75"/>
  <cols>
    <col min="1" max="1" width="7.28515625" style="157" customWidth="1"/>
    <col min="2" max="2" width="37.28515625" style="157" customWidth="1"/>
    <col min="3" max="3" width="17.7109375" style="157" customWidth="1"/>
    <col min="4" max="4" width="16.28515625" style="157" bestFit="1" customWidth="1"/>
    <col min="5" max="10" width="16.140625" style="157" bestFit="1" customWidth="1"/>
    <col min="11" max="11" width="15.85546875" style="157" bestFit="1" customWidth="1"/>
    <col min="12" max="12" width="16.140625" style="157" bestFit="1" customWidth="1"/>
    <col min="13" max="15" width="15.140625" style="157" bestFit="1" customWidth="1"/>
    <col min="16" max="16" width="16.28515625" style="157" bestFit="1" customWidth="1"/>
    <col min="17" max="16384" width="7.7109375" style="157"/>
  </cols>
  <sheetData>
    <row r="1" spans="1:16" s="192" customFormat="1" ht="18.75">
      <c r="L1" s="193"/>
      <c r="O1" s="194"/>
      <c r="P1" s="195" t="s">
        <v>122</v>
      </c>
    </row>
    <row r="2" spans="1:16" s="192" customFormat="1" ht="18.75">
      <c r="F2" s="193"/>
      <c r="H2" s="193"/>
      <c r="J2" s="193"/>
      <c r="L2" s="193"/>
      <c r="O2" s="194"/>
      <c r="P2" s="195" t="s">
        <v>34</v>
      </c>
    </row>
    <row r="3" spans="1:16" s="192" customFormat="1" ht="15">
      <c r="F3" s="193"/>
      <c r="H3" s="193"/>
      <c r="J3" s="193"/>
      <c r="L3" s="193"/>
      <c r="N3" s="196"/>
    </row>
    <row r="4" spans="1:16" s="192" customFormat="1" ht="18.7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200" customFormat="1" ht="18.75">
      <c r="A5" s="198" t="s">
        <v>157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M5" s="198"/>
      <c r="N5" s="198"/>
      <c r="O5" s="198"/>
      <c r="P5" s="198"/>
    </row>
    <row r="6" spans="1:16" s="192" customFormat="1" ht="15">
      <c r="F6" s="193"/>
      <c r="H6" s="193"/>
      <c r="J6" s="193"/>
      <c r="L6" s="193"/>
      <c r="N6" s="196"/>
    </row>
    <row r="7" spans="1:16" ht="18">
      <c r="A7" s="190" t="s">
        <v>155</v>
      </c>
      <c r="B7" s="189"/>
      <c r="C7" s="189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>
      <c r="A8" s="168"/>
      <c r="B8" s="159"/>
      <c r="C8" s="184" t="s">
        <v>148</v>
      </c>
      <c r="D8" s="187">
        <v>41061</v>
      </c>
      <c r="E8" s="187">
        <v>41091</v>
      </c>
      <c r="F8" s="187">
        <v>41122</v>
      </c>
      <c r="G8" s="187">
        <v>41153</v>
      </c>
      <c r="H8" s="187">
        <v>41183</v>
      </c>
      <c r="I8" s="187">
        <v>41214</v>
      </c>
      <c r="J8" s="187">
        <v>41244</v>
      </c>
      <c r="K8" s="187">
        <v>41275</v>
      </c>
      <c r="L8" s="187">
        <v>41306</v>
      </c>
      <c r="M8" s="187">
        <v>41334</v>
      </c>
      <c r="N8" s="187">
        <v>41365</v>
      </c>
      <c r="O8" s="187">
        <v>41395</v>
      </c>
      <c r="P8" s="186" t="s">
        <v>1</v>
      </c>
    </row>
    <row r="9" spans="1:16" s="158" customFormat="1" ht="15.75">
      <c r="A9" s="172" t="s">
        <v>94</v>
      </c>
      <c r="B9" s="171"/>
      <c r="C9" s="182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s="201" customFormat="1">
      <c r="A10" s="159"/>
      <c r="B10" s="157" t="s">
        <v>147</v>
      </c>
      <c r="C10" s="177">
        <v>447</v>
      </c>
      <c r="D10" s="160">
        <v>1453611.7820000001</v>
      </c>
      <c r="E10" s="160">
        <v>2380807.4180000001</v>
      </c>
      <c r="F10" s="160">
        <v>2677933.9819999998</v>
      </c>
      <c r="G10" s="160">
        <v>1812097.497</v>
      </c>
      <c r="H10" s="160">
        <v>1193803.4720000001</v>
      </c>
      <c r="I10" s="160">
        <v>1072242.3899999999</v>
      </c>
      <c r="J10" s="160">
        <v>1081163.4380000001</v>
      </c>
      <c r="K10" s="160">
        <v>2082574.223</v>
      </c>
      <c r="L10" s="160">
        <v>2075530.2549999999</v>
      </c>
      <c r="M10" s="160">
        <v>1985529.925</v>
      </c>
      <c r="N10" s="160">
        <v>2020414.29</v>
      </c>
      <c r="O10" s="160">
        <v>1721292.65</v>
      </c>
      <c r="P10" s="160">
        <f>SUM(D10:O10)</f>
        <v>21557001.322000001</v>
      </c>
    </row>
    <row r="11" spans="1:16" s="201" customFormat="1">
      <c r="A11" s="159"/>
      <c r="B11" s="159" t="s">
        <v>146</v>
      </c>
      <c r="C11" s="177">
        <v>447</v>
      </c>
      <c r="D11" s="160">
        <v>2594591.7999999998</v>
      </c>
      <c r="E11" s="160">
        <v>2776554.2</v>
      </c>
      <c r="F11" s="160">
        <v>2757021.5</v>
      </c>
      <c r="G11" s="160">
        <v>1979347.6</v>
      </c>
      <c r="H11" s="160">
        <v>3229887</v>
      </c>
      <c r="I11" s="160">
        <v>2315319.7999999998</v>
      </c>
      <c r="J11" s="160">
        <v>2579522.5</v>
      </c>
      <c r="K11" s="160">
        <v>2762962.8</v>
      </c>
      <c r="L11" s="160">
        <v>2413655</v>
      </c>
      <c r="M11" s="160">
        <v>2301814.5</v>
      </c>
      <c r="N11" s="160">
        <v>1748673.1</v>
      </c>
      <c r="O11" s="160">
        <v>2645459.5</v>
      </c>
      <c r="P11" s="160">
        <f>SUM(D11:O11)</f>
        <v>30104809.300000001</v>
      </c>
    </row>
    <row r="12" spans="1:16" s="201" customFormat="1">
      <c r="A12" s="159"/>
      <c r="B12" s="159" t="s">
        <v>140</v>
      </c>
      <c r="C12" s="177">
        <v>447</v>
      </c>
      <c r="D12" s="160">
        <v>21891884.2522</v>
      </c>
      <c r="E12" s="160">
        <v>30937641.998400003</v>
      </c>
      <c r="F12" s="160">
        <v>33369892.8288</v>
      </c>
      <c r="G12" s="160">
        <v>36732165.609999999</v>
      </c>
      <c r="H12" s="160">
        <v>50508921.245999999</v>
      </c>
      <c r="I12" s="160">
        <v>51390307.015999988</v>
      </c>
      <c r="J12" s="160">
        <v>52116838.286999993</v>
      </c>
      <c r="K12" s="160">
        <v>34236189.122999996</v>
      </c>
      <c r="L12" s="160">
        <v>29066944.029999997</v>
      </c>
      <c r="M12" s="160">
        <v>28596148.879999999</v>
      </c>
      <c r="N12" s="160">
        <v>19010443.694000002</v>
      </c>
      <c r="O12" s="160">
        <v>16759982.261999998</v>
      </c>
      <c r="P12" s="160">
        <f>SUM(D12:O12)</f>
        <v>404617359.2274</v>
      </c>
    </row>
    <row r="13" spans="1:16" s="201" customFormat="1">
      <c r="A13" s="159"/>
      <c r="B13" s="159" t="s">
        <v>145</v>
      </c>
      <c r="C13" s="176">
        <v>447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/>
    </row>
    <row r="14" spans="1:16" s="201" customFormat="1" ht="15.75">
      <c r="A14" s="172" t="s">
        <v>144</v>
      </c>
      <c r="B14" s="171"/>
      <c r="C14" s="177">
        <v>447</v>
      </c>
      <c r="D14" s="160">
        <f t="shared" ref="D14:O14" si="0">SUM(D10:D13)</f>
        <v>25940087.834199999</v>
      </c>
      <c r="E14" s="160">
        <f t="shared" si="0"/>
        <v>36095003.616400003</v>
      </c>
      <c r="F14" s="160">
        <f t="shared" si="0"/>
        <v>38804848.310800001</v>
      </c>
      <c r="G14" s="160">
        <f t="shared" si="0"/>
        <v>40523610.707000002</v>
      </c>
      <c r="H14" s="160">
        <f t="shared" si="0"/>
        <v>54932611.718000002</v>
      </c>
      <c r="I14" s="160">
        <f t="shared" si="0"/>
        <v>54777869.205999985</v>
      </c>
      <c r="J14" s="160">
        <f t="shared" si="0"/>
        <v>55777524.224999994</v>
      </c>
      <c r="K14" s="160">
        <f t="shared" si="0"/>
        <v>39081726.145999998</v>
      </c>
      <c r="L14" s="160">
        <f t="shared" si="0"/>
        <v>33556129.284999996</v>
      </c>
      <c r="M14" s="160">
        <f t="shared" si="0"/>
        <v>32883493.305</v>
      </c>
      <c r="N14" s="160">
        <f t="shared" si="0"/>
        <v>22779531.084000003</v>
      </c>
      <c r="O14" s="160">
        <f t="shared" si="0"/>
        <v>21126734.412</v>
      </c>
      <c r="P14" s="160">
        <f>SUM(D14:O14)</f>
        <v>456279169.84939992</v>
      </c>
    </row>
    <row r="15" spans="1:16" s="201" customFormat="1">
      <c r="A15" s="181"/>
      <c r="B15" s="171"/>
      <c r="C15" s="177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201" customFormat="1" ht="15.75">
      <c r="A16" s="172" t="s">
        <v>110</v>
      </c>
      <c r="B16" s="171"/>
      <c r="C16" s="177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201" customFormat="1">
      <c r="A17" s="159"/>
      <c r="B17" s="159" t="s">
        <v>143</v>
      </c>
      <c r="C17" s="177">
        <v>555</v>
      </c>
      <c r="D17" s="160">
        <v>512620.84527205053</v>
      </c>
      <c r="E17" s="160">
        <v>388527.91840726096</v>
      </c>
      <c r="F17" s="160">
        <v>269340.00022736203</v>
      </c>
      <c r="G17" s="160">
        <v>171325.5853351847</v>
      </c>
      <c r="H17" s="160">
        <v>158419.62530527439</v>
      </c>
      <c r="I17" s="160">
        <v>163104.97212423745</v>
      </c>
      <c r="J17" s="160">
        <v>197227.02127185633</v>
      </c>
      <c r="K17" s="160">
        <v>304963.48845231259</v>
      </c>
      <c r="L17" s="160">
        <v>303389.49937286886</v>
      </c>
      <c r="M17" s="160">
        <v>346457.80927627673</v>
      </c>
      <c r="N17" s="160">
        <v>406011.29596059257</v>
      </c>
      <c r="O17" s="160">
        <v>467005.07939205266</v>
      </c>
      <c r="P17" s="160">
        <f>SUM(D17:O17)</f>
        <v>3688393.1403973303</v>
      </c>
    </row>
    <row r="18" spans="1:16" s="201" customFormat="1">
      <c r="A18" s="159"/>
      <c r="B18" s="159" t="s">
        <v>142</v>
      </c>
      <c r="C18" s="177">
        <v>555</v>
      </c>
      <c r="D18" s="160">
        <v>4560623.8461061968</v>
      </c>
      <c r="E18" s="160">
        <v>4707184.9658308132</v>
      </c>
      <c r="F18" s="160">
        <v>4647995.4686980676</v>
      </c>
      <c r="G18" s="160">
        <v>3794755.989341706</v>
      </c>
      <c r="H18" s="160">
        <v>4848964.0501697287</v>
      </c>
      <c r="I18" s="160">
        <v>4155604.6400215817</v>
      </c>
      <c r="J18" s="160">
        <v>4450475.5117673427</v>
      </c>
      <c r="K18" s="160">
        <v>4625703.8106440101</v>
      </c>
      <c r="L18" s="160">
        <v>4189634.2585232314</v>
      </c>
      <c r="M18" s="160">
        <v>4167869.3022482954</v>
      </c>
      <c r="N18" s="160">
        <v>3100231.1652581301</v>
      </c>
      <c r="O18" s="160">
        <v>4408437.0743908938</v>
      </c>
      <c r="P18" s="160">
        <f>SUM(D18:O18)</f>
        <v>51657480.083000004</v>
      </c>
    </row>
    <row r="19" spans="1:16" s="201" customFormat="1">
      <c r="A19" s="159"/>
      <c r="B19" s="159" t="s">
        <v>141</v>
      </c>
      <c r="C19" s="177">
        <v>555</v>
      </c>
      <c r="D19" s="160">
        <v>3116236.5146091976</v>
      </c>
      <c r="E19" s="160">
        <v>2718074.9732534643</v>
      </c>
      <c r="F19" s="160">
        <v>2276615.5252999156</v>
      </c>
      <c r="G19" s="160">
        <v>1880166.9263523857</v>
      </c>
      <c r="H19" s="160">
        <v>1753708.6688133145</v>
      </c>
      <c r="I19" s="160">
        <v>1906165.6990301146</v>
      </c>
      <c r="J19" s="160">
        <v>2043673.4882875101</v>
      </c>
      <c r="K19" s="160">
        <v>2334414.9303302043</v>
      </c>
      <c r="L19" s="160">
        <v>2283841.5968807628</v>
      </c>
      <c r="M19" s="160">
        <v>2516511.3406452383</v>
      </c>
      <c r="N19" s="160">
        <v>2533192.1390256626</v>
      </c>
      <c r="O19" s="160">
        <v>2933442.0792209003</v>
      </c>
      <c r="P19" s="160">
        <f>SUM(D19:O19)</f>
        <v>28296043.881748669</v>
      </c>
    </row>
    <row r="20" spans="1:16" s="201" customFormat="1">
      <c r="A20" s="159"/>
      <c r="B20" s="159" t="s">
        <v>140</v>
      </c>
      <c r="C20" s="176">
        <v>555</v>
      </c>
      <c r="D20" s="175">
        <v>42823835.280722082</v>
      </c>
      <c r="E20" s="175">
        <v>54055106.903488137</v>
      </c>
      <c r="F20" s="175">
        <v>55892524.632309072</v>
      </c>
      <c r="G20" s="175">
        <v>49172110.733770527</v>
      </c>
      <c r="H20" s="175">
        <v>54606698.572119422</v>
      </c>
      <c r="I20" s="175">
        <v>51190979.517850213</v>
      </c>
      <c r="J20" s="175">
        <v>57197032.688270859</v>
      </c>
      <c r="K20" s="175">
        <v>44107748.766144991</v>
      </c>
      <c r="L20" s="175">
        <v>41596847.270346619</v>
      </c>
      <c r="M20" s="175">
        <v>47466485.364496678</v>
      </c>
      <c r="N20" s="175">
        <v>47220450.717255004</v>
      </c>
      <c r="O20" s="175">
        <v>49624690.957126267</v>
      </c>
      <c r="P20" s="175">
        <f>SUM(D20:O20)</f>
        <v>594954511.40389991</v>
      </c>
    </row>
    <row r="21" spans="1:16" s="201" customFormat="1" ht="15.75">
      <c r="A21" s="172" t="s">
        <v>139</v>
      </c>
      <c r="B21" s="171"/>
      <c r="C21" s="177">
        <v>555</v>
      </c>
      <c r="D21" s="160">
        <f t="shared" ref="D21:O21" si="1">SUM(D17:D20)</f>
        <v>51013316.486709528</v>
      </c>
      <c r="E21" s="160">
        <f t="shared" si="1"/>
        <v>61868894.760979675</v>
      </c>
      <c r="F21" s="160">
        <f t="shared" si="1"/>
        <v>63086475.626534417</v>
      </c>
      <c r="G21" s="160">
        <f t="shared" si="1"/>
        <v>55018359.234799802</v>
      </c>
      <c r="H21" s="160">
        <f t="shared" si="1"/>
        <v>61367790.916407742</v>
      </c>
      <c r="I21" s="160">
        <f t="shared" si="1"/>
        <v>57415854.829026148</v>
      </c>
      <c r="J21" s="160">
        <f t="shared" si="1"/>
        <v>63888408.709597573</v>
      </c>
      <c r="K21" s="160">
        <f t="shared" si="1"/>
        <v>51372830.995571516</v>
      </c>
      <c r="L21" s="160">
        <f t="shared" si="1"/>
        <v>48373712.625123486</v>
      </c>
      <c r="M21" s="160">
        <f t="shared" si="1"/>
        <v>54497323.816666491</v>
      </c>
      <c r="N21" s="160">
        <f t="shared" si="1"/>
        <v>53259885.317499392</v>
      </c>
      <c r="O21" s="160">
        <f t="shared" si="1"/>
        <v>57433575.190130115</v>
      </c>
      <c r="P21" s="160">
        <f>SUM(D21:O21)</f>
        <v>678596428.50904596</v>
      </c>
    </row>
    <row r="22" spans="1:16" s="201" customFormat="1">
      <c r="A22" s="179"/>
      <c r="B22" s="171"/>
      <c r="C22" s="177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s="201" customFormat="1" ht="15.75">
      <c r="A23" s="172" t="s">
        <v>138</v>
      </c>
      <c r="B23" s="171"/>
      <c r="C23" s="177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s="201" customFormat="1">
      <c r="A24" s="159"/>
      <c r="B24" s="157" t="s">
        <v>29</v>
      </c>
      <c r="C24" s="177">
        <v>565</v>
      </c>
      <c r="D24" s="160">
        <v>11019287.16</v>
      </c>
      <c r="E24" s="160">
        <v>10870009.92</v>
      </c>
      <c r="F24" s="160">
        <v>10335499.32</v>
      </c>
      <c r="G24" s="160">
        <v>10250961.870000001</v>
      </c>
      <c r="H24" s="160">
        <v>10600007.970000001</v>
      </c>
      <c r="I24" s="160">
        <v>11107792.4</v>
      </c>
      <c r="J24" s="160">
        <v>10876642.07</v>
      </c>
      <c r="K24" s="160">
        <v>10788861.68</v>
      </c>
      <c r="L24" s="160">
        <v>11221052.359999999</v>
      </c>
      <c r="M24" s="160">
        <v>10801123.159999998</v>
      </c>
      <c r="N24" s="160">
        <v>10960407.369999999</v>
      </c>
      <c r="O24" s="160">
        <v>10396529.279999999</v>
      </c>
      <c r="P24" s="160">
        <f>SUM(D24:O24)</f>
        <v>129228174.55999999</v>
      </c>
    </row>
    <row r="25" spans="1:16" s="201" customFormat="1">
      <c r="A25" s="159"/>
      <c r="B25" s="157" t="s">
        <v>136</v>
      </c>
      <c r="C25" s="176">
        <v>565</v>
      </c>
      <c r="D25" s="175">
        <v>1075014.6352000001</v>
      </c>
      <c r="E25" s="175">
        <v>547331.96849999996</v>
      </c>
      <c r="F25" s="175">
        <v>451628.53100000008</v>
      </c>
      <c r="G25" s="175">
        <v>472323.51260000002</v>
      </c>
      <c r="H25" s="175">
        <v>439313.94040000002</v>
      </c>
      <c r="I25" s="175">
        <v>639243.49549999996</v>
      </c>
      <c r="J25" s="175">
        <v>294910.34799999994</v>
      </c>
      <c r="K25" s="175">
        <v>408483.54800000001</v>
      </c>
      <c r="L25" s="175">
        <v>361029.61900000001</v>
      </c>
      <c r="M25" s="175">
        <v>238306.5405</v>
      </c>
      <c r="N25" s="175">
        <v>461229.28630000004</v>
      </c>
      <c r="O25" s="175">
        <v>628388.08500000008</v>
      </c>
      <c r="P25" s="175">
        <f>SUM(D25:O25)</f>
        <v>6017203.5099999998</v>
      </c>
    </row>
    <row r="26" spans="1:16" s="201" customFormat="1" ht="15.75">
      <c r="A26" s="172" t="s">
        <v>135</v>
      </c>
      <c r="B26" s="171"/>
      <c r="C26" s="177">
        <v>565</v>
      </c>
      <c r="D26" s="160">
        <f t="shared" ref="D26:O26" si="2">SUM(D24:D25)</f>
        <v>12094301.7952</v>
      </c>
      <c r="E26" s="160">
        <f t="shared" si="2"/>
        <v>11417341.888499999</v>
      </c>
      <c r="F26" s="160">
        <f t="shared" si="2"/>
        <v>10787127.851</v>
      </c>
      <c r="G26" s="160">
        <f t="shared" si="2"/>
        <v>10723285.382600002</v>
      </c>
      <c r="H26" s="160">
        <f t="shared" si="2"/>
        <v>11039321.910400001</v>
      </c>
      <c r="I26" s="160">
        <f t="shared" si="2"/>
        <v>11747035.895500001</v>
      </c>
      <c r="J26" s="160">
        <f t="shared" si="2"/>
        <v>11171552.418</v>
      </c>
      <c r="K26" s="160">
        <f t="shared" si="2"/>
        <v>11197345.228</v>
      </c>
      <c r="L26" s="160">
        <f t="shared" si="2"/>
        <v>11582081.979</v>
      </c>
      <c r="M26" s="160">
        <f t="shared" si="2"/>
        <v>11039429.700499998</v>
      </c>
      <c r="N26" s="160">
        <f t="shared" si="2"/>
        <v>11421636.656299999</v>
      </c>
      <c r="O26" s="160">
        <f t="shared" si="2"/>
        <v>11024917.365</v>
      </c>
      <c r="P26" s="160">
        <f>SUM(D26:O26)</f>
        <v>135245378.06999999</v>
      </c>
    </row>
    <row r="27" spans="1:16" s="201" customFormat="1">
      <c r="A27" s="178" t="s">
        <v>134</v>
      </c>
      <c r="B27" s="171"/>
      <c r="C27" s="177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s="201" customFormat="1" ht="15.75">
      <c r="A28" s="172" t="s">
        <v>133</v>
      </c>
      <c r="B28" s="171"/>
      <c r="C28" s="177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s="201" customFormat="1">
      <c r="A29" s="159"/>
      <c r="B29" s="157" t="s">
        <v>132</v>
      </c>
      <c r="C29" s="177">
        <v>501</v>
      </c>
      <c r="D29" s="160">
        <v>47910053.731191263</v>
      </c>
      <c r="E29" s="160">
        <v>58452864.324601427</v>
      </c>
      <c r="F29" s="160">
        <v>61194949.335159816</v>
      </c>
      <c r="G29" s="160">
        <v>57402364.756849475</v>
      </c>
      <c r="H29" s="160">
        <v>58926513.110097848</v>
      </c>
      <c r="I29" s="160">
        <v>58979335.745806672</v>
      </c>
      <c r="J29" s="160">
        <v>62213269.855323434</v>
      </c>
      <c r="K29" s="160">
        <v>61282575.619995311</v>
      </c>
      <c r="L29" s="160">
        <v>56197847.837985314</v>
      </c>
      <c r="M29" s="160">
        <v>56264666.798595183</v>
      </c>
      <c r="N29" s="160">
        <v>52473257.032038219</v>
      </c>
      <c r="O29" s="160">
        <v>51778999.400395907</v>
      </c>
      <c r="P29" s="160">
        <f t="shared" ref="P29:P35" si="3">SUM(D29:O29)</f>
        <v>683076697.54803979</v>
      </c>
    </row>
    <row r="30" spans="1:16" s="201" customFormat="1">
      <c r="A30" s="159"/>
      <c r="B30" s="157" t="s">
        <v>131</v>
      </c>
      <c r="C30" s="177">
        <v>501</v>
      </c>
      <c r="D30" s="160">
        <v>4212668.7460000003</v>
      </c>
      <c r="E30" s="160">
        <v>4542067.6401000004</v>
      </c>
      <c r="F30" s="160">
        <v>4647969.6155000003</v>
      </c>
      <c r="G30" s="160">
        <v>4439923.3545000004</v>
      </c>
      <c r="H30" s="160">
        <v>4597633.1388999997</v>
      </c>
      <c r="I30" s="160">
        <v>4478514.858</v>
      </c>
      <c r="J30" s="160">
        <v>4649356.1069</v>
      </c>
      <c r="K30" s="160">
        <v>4888787.2836999996</v>
      </c>
      <c r="L30" s="160">
        <v>4383886.8859999999</v>
      </c>
      <c r="M30" s="160">
        <v>4401930.8770000003</v>
      </c>
      <c r="N30" s="160">
        <v>2482093.8730000001</v>
      </c>
      <c r="O30" s="160">
        <v>4514922.5109999999</v>
      </c>
      <c r="P30" s="160">
        <f t="shared" si="3"/>
        <v>52239754.890599996</v>
      </c>
    </row>
    <row r="31" spans="1:16" s="201" customFormat="1">
      <c r="A31" s="159"/>
      <c r="B31" s="157" t="s">
        <v>130</v>
      </c>
      <c r="C31" s="177">
        <v>501</v>
      </c>
      <c r="D31" s="160">
        <v>0</v>
      </c>
      <c r="E31" s="160">
        <v>2284662.8041419098</v>
      </c>
      <c r="F31" s="160">
        <v>2281815.9770891536</v>
      </c>
      <c r="G31" s="160">
        <v>720943.35556730651</v>
      </c>
      <c r="H31" s="160">
        <v>179974.32590775628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f t="shared" si="3"/>
        <v>5467396.4627061263</v>
      </c>
    </row>
    <row r="32" spans="1:16" s="201" customFormat="1">
      <c r="A32" s="159"/>
      <c r="B32" s="157" t="s">
        <v>129</v>
      </c>
      <c r="C32" s="177">
        <v>547</v>
      </c>
      <c r="D32" s="160">
        <v>32183659.480195619</v>
      </c>
      <c r="E32" s="160">
        <v>37357608.410813555</v>
      </c>
      <c r="F32" s="160">
        <v>39433453.331905752</v>
      </c>
      <c r="G32" s="160">
        <v>38155728.063898414</v>
      </c>
      <c r="H32" s="160">
        <v>35079121.698518723</v>
      </c>
      <c r="I32" s="160">
        <v>34711362.899037346</v>
      </c>
      <c r="J32" s="160">
        <v>30200189.150738962</v>
      </c>
      <c r="K32" s="160">
        <v>31355541.286705341</v>
      </c>
      <c r="L32" s="160">
        <v>22541052.257456392</v>
      </c>
      <c r="M32" s="160">
        <v>25239369.688615665</v>
      </c>
      <c r="N32" s="160">
        <v>16519129.810375668</v>
      </c>
      <c r="O32" s="160">
        <v>15558681.377907023</v>
      </c>
      <c r="P32" s="160">
        <f t="shared" si="3"/>
        <v>358334897.45616853</v>
      </c>
    </row>
    <row r="33" spans="1:16" s="201" customFormat="1">
      <c r="A33" s="159"/>
      <c r="B33" s="157" t="s">
        <v>128</v>
      </c>
      <c r="C33" s="177">
        <v>547</v>
      </c>
      <c r="D33" s="160">
        <v>2149653.6795992712</v>
      </c>
      <c r="E33" s="160">
        <v>1663047.7113155811</v>
      </c>
      <c r="F33" s="160">
        <v>1648913.9425840294</v>
      </c>
      <c r="G33" s="160">
        <v>1655789.1213234162</v>
      </c>
      <c r="H33" s="160">
        <v>1909234.7220044581</v>
      </c>
      <c r="I33" s="160">
        <v>1533204.4598428151</v>
      </c>
      <c r="J33" s="160">
        <v>1578365.6107908362</v>
      </c>
      <c r="K33" s="160">
        <v>1493053.0330092774</v>
      </c>
      <c r="L33" s="160">
        <v>1255144.8678963671</v>
      </c>
      <c r="M33" s="160">
        <v>1410377.9890102171</v>
      </c>
      <c r="N33" s="160">
        <v>1327565.9507130184</v>
      </c>
      <c r="O33" s="160">
        <v>1374972.9623657791</v>
      </c>
      <c r="P33" s="160">
        <f t="shared" si="3"/>
        <v>18999324.050455067</v>
      </c>
    </row>
    <row r="34" spans="1:16" s="201" customFormat="1">
      <c r="A34" s="159"/>
      <c r="B34" s="157" t="s">
        <v>105</v>
      </c>
      <c r="C34" s="176">
        <v>503</v>
      </c>
      <c r="D34" s="175">
        <v>273390.84431999997</v>
      </c>
      <c r="E34" s="175">
        <v>282489.13104000001</v>
      </c>
      <c r="F34" s="175">
        <v>282439.99296</v>
      </c>
      <c r="G34" s="175">
        <v>282260.63280000002</v>
      </c>
      <c r="H34" s="175">
        <v>300661.90944000002</v>
      </c>
      <c r="I34" s="175">
        <v>299794.12319999997</v>
      </c>
      <c r="J34" s="175">
        <v>309880.6776</v>
      </c>
      <c r="K34" s="175">
        <v>309772.88880000002</v>
      </c>
      <c r="L34" s="175">
        <v>279836.592</v>
      </c>
      <c r="M34" s="175">
        <v>309880.6776</v>
      </c>
      <c r="N34" s="175">
        <v>261868.51175999999</v>
      </c>
      <c r="O34" s="175">
        <v>291550.96512000001</v>
      </c>
      <c r="P34" s="175">
        <f t="shared" si="3"/>
        <v>3483826.9466400002</v>
      </c>
    </row>
    <row r="35" spans="1:16" s="201" customFormat="1" ht="15.75">
      <c r="A35" s="172" t="s">
        <v>126</v>
      </c>
      <c r="B35" s="171"/>
      <c r="C35" s="174" t="s">
        <v>125</v>
      </c>
      <c r="D35" s="160">
        <f t="shared" ref="D35:O35" si="4">SUM(D29:D34)</f>
        <v>86729426.481306151</v>
      </c>
      <c r="E35" s="160">
        <f t="shared" si="4"/>
        <v>104582740.02201249</v>
      </c>
      <c r="F35" s="160">
        <f t="shared" si="4"/>
        <v>109489542.19519876</v>
      </c>
      <c r="G35" s="160">
        <f t="shared" si="4"/>
        <v>102657009.28493862</v>
      </c>
      <c r="H35" s="160">
        <f t="shared" si="4"/>
        <v>100993138.90486878</v>
      </c>
      <c r="I35" s="160">
        <f t="shared" si="4"/>
        <v>100002212.08588684</v>
      </c>
      <c r="J35" s="160">
        <f t="shared" si="4"/>
        <v>98951061.401353225</v>
      </c>
      <c r="K35" s="160">
        <f t="shared" si="4"/>
        <v>99329730.112209916</v>
      </c>
      <c r="L35" s="160">
        <f t="shared" si="4"/>
        <v>84657768.441338062</v>
      </c>
      <c r="M35" s="160">
        <f t="shared" si="4"/>
        <v>87626226.030821055</v>
      </c>
      <c r="N35" s="160">
        <f t="shared" si="4"/>
        <v>73063915.177886918</v>
      </c>
      <c r="O35" s="160">
        <f t="shared" si="4"/>
        <v>73519127.216788709</v>
      </c>
      <c r="P35" s="160">
        <f t="shared" si="3"/>
        <v>1121601897.3546097</v>
      </c>
    </row>
    <row r="36" spans="1:16" s="201" customFormat="1">
      <c r="A36" s="173"/>
      <c r="B36" s="171"/>
      <c r="C36" s="17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s="201" customFormat="1" ht="15.75">
      <c r="A37" s="172" t="s">
        <v>154</v>
      </c>
      <c r="B37" s="171"/>
      <c r="C37" s="170"/>
      <c r="D37" s="160">
        <f t="shared" ref="D37:O37" si="5">-D14+D21+D26+D35</f>
        <v>123896956.92901568</v>
      </c>
      <c r="E37" s="160">
        <f t="shared" si="5"/>
        <v>141773973.05509216</v>
      </c>
      <c r="F37" s="160">
        <f t="shared" si="5"/>
        <v>144558297.36193317</v>
      </c>
      <c r="G37" s="160">
        <f t="shared" si="5"/>
        <v>127875043.19533843</v>
      </c>
      <c r="H37" s="160">
        <f t="shared" si="5"/>
        <v>118467640.01367652</v>
      </c>
      <c r="I37" s="160">
        <f t="shared" si="5"/>
        <v>114387233.604413</v>
      </c>
      <c r="J37" s="160">
        <f t="shared" si="5"/>
        <v>118233498.3039508</v>
      </c>
      <c r="K37" s="160">
        <f t="shared" si="5"/>
        <v>122818180.18978143</v>
      </c>
      <c r="L37" s="160">
        <f t="shared" si="5"/>
        <v>111057433.76046155</v>
      </c>
      <c r="M37" s="160">
        <f t="shared" si="5"/>
        <v>120279486.24298754</v>
      </c>
      <c r="N37" s="160">
        <f t="shared" si="5"/>
        <v>114965906.0676863</v>
      </c>
      <c r="O37" s="160">
        <f t="shared" si="5"/>
        <v>120850885.35991883</v>
      </c>
      <c r="P37" s="160">
        <f>SUM(D37:O37)</f>
        <v>1479164534.0842555</v>
      </c>
    </row>
    <row r="38" spans="1:16" s="201" customFormat="1">
      <c r="C38" s="202"/>
    </row>
    <row r="39" spans="1:16" s="201" customFormat="1">
      <c r="C39" s="202"/>
    </row>
    <row r="40" spans="1:16" s="201" customFormat="1" ht="18">
      <c r="A40" s="203" t="s">
        <v>153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6" s="158" customFormat="1" ht="18">
      <c r="A41" s="205"/>
      <c r="B41" s="185"/>
      <c r="D41" s="187">
        <v>41061</v>
      </c>
      <c r="E41" s="187">
        <v>41091</v>
      </c>
      <c r="F41" s="187">
        <v>41122</v>
      </c>
      <c r="G41" s="187">
        <v>41153</v>
      </c>
      <c r="H41" s="187">
        <v>41183</v>
      </c>
      <c r="I41" s="187">
        <v>41214</v>
      </c>
      <c r="J41" s="187">
        <v>41244</v>
      </c>
      <c r="K41" s="187">
        <v>41275</v>
      </c>
      <c r="L41" s="187">
        <v>41306</v>
      </c>
      <c r="M41" s="187">
        <v>41334</v>
      </c>
      <c r="N41" s="187">
        <v>41365</v>
      </c>
      <c r="O41" s="187">
        <v>41395</v>
      </c>
      <c r="P41" s="186" t="s">
        <v>1</v>
      </c>
    </row>
    <row r="42" spans="1:16" s="158" customFormat="1" ht="24.75" customHeight="1">
      <c r="A42" s="206" t="s">
        <v>152</v>
      </c>
      <c r="B42" s="162"/>
      <c r="C42" s="207" t="s">
        <v>151</v>
      </c>
      <c r="D42" s="208">
        <v>0.46322189316783768</v>
      </c>
      <c r="E42" s="208">
        <v>0.46284942697932918</v>
      </c>
      <c r="F42" s="208">
        <v>0.47301965568706006</v>
      </c>
      <c r="G42" s="208">
        <v>0.47594111500684205</v>
      </c>
      <c r="H42" s="208">
        <v>0.41188566353600098</v>
      </c>
      <c r="I42" s="208">
        <v>0.42975688307439636</v>
      </c>
      <c r="J42" s="208">
        <v>0.41411712603803491</v>
      </c>
      <c r="K42" s="208">
        <v>0.36813667449099619</v>
      </c>
      <c r="L42" s="208">
        <v>0.39073053133664676</v>
      </c>
      <c r="M42" s="208">
        <v>0.39341103064066851</v>
      </c>
      <c r="N42" s="208">
        <v>0.40277396419637013</v>
      </c>
      <c r="O42" s="208">
        <v>0.48776519725045747</v>
      </c>
      <c r="P42" s="208">
        <v>0.43221785618629349</v>
      </c>
    </row>
    <row r="43" spans="1:16" s="158" customFormat="1">
      <c r="A43" s="206" t="s">
        <v>150</v>
      </c>
      <c r="B43" s="159"/>
      <c r="C43" s="207" t="s">
        <v>127</v>
      </c>
      <c r="D43" s="208">
        <v>0.43400589862166267</v>
      </c>
      <c r="E43" s="208">
        <v>0.44802582504729765</v>
      </c>
      <c r="F43" s="208">
        <v>0.46218339611203618</v>
      </c>
      <c r="G43" s="208">
        <v>0.44706763586650305</v>
      </c>
      <c r="H43" s="208">
        <v>0.43000364355852166</v>
      </c>
      <c r="I43" s="208">
        <v>0.4176090857579281</v>
      </c>
      <c r="J43" s="208">
        <v>0.41140707104948043</v>
      </c>
      <c r="K43" s="208">
        <v>0.40752767684246127</v>
      </c>
      <c r="L43" s="208">
        <v>0.41440386539863017</v>
      </c>
      <c r="M43" s="208">
        <v>0.41526308746507201</v>
      </c>
      <c r="N43" s="208">
        <v>0.42583868775031436</v>
      </c>
      <c r="O43" s="208">
        <v>0.43786557191762571</v>
      </c>
      <c r="P43" s="208">
        <v>0.42953367339171594</v>
      </c>
    </row>
    <row r="44" spans="1:16" s="158" customFormat="1">
      <c r="A44" s="206" t="s">
        <v>149</v>
      </c>
      <c r="B44" s="159"/>
      <c r="C44" s="207" t="s">
        <v>137</v>
      </c>
      <c r="D44" s="208">
        <v>0.45591789453129389</v>
      </c>
      <c r="E44" s="208">
        <v>0.45914352649632134</v>
      </c>
      <c r="F44" s="208">
        <v>0.47031059079330406</v>
      </c>
      <c r="G44" s="208">
        <v>0.46872274522175733</v>
      </c>
      <c r="H44" s="208">
        <v>0.41641515854163114</v>
      </c>
      <c r="I44" s="208">
        <v>0.42671993374527928</v>
      </c>
      <c r="J44" s="208">
        <v>0.41343961229089626</v>
      </c>
      <c r="K44" s="208">
        <v>0.37798442507886243</v>
      </c>
      <c r="L44" s="208">
        <v>0.39664886485214262</v>
      </c>
      <c r="M44" s="208">
        <v>0.39887404484676936</v>
      </c>
      <c r="N44" s="208">
        <v>0.4085401450848562</v>
      </c>
      <c r="O44" s="208">
        <v>0.4752902909172495</v>
      </c>
      <c r="P44" s="208">
        <v>0.43154681048764909</v>
      </c>
    </row>
    <row r="45" spans="1:16" s="158" customFormat="1" ht="24.75" customHeight="1">
      <c r="A45" s="168"/>
      <c r="B45" s="159"/>
      <c r="C45" s="184" t="s">
        <v>148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s="158" customFormat="1" ht="15.75">
      <c r="A46" s="172" t="s">
        <v>94</v>
      </c>
      <c r="B46" s="171"/>
      <c r="C46" s="182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s="158" customFormat="1">
      <c r="A47" s="207" t="s">
        <v>137</v>
      </c>
      <c r="B47" s="159" t="s">
        <v>147</v>
      </c>
      <c r="C47" s="177">
        <v>447</v>
      </c>
      <c r="D47" s="160">
        <f t="shared" ref="D47:O47" si="6">D10*D44</f>
        <v>662727.6231153222</v>
      </c>
      <c r="E47" s="160">
        <f t="shared" si="6"/>
        <v>1093132.3138091215</v>
      </c>
      <c r="F47" s="160">
        <f t="shared" si="6"/>
        <v>1259460.7131798852</v>
      </c>
      <c r="G47" s="160">
        <f t="shared" si="6"/>
        <v>849371.31340331514</v>
      </c>
      <c r="H47" s="160">
        <f t="shared" si="6"/>
        <v>497117.86206042976</v>
      </c>
      <c r="I47" s="160">
        <f t="shared" si="6"/>
        <v>457547.20161967986</v>
      </c>
      <c r="J47" s="160">
        <f t="shared" si="6"/>
        <v>446995.79262981249</v>
      </c>
      <c r="K47" s="160">
        <f t="shared" si="6"/>
        <v>787180.6203647136</v>
      </c>
      <c r="L47" s="160">
        <f t="shared" si="6"/>
        <v>823256.7196120281</v>
      </c>
      <c r="M47" s="160">
        <f t="shared" si="6"/>
        <v>791976.35234905267</v>
      </c>
      <c r="N47" s="160">
        <f t="shared" si="6"/>
        <v>825420.34716811671</v>
      </c>
      <c r="O47" s="160">
        <f t="shared" si="6"/>
        <v>818113.68437222333</v>
      </c>
      <c r="P47" s="160">
        <f>SUM(D47:O47)</f>
        <v>9312300.5436837003</v>
      </c>
    </row>
    <row r="48" spans="1:16" s="158" customFormat="1">
      <c r="A48" s="207" t="s">
        <v>137</v>
      </c>
      <c r="B48" s="159" t="s">
        <v>146</v>
      </c>
      <c r="C48" s="177">
        <v>447</v>
      </c>
      <c r="D48" s="160">
        <f t="shared" ref="D48:O48" si="7">D11*D44</f>
        <v>1182920.8306241599</v>
      </c>
      <c r="E48" s="160">
        <f t="shared" si="7"/>
        <v>1274836.8868961723</v>
      </c>
      <c r="F48" s="160">
        <f t="shared" si="7"/>
        <v>1296656.4104948414</v>
      </c>
      <c r="G48" s="160">
        <f t="shared" si="7"/>
        <v>927765.24082009692</v>
      </c>
      <c r="H48" s="160">
        <f t="shared" si="7"/>
        <v>1344973.9071765533</v>
      </c>
      <c r="I48" s="160">
        <f t="shared" si="7"/>
        <v>987993.11165513319</v>
      </c>
      <c r="J48" s="160">
        <f t="shared" si="7"/>
        <v>1066476.7822956434</v>
      </c>
      <c r="K48" s="160">
        <f t="shared" si="7"/>
        <v>1044356.9054722838</v>
      </c>
      <c r="L48" s="160">
        <f t="shared" si="7"/>
        <v>957373.51589469833</v>
      </c>
      <c r="M48" s="160">
        <f t="shared" si="7"/>
        <v>918134.06010194402</v>
      </c>
      <c r="N48" s="160">
        <f t="shared" si="7"/>
        <v>714403.16197998531</v>
      </c>
      <c r="O48" s="160">
        <f t="shared" si="7"/>
        <v>1257361.2153648015</v>
      </c>
      <c r="P48" s="160">
        <f>SUM(D48:O48)</f>
        <v>12973252.028776312</v>
      </c>
    </row>
    <row r="49" spans="1:16" s="158" customFormat="1">
      <c r="A49" s="207" t="s">
        <v>137</v>
      </c>
      <c r="B49" s="159" t="s">
        <v>140</v>
      </c>
      <c r="C49" s="177">
        <v>447</v>
      </c>
      <c r="D49" s="160">
        <f t="shared" ref="D49:O49" si="8">D12*D44</f>
        <v>9980901.7755858134</v>
      </c>
      <c r="E49" s="160">
        <f t="shared" si="8"/>
        <v>14204818.048626076</v>
      </c>
      <c r="F49" s="160">
        <f t="shared" si="8"/>
        <v>15694214.011022169</v>
      </c>
      <c r="G49" s="160">
        <f t="shared" si="8"/>
        <v>17217201.502659425</v>
      </c>
      <c r="H49" s="160">
        <f t="shared" si="8"/>
        <v>21032680.44841985</v>
      </c>
      <c r="I49" s="160">
        <f t="shared" si="8"/>
        <v>21929268.405017074</v>
      </c>
      <c r="J49" s="160">
        <f t="shared" si="8"/>
        <v>21547165.415204614</v>
      </c>
      <c r="K49" s="160">
        <f t="shared" si="8"/>
        <v>12940746.262548357</v>
      </c>
      <c r="L49" s="160">
        <f t="shared" si="8"/>
        <v>11529370.354220264</v>
      </c>
      <c r="M49" s="160">
        <f t="shared" si="8"/>
        <v>11406261.570806013</v>
      </c>
      <c r="N49" s="160">
        <f t="shared" si="8"/>
        <v>7766529.4248742508</v>
      </c>
      <c r="O49" s="160">
        <f t="shared" si="8"/>
        <v>7965856.8450739207</v>
      </c>
      <c r="P49" s="160">
        <f>SUM(D49:O49)</f>
        <v>173215014.06405786</v>
      </c>
    </row>
    <row r="50" spans="1:16" s="158" customFormat="1">
      <c r="A50" s="207" t="s">
        <v>127</v>
      </c>
      <c r="B50" s="159" t="s">
        <v>145</v>
      </c>
      <c r="C50" s="176">
        <v>447</v>
      </c>
      <c r="D50" s="175">
        <f t="shared" ref="D50:O50" si="9">D13*D43</f>
        <v>0</v>
      </c>
      <c r="E50" s="175">
        <f t="shared" si="9"/>
        <v>0</v>
      </c>
      <c r="F50" s="175">
        <f t="shared" si="9"/>
        <v>0</v>
      </c>
      <c r="G50" s="175">
        <f t="shared" si="9"/>
        <v>0</v>
      </c>
      <c r="H50" s="175">
        <f t="shared" si="9"/>
        <v>0</v>
      </c>
      <c r="I50" s="175">
        <f t="shared" si="9"/>
        <v>0</v>
      </c>
      <c r="J50" s="175">
        <f t="shared" si="9"/>
        <v>0</v>
      </c>
      <c r="K50" s="175">
        <f t="shared" si="9"/>
        <v>0</v>
      </c>
      <c r="L50" s="175">
        <f t="shared" si="9"/>
        <v>0</v>
      </c>
      <c r="M50" s="175">
        <f t="shared" si="9"/>
        <v>0</v>
      </c>
      <c r="N50" s="175">
        <f t="shared" si="9"/>
        <v>0</v>
      </c>
      <c r="O50" s="175">
        <f t="shared" si="9"/>
        <v>0</v>
      </c>
      <c r="P50" s="175"/>
    </row>
    <row r="51" spans="1:16" s="158" customFormat="1" ht="15.75">
      <c r="A51" s="172" t="s">
        <v>144</v>
      </c>
      <c r="B51" s="171"/>
      <c r="C51" s="177">
        <v>447</v>
      </c>
      <c r="D51" s="160">
        <f t="shared" ref="D51:O51" si="10">SUM(D47:D50)</f>
        <v>11826550.229325294</v>
      </c>
      <c r="E51" s="160">
        <f t="shared" si="10"/>
        <v>16572787.24933137</v>
      </c>
      <c r="F51" s="160">
        <f t="shared" si="10"/>
        <v>18250331.134696897</v>
      </c>
      <c r="G51" s="160">
        <f t="shared" si="10"/>
        <v>18994338.056882836</v>
      </c>
      <c r="H51" s="160">
        <f t="shared" si="10"/>
        <v>22874772.217656832</v>
      </c>
      <c r="I51" s="160">
        <f t="shared" si="10"/>
        <v>23374808.718291886</v>
      </c>
      <c r="J51" s="160">
        <f t="shared" si="10"/>
        <v>23060637.990130071</v>
      </c>
      <c r="K51" s="160">
        <f t="shared" si="10"/>
        <v>14772283.788385354</v>
      </c>
      <c r="L51" s="160">
        <f t="shared" si="10"/>
        <v>13310000.58972699</v>
      </c>
      <c r="M51" s="160">
        <f t="shared" si="10"/>
        <v>13116371.983257011</v>
      </c>
      <c r="N51" s="160">
        <f t="shared" si="10"/>
        <v>9306352.9340223521</v>
      </c>
      <c r="O51" s="160">
        <f t="shared" si="10"/>
        <v>10041331.744810946</v>
      </c>
      <c r="P51" s="160">
        <f>SUM(P47:P49)</f>
        <v>195500566.63651788</v>
      </c>
    </row>
    <row r="52" spans="1:16" s="158" customFormat="1" ht="20.25" customHeight="1">
      <c r="A52" s="181"/>
      <c r="B52" s="171"/>
      <c r="C52" s="177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</row>
    <row r="53" spans="1:16" s="158" customFormat="1" ht="15.75">
      <c r="A53" s="172" t="s">
        <v>110</v>
      </c>
      <c r="B53" s="171"/>
      <c r="C53" s="177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</row>
    <row r="54" spans="1:16" s="158" customFormat="1">
      <c r="A54" s="207" t="s">
        <v>137</v>
      </c>
      <c r="B54" s="159" t="s">
        <v>143</v>
      </c>
      <c r="C54" s="177">
        <v>555</v>
      </c>
      <c r="D54" s="160">
        <f t="shared" ref="D54:O54" si="11">D17*D44</f>
        <v>233713.01646928545</v>
      </c>
      <c r="E54" s="160">
        <f t="shared" si="11"/>
        <v>178390.07859978481</v>
      </c>
      <c r="F54" s="160">
        <f t="shared" si="11"/>
        <v>126673.45463119929</v>
      </c>
      <c r="G54" s="160">
        <f t="shared" si="11"/>
        <v>80304.198685032228</v>
      </c>
      <c r="H54" s="160">
        <f t="shared" si="11"/>
        <v>65968.333387601626</v>
      </c>
      <c r="I54" s="160">
        <f t="shared" si="11"/>
        <v>69600.142898380233</v>
      </c>
      <c r="J54" s="160">
        <f t="shared" si="11"/>
        <v>81541.463207924637</v>
      </c>
      <c r="K54" s="160">
        <f t="shared" si="11"/>
        <v>115271.44885269168</v>
      </c>
      <c r="L54" s="160">
        <f t="shared" si="11"/>
        <v>120339.10053430827</v>
      </c>
      <c r="M54" s="160">
        <f t="shared" si="11"/>
        <v>138193.02775477906</v>
      </c>
      <c r="N54" s="160">
        <f t="shared" si="11"/>
        <v>165871.91375783097</v>
      </c>
      <c r="O54" s="160">
        <f t="shared" si="11"/>
        <v>221962.98004408192</v>
      </c>
      <c r="P54" s="160">
        <f>SUM(D54:O54)</f>
        <v>1597829.1588228997</v>
      </c>
    </row>
    <row r="55" spans="1:16" s="158" customFormat="1" ht="14.25" customHeight="1">
      <c r="A55" s="207" t="s">
        <v>137</v>
      </c>
      <c r="B55" s="159" t="s">
        <v>142</v>
      </c>
      <c r="C55" s="177">
        <v>555</v>
      </c>
      <c r="D55" s="160">
        <f t="shared" ref="D55:O55" si="12">D18*D44</f>
        <v>2079270.0216659489</v>
      </c>
      <c r="E55" s="160">
        <f t="shared" si="12"/>
        <v>2161273.5050820257</v>
      </c>
      <c r="F55" s="160">
        <f t="shared" si="12"/>
        <v>2186001.4948879885</v>
      </c>
      <c r="G55" s="160">
        <f t="shared" si="12"/>
        <v>1778688.4447709501</v>
      </c>
      <c r="H55" s="160">
        <f t="shared" si="12"/>
        <v>2019182.1337140973</v>
      </c>
      <c r="I55" s="160">
        <f t="shared" si="12"/>
        <v>1773279.3366615844</v>
      </c>
      <c r="J55" s="160">
        <f t="shared" si="12"/>
        <v>1840002.8700952183</v>
      </c>
      <c r="K55" s="160">
        <f t="shared" si="12"/>
        <v>1748443.9954513793</v>
      </c>
      <c r="L55" s="160">
        <f t="shared" si="12"/>
        <v>1661813.672788888</v>
      </c>
      <c r="M55" s="160">
        <f t="shared" si="12"/>
        <v>1662454.8869804598</v>
      </c>
      <c r="N55" s="160">
        <f t="shared" si="12"/>
        <v>1266568.8900511493</v>
      </c>
      <c r="O55" s="160">
        <f t="shared" si="12"/>
        <v>2095287.3395776362</v>
      </c>
      <c r="P55" s="160">
        <f>SUM(D55:O55)</f>
        <v>22272266.591727324</v>
      </c>
    </row>
    <row r="56" spans="1:16" s="158" customFormat="1">
      <c r="A56" s="207" t="s">
        <v>127</v>
      </c>
      <c r="B56" s="159" t="s">
        <v>141</v>
      </c>
      <c r="C56" s="177">
        <v>555</v>
      </c>
      <c r="D56" s="160">
        <f t="shared" ref="D56:O56" si="13">D19*D43</f>
        <v>1352465.0288406028</v>
      </c>
      <c r="E56" s="160">
        <f t="shared" si="13"/>
        <v>1217767.7824322949</v>
      </c>
      <c r="F56" s="160">
        <f t="shared" si="13"/>
        <v>1052213.8951245022</v>
      </c>
      <c r="G56" s="160">
        <f t="shared" si="13"/>
        <v>840561.78279875068</v>
      </c>
      <c r="H56" s="160">
        <f t="shared" si="13"/>
        <v>754101.11732989002</v>
      </c>
      <c r="I56" s="160">
        <f t="shared" si="13"/>
        <v>796032.1148750881</v>
      </c>
      <c r="J56" s="160">
        <f t="shared" si="13"/>
        <v>840781.72399783914</v>
      </c>
      <c r="K56" s="160">
        <f t="shared" si="13"/>
        <v>951338.69334382424</v>
      </c>
      <c r="L56" s="160">
        <f t="shared" si="13"/>
        <v>946432.78570556827</v>
      </c>
      <c r="M56" s="160">
        <f t="shared" si="13"/>
        <v>1045014.2689572092</v>
      </c>
      <c r="N56" s="160">
        <f t="shared" si="13"/>
        <v>1078731.2163021001</v>
      </c>
      <c r="O56" s="160">
        <f t="shared" si="13"/>
        <v>1284453.2937052886</v>
      </c>
      <c r="P56" s="160">
        <f>SUM(D56:O56)</f>
        <v>12159893.703412957</v>
      </c>
    </row>
    <row r="57" spans="1:16" s="158" customFormat="1">
      <c r="A57" s="207" t="s">
        <v>137</v>
      </c>
      <c r="B57" s="159" t="s">
        <v>140</v>
      </c>
      <c r="C57" s="177">
        <v>555</v>
      </c>
      <c r="D57" s="175">
        <f t="shared" ref="D57:O57" si="14">D20*D44</f>
        <v>19524152.816941753</v>
      </c>
      <c r="E57" s="175">
        <f t="shared" si="14"/>
        <v>24819052.408803187</v>
      </c>
      <c r="F57" s="175">
        <f t="shared" si="14"/>
        <v>26286846.28075058</v>
      </c>
      <c r="G57" s="175">
        <f t="shared" si="14"/>
        <v>23048086.731481161</v>
      </c>
      <c r="H57" s="175">
        <f t="shared" si="14"/>
        <v>22739057.043344174</v>
      </c>
      <c r="I57" s="175">
        <f t="shared" si="14"/>
        <v>21844211.38821299</v>
      </c>
      <c r="J57" s="175">
        <f t="shared" si="14"/>
        <v>23647519.018828426</v>
      </c>
      <c r="K57" s="175">
        <f t="shared" si="14"/>
        <v>16672042.058894219</v>
      </c>
      <c r="L57" s="175">
        <f t="shared" si="14"/>
        <v>16499342.251210934</v>
      </c>
      <c r="M57" s="175">
        <f t="shared" si="14"/>
        <v>18933149.011996768</v>
      </c>
      <c r="N57" s="175">
        <f t="shared" si="14"/>
        <v>19291449.786999661</v>
      </c>
      <c r="O57" s="175">
        <f t="shared" si="14"/>
        <v>23586133.801691145</v>
      </c>
      <c r="P57" s="175">
        <f>SUM(D57:O57)</f>
        <v>256891042.59915501</v>
      </c>
    </row>
    <row r="58" spans="1:16" s="158" customFormat="1" ht="15.75">
      <c r="A58" s="172" t="s">
        <v>139</v>
      </c>
      <c r="B58" s="171"/>
      <c r="C58" s="177">
        <v>555</v>
      </c>
      <c r="D58" s="160">
        <f t="shared" ref="D58:P58" si="15">SUM(D54:D57)</f>
        <v>23189600.883917589</v>
      </c>
      <c r="E58" s="160">
        <f t="shared" si="15"/>
        <v>28376483.774917293</v>
      </c>
      <c r="F58" s="160">
        <f t="shared" si="15"/>
        <v>29651735.12539427</v>
      </c>
      <c r="G58" s="160">
        <f t="shared" si="15"/>
        <v>25747641.157735895</v>
      </c>
      <c r="H58" s="160">
        <f t="shared" si="15"/>
        <v>25578308.627775762</v>
      </c>
      <c r="I58" s="160">
        <f t="shared" si="15"/>
        <v>24483122.982648045</v>
      </c>
      <c r="J58" s="160">
        <f t="shared" si="15"/>
        <v>26409845.076129407</v>
      </c>
      <c r="K58" s="160">
        <f t="shared" si="15"/>
        <v>19487096.196542114</v>
      </c>
      <c r="L58" s="160">
        <f t="shared" si="15"/>
        <v>19227927.810239699</v>
      </c>
      <c r="M58" s="160">
        <f t="shared" si="15"/>
        <v>21778811.195689216</v>
      </c>
      <c r="N58" s="160">
        <f t="shared" si="15"/>
        <v>21802621.807110742</v>
      </c>
      <c r="O58" s="160">
        <f t="shared" si="15"/>
        <v>27187837.415018152</v>
      </c>
      <c r="P58" s="160">
        <f t="shared" si="15"/>
        <v>292921032.05311817</v>
      </c>
    </row>
    <row r="59" spans="1:16" s="158" customFormat="1">
      <c r="A59" s="179"/>
      <c r="B59" s="171"/>
      <c r="C59" s="177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</row>
    <row r="60" spans="1:16" s="158" customFormat="1" ht="23.25" customHeight="1">
      <c r="A60" s="172" t="s">
        <v>138</v>
      </c>
      <c r="B60" s="171"/>
      <c r="C60" s="177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</row>
    <row r="61" spans="1:16" s="158" customFormat="1">
      <c r="A61" s="207" t="s">
        <v>137</v>
      </c>
      <c r="B61" s="157" t="s">
        <v>29</v>
      </c>
      <c r="C61" s="177">
        <v>565</v>
      </c>
      <c r="D61" s="160">
        <f t="shared" ref="D61:O61" si="16">D24*D44</f>
        <v>5023890.2012229208</v>
      </c>
      <c r="E61" s="160">
        <f t="shared" si="16"/>
        <v>4990894.6877187956</v>
      </c>
      <c r="F61" s="160">
        <f t="shared" si="16"/>
        <v>4860894.7913329927</v>
      </c>
      <c r="G61" s="160">
        <f t="shared" si="16"/>
        <v>4804858.9888699595</v>
      </c>
      <c r="H61" s="160">
        <f t="shared" si="16"/>
        <v>4414003.9993701037</v>
      </c>
      <c r="I61" s="160">
        <f t="shared" si="16"/>
        <v>4739916.4369843164</v>
      </c>
      <c r="J61" s="160">
        <f t="shared" si="16"/>
        <v>4496834.6804476511</v>
      </c>
      <c r="K61" s="160">
        <f t="shared" si="16"/>
        <v>4078021.6793701695</v>
      </c>
      <c r="L61" s="160">
        <f t="shared" si="16"/>
        <v>4450817.6810404556</v>
      </c>
      <c r="M61" s="160">
        <f t="shared" si="16"/>
        <v>4308287.6837173188</v>
      </c>
      <c r="N61" s="160">
        <f t="shared" si="16"/>
        <v>4477766.4171289271</v>
      </c>
      <c r="O61" s="160">
        <f t="shared" si="16"/>
        <v>4941369.4260209026</v>
      </c>
      <c r="P61" s="160">
        <f>SUM(D61:O61)</f>
        <v>55587556.673224524</v>
      </c>
    </row>
    <row r="62" spans="1:16" s="158" customFormat="1">
      <c r="A62" s="207" t="s">
        <v>127</v>
      </c>
      <c r="B62" s="157" t="s">
        <v>136</v>
      </c>
      <c r="C62" s="176">
        <v>565</v>
      </c>
      <c r="D62" s="175">
        <f t="shared" ref="D62:O62" si="17">D25*D43</f>
        <v>466562.69278141495</v>
      </c>
      <c r="E62" s="175">
        <f t="shared" si="17"/>
        <v>245218.85676197402</v>
      </c>
      <c r="F62" s="175">
        <f t="shared" si="17"/>
        <v>208735.20823867005</v>
      </c>
      <c r="G62" s="175">
        <f t="shared" si="17"/>
        <v>211160.55614224449</v>
      </c>
      <c r="H62" s="175">
        <f t="shared" si="17"/>
        <v>188906.59503805125</v>
      </c>
      <c r="I62" s="175">
        <f t="shared" si="17"/>
        <v>266953.89173245721</v>
      </c>
      <c r="J62" s="175">
        <f t="shared" si="17"/>
        <v>121328.20249286297</v>
      </c>
      <c r="K62" s="175">
        <f t="shared" si="17"/>
        <v>166468.35134480603</v>
      </c>
      <c r="L62" s="175">
        <f t="shared" si="17"/>
        <v>149612.06963699474</v>
      </c>
      <c r="M62" s="175">
        <f t="shared" si="17"/>
        <v>98959.909771150225</v>
      </c>
      <c r="N62" s="175">
        <f t="shared" si="17"/>
        <v>196409.27403000605</v>
      </c>
      <c r="O62" s="175">
        <f t="shared" si="17"/>
        <v>275149.50822474662</v>
      </c>
      <c r="P62" s="175">
        <f>SUM(D62:O62)</f>
        <v>2595465.1161953788</v>
      </c>
    </row>
    <row r="63" spans="1:16" s="158" customFormat="1" ht="21" customHeight="1">
      <c r="A63" s="172" t="s">
        <v>135</v>
      </c>
      <c r="B63" s="171"/>
      <c r="C63" s="177">
        <v>565</v>
      </c>
      <c r="D63" s="160">
        <f t="shared" ref="D63:P63" si="18">SUM(D61:D62)</f>
        <v>5490452.8940043356</v>
      </c>
      <c r="E63" s="160">
        <f t="shared" si="18"/>
        <v>5236113.5444807699</v>
      </c>
      <c r="F63" s="160">
        <f t="shared" si="18"/>
        <v>5069629.9995716624</v>
      </c>
      <c r="G63" s="160">
        <f t="shared" si="18"/>
        <v>5016019.545012204</v>
      </c>
      <c r="H63" s="160">
        <f t="shared" si="18"/>
        <v>4602910.5944081545</v>
      </c>
      <c r="I63" s="160">
        <f t="shared" si="18"/>
        <v>5006870.3287167735</v>
      </c>
      <c r="J63" s="160">
        <f t="shared" si="18"/>
        <v>4618162.882940514</v>
      </c>
      <c r="K63" s="160">
        <f t="shared" si="18"/>
        <v>4244490.0307149757</v>
      </c>
      <c r="L63" s="160">
        <f t="shared" si="18"/>
        <v>4600429.7506774506</v>
      </c>
      <c r="M63" s="160">
        <f t="shared" si="18"/>
        <v>4407247.5934884688</v>
      </c>
      <c r="N63" s="160">
        <f t="shared" si="18"/>
        <v>4674175.6911589336</v>
      </c>
      <c r="O63" s="160">
        <f t="shared" si="18"/>
        <v>5216518.9342456488</v>
      </c>
      <c r="P63" s="160">
        <f t="shared" si="18"/>
        <v>58183021.789419904</v>
      </c>
    </row>
    <row r="64" spans="1:16" s="158" customFormat="1">
      <c r="A64" s="178" t="s">
        <v>134</v>
      </c>
      <c r="B64" s="171"/>
      <c r="C64" s="177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s="158" customFormat="1" ht="15.75">
      <c r="A65" s="172" t="s">
        <v>133</v>
      </c>
      <c r="B65" s="171"/>
      <c r="C65" s="177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</row>
    <row r="66" spans="1:16" s="158" customFormat="1" ht="23.25" customHeight="1">
      <c r="A66" s="207" t="s">
        <v>127</v>
      </c>
      <c r="B66" s="157" t="s">
        <v>132</v>
      </c>
      <c r="C66" s="177">
        <v>501</v>
      </c>
      <c r="D66" s="160">
        <f t="shared" ref="D66:O66" si="19">D29*D43</f>
        <v>20793245.922617808</v>
      </c>
      <c r="E66" s="160">
        <f t="shared" si="19"/>
        <v>26188392.765407305</v>
      </c>
      <c r="F66" s="160">
        <f t="shared" si="19"/>
        <v>28283289.508628156</v>
      </c>
      <c r="G66" s="160">
        <f t="shared" si="19"/>
        <v>25662739.504991371</v>
      </c>
      <c r="H66" s="160">
        <f t="shared" si="19"/>
        <v>25338615.33954107</v>
      </c>
      <c r="I66" s="160">
        <f t="shared" si="19"/>
        <v>24630306.479416214</v>
      </c>
      <c r="J66" s="160">
        <f t="shared" si="19"/>
        <v>25594979.131589547</v>
      </c>
      <c r="K66" s="160">
        <f t="shared" si="19"/>
        <v>24974345.673339143</v>
      </c>
      <c r="L66" s="160">
        <f t="shared" si="19"/>
        <v>23288605.371145166</v>
      </c>
      <c r="M66" s="160">
        <f t="shared" si="19"/>
        <v>23364639.249978166</v>
      </c>
      <c r="N66" s="160">
        <f t="shared" si="19"/>
        <v>22345142.916508112</v>
      </c>
      <c r="O66" s="160">
        <f t="shared" si="19"/>
        <v>22672241.185776751</v>
      </c>
      <c r="P66" s="160">
        <f t="shared" ref="P66:P71" si="20">SUM(D66:O66)</f>
        <v>293136543.04893881</v>
      </c>
    </row>
    <row r="67" spans="1:16" s="158" customFormat="1" ht="12.75" customHeight="1">
      <c r="A67" s="207" t="s">
        <v>127</v>
      </c>
      <c r="B67" s="157" t="s">
        <v>131</v>
      </c>
      <c r="C67" s="177">
        <v>501</v>
      </c>
      <c r="D67" s="160">
        <f t="shared" ref="D67:O67" si="21">D30*D43</f>
        <v>1828323.084703123</v>
      </c>
      <c r="E67" s="160">
        <f t="shared" si="21"/>
        <v>2034963.6018764349</v>
      </c>
      <c r="F67" s="160">
        <f t="shared" si="21"/>
        <v>2148214.3819173453</v>
      </c>
      <c r="G67" s="160">
        <f t="shared" si="21"/>
        <v>1984946.0375247889</v>
      </c>
      <c r="H67" s="160">
        <f t="shared" si="21"/>
        <v>1976999.0014724026</v>
      </c>
      <c r="I67" s="160">
        <f t="shared" si="21"/>
        <v>1870268.4954026772</v>
      </c>
      <c r="J67" s="160">
        <f t="shared" si="21"/>
        <v>1912777.9782057439</v>
      </c>
      <c r="K67" s="160">
        <f t="shared" si="21"/>
        <v>1992316.1243032275</v>
      </c>
      <c r="L67" s="160">
        <f t="shared" si="21"/>
        <v>1816699.671028764</v>
      </c>
      <c r="M67" s="160">
        <f t="shared" si="21"/>
        <v>1827959.4067908523</v>
      </c>
      <c r="N67" s="160">
        <f t="shared" si="21"/>
        <v>1056971.5977514156</v>
      </c>
      <c r="O67" s="160">
        <f t="shared" si="21"/>
        <v>1976929.1274427776</v>
      </c>
      <c r="P67" s="160">
        <f t="shared" si="20"/>
        <v>22427368.508419555</v>
      </c>
    </row>
    <row r="68" spans="1:16" s="158" customFormat="1" ht="12.75" customHeight="1">
      <c r="A68" s="207" t="s">
        <v>127</v>
      </c>
      <c r="B68" s="157" t="s">
        <v>130</v>
      </c>
      <c r="C68" s="177">
        <v>501</v>
      </c>
      <c r="D68" s="160">
        <f t="shared" ref="D68:O68" si="22">D31*D43</f>
        <v>0</v>
      </c>
      <c r="E68" s="160">
        <f t="shared" si="22"/>
        <v>1023587.9377805517</v>
      </c>
      <c r="F68" s="160">
        <f t="shared" si="22"/>
        <v>1054617.4575937691</v>
      </c>
      <c r="G68" s="160">
        <f t="shared" si="22"/>
        <v>322310.44156713941</v>
      </c>
      <c r="H68" s="160">
        <f t="shared" si="22"/>
        <v>77389.615887324049</v>
      </c>
      <c r="I68" s="160">
        <f t="shared" si="22"/>
        <v>0</v>
      </c>
      <c r="J68" s="160">
        <f t="shared" si="22"/>
        <v>0</v>
      </c>
      <c r="K68" s="160">
        <f t="shared" si="22"/>
        <v>0</v>
      </c>
      <c r="L68" s="160">
        <f t="shared" si="22"/>
        <v>0</v>
      </c>
      <c r="M68" s="160">
        <f t="shared" si="22"/>
        <v>0</v>
      </c>
      <c r="N68" s="160">
        <f t="shared" si="22"/>
        <v>0</v>
      </c>
      <c r="O68" s="160">
        <f t="shared" si="22"/>
        <v>0</v>
      </c>
      <c r="P68" s="160">
        <f t="shared" si="20"/>
        <v>2477905.452828784</v>
      </c>
    </row>
    <row r="69" spans="1:16" s="158" customFormat="1" ht="15.75" customHeight="1">
      <c r="A69" s="207" t="s">
        <v>127</v>
      </c>
      <c r="B69" s="157" t="s">
        <v>129</v>
      </c>
      <c r="C69" s="177">
        <v>547</v>
      </c>
      <c r="D69" s="160">
        <f t="shared" ref="D69:O69" si="23">D32*D43</f>
        <v>13967898.053635893</v>
      </c>
      <c r="E69" s="160">
        <f t="shared" si="23"/>
        <v>16737173.33004861</v>
      </c>
      <c r="F69" s="160">
        <f t="shared" si="23"/>
        <v>18225487.38136569</v>
      </c>
      <c r="G69" s="160">
        <f t="shared" si="23"/>
        <v>17058191.14029225</v>
      </c>
      <c r="H69" s="160">
        <f t="shared" si="23"/>
        <v>15084150.143195849</v>
      </c>
      <c r="I69" s="160">
        <f t="shared" si="23"/>
        <v>14495780.525678651</v>
      </c>
      <c r="J69" s="160">
        <f t="shared" si="23"/>
        <v>12424571.363645812</v>
      </c>
      <c r="K69" s="160">
        <f t="shared" si="23"/>
        <v>12778250.896708906</v>
      </c>
      <c r="L69" s="160">
        <f t="shared" si="23"/>
        <v>9341099.1856424473</v>
      </c>
      <c r="M69" s="160">
        <f t="shared" si="23"/>
        <v>10480978.582566895</v>
      </c>
      <c r="N69" s="160">
        <f t="shared" si="23"/>
        <v>7034484.5612274734</v>
      </c>
      <c r="O69" s="160">
        <f t="shared" si="23"/>
        <v>6812610.9198213713</v>
      </c>
      <c r="P69" s="160">
        <f t="shared" si="20"/>
        <v>154440676.08382985</v>
      </c>
    </row>
    <row r="70" spans="1:16" s="158" customFormat="1">
      <c r="A70" s="207" t="s">
        <v>127</v>
      </c>
      <c r="B70" s="157" t="s">
        <v>128</v>
      </c>
      <c r="C70" s="177">
        <v>547</v>
      </c>
      <c r="D70" s="160">
        <f t="shared" ref="D70:O70" si="24">D33*D43</f>
        <v>932962.37693984539</v>
      </c>
      <c r="E70" s="160">
        <f t="shared" si="24"/>
        <v>745088.32295518334</v>
      </c>
      <c r="F70" s="160">
        <f t="shared" si="24"/>
        <v>762100.64587997377</v>
      </c>
      <c r="G70" s="160">
        <f t="shared" si="24"/>
        <v>740249.72796353407</v>
      </c>
      <c r="H70" s="160">
        <f t="shared" si="24"/>
        <v>820977.88687035814</v>
      </c>
      <c r="I70" s="160">
        <f t="shared" si="24"/>
        <v>640280.11275493598</v>
      </c>
      <c r="J70" s="160">
        <f t="shared" si="24"/>
        <v>649350.77298068209</v>
      </c>
      <c r="K70" s="160">
        <f t="shared" si="24"/>
        <v>608460.43394486152</v>
      </c>
      <c r="L70" s="160">
        <f t="shared" si="24"/>
        <v>520136.88489150757</v>
      </c>
      <c r="M70" s="160">
        <f t="shared" si="24"/>
        <v>585677.91820916219</v>
      </c>
      <c r="N70" s="160">
        <f t="shared" si="24"/>
        <v>565328.94235363032</v>
      </c>
      <c r="O70" s="160">
        <f t="shared" si="24"/>
        <v>602053.32253756386</v>
      </c>
      <c r="P70" s="160">
        <f t="shared" si="20"/>
        <v>8172667.3482812392</v>
      </c>
    </row>
    <row r="71" spans="1:16" s="158" customFormat="1">
      <c r="A71" s="207" t="s">
        <v>127</v>
      </c>
      <c r="B71" s="157" t="s">
        <v>105</v>
      </c>
      <c r="C71" s="176">
        <v>503</v>
      </c>
      <c r="D71" s="175">
        <f t="shared" ref="D71:O71" si="25">D34*D43</f>
        <v>118653.23906403666</v>
      </c>
      <c r="E71" s="175">
        <f t="shared" si="25"/>
        <v>126562.42600109018</v>
      </c>
      <c r="F71" s="175">
        <f t="shared" si="25"/>
        <v>130539.07514411239</v>
      </c>
      <c r="G71" s="175">
        <f t="shared" si="25"/>
        <v>126189.59380407914</v>
      </c>
      <c r="H71" s="175">
        <f t="shared" si="25"/>
        <v>129285.71653846229</v>
      </c>
      <c r="I71" s="175">
        <f t="shared" si="25"/>
        <v>125196.74970515165</v>
      </c>
      <c r="J71" s="175">
        <f t="shared" si="25"/>
        <v>127487.10194624434</v>
      </c>
      <c r="K71" s="175">
        <f t="shared" si="25"/>
        <v>126241.0257214421</v>
      </c>
      <c r="L71" s="175">
        <f t="shared" si="25"/>
        <v>115965.36540477938</v>
      </c>
      <c r="M71" s="175">
        <f t="shared" si="25"/>
        <v>128682.00692594457</v>
      </c>
      <c r="N71" s="175">
        <f t="shared" si="25"/>
        <v>111513.74341100616</v>
      </c>
      <c r="O71" s="175">
        <f t="shared" si="25"/>
        <v>127660.13008540454</v>
      </c>
      <c r="P71" s="175">
        <f t="shared" si="20"/>
        <v>1493976.1737517533</v>
      </c>
    </row>
    <row r="72" spans="1:16" s="158" customFormat="1" ht="21" customHeight="1">
      <c r="A72" s="172" t="s">
        <v>126</v>
      </c>
      <c r="B72" s="171"/>
      <c r="C72" s="174" t="s">
        <v>125</v>
      </c>
      <c r="D72" s="160">
        <f t="shared" ref="D72:P72" si="26">SUM(D66:D71)</f>
        <v>37641082.676960707</v>
      </c>
      <c r="E72" s="160">
        <f t="shared" si="26"/>
        <v>46855768.384069167</v>
      </c>
      <c r="F72" s="160">
        <f t="shared" si="26"/>
        <v>50604248.450529046</v>
      </c>
      <c r="G72" s="160">
        <f t="shared" si="26"/>
        <v>45894626.446143165</v>
      </c>
      <c r="H72" s="160">
        <f t="shared" si="26"/>
        <v>43427417.703505456</v>
      </c>
      <c r="I72" s="160">
        <f t="shared" si="26"/>
        <v>41761832.362957627</v>
      </c>
      <c r="J72" s="160">
        <f t="shared" si="26"/>
        <v>40709166.348368026</v>
      </c>
      <c r="K72" s="160">
        <f t="shared" si="26"/>
        <v>40479614.154017583</v>
      </c>
      <c r="L72" s="160">
        <f t="shared" si="26"/>
        <v>35082506.47811266</v>
      </c>
      <c r="M72" s="160">
        <f t="shared" si="26"/>
        <v>36387937.164471023</v>
      </c>
      <c r="N72" s="160">
        <f t="shared" si="26"/>
        <v>31113441.761251636</v>
      </c>
      <c r="O72" s="160">
        <f t="shared" si="26"/>
        <v>32191494.685663868</v>
      </c>
      <c r="P72" s="160">
        <f t="shared" si="26"/>
        <v>482149136.61605006</v>
      </c>
    </row>
    <row r="73" spans="1:16" s="158" customFormat="1">
      <c r="A73" s="173"/>
      <c r="B73" s="171"/>
      <c r="C73" s="17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158" customFormat="1" ht="26.25" customHeight="1">
      <c r="A74" s="169"/>
      <c r="B74" s="168"/>
      <c r="C74" s="16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1:16" s="158" customFormat="1">
      <c r="A75" s="164"/>
      <c r="B75" s="163"/>
      <c r="C75" s="209"/>
      <c r="D75" s="210">
        <v>41061</v>
      </c>
      <c r="E75" s="210">
        <v>41091</v>
      </c>
      <c r="F75" s="210">
        <v>41122</v>
      </c>
      <c r="G75" s="210">
        <v>41153</v>
      </c>
      <c r="H75" s="210">
        <v>41183</v>
      </c>
      <c r="I75" s="210">
        <v>41214</v>
      </c>
      <c r="J75" s="210">
        <v>41244</v>
      </c>
      <c r="K75" s="210">
        <v>41275</v>
      </c>
      <c r="L75" s="210">
        <v>41306</v>
      </c>
      <c r="M75" s="210">
        <v>41334</v>
      </c>
      <c r="N75" s="210">
        <v>41365</v>
      </c>
      <c r="O75" s="210">
        <v>41395</v>
      </c>
      <c r="P75" s="210" t="s">
        <v>1</v>
      </c>
    </row>
    <row r="76" spans="1:16" s="158" customFormat="1" ht="26.25" customHeight="1">
      <c r="A76" s="211" t="s">
        <v>124</v>
      </c>
      <c r="B76" s="165"/>
      <c r="C76" s="209"/>
      <c r="D76" s="165">
        <f t="shared" ref="D76:O76" si="27">-D51+D58+D63+D72</f>
        <v>54494586.225557335</v>
      </c>
      <c r="E76" s="165">
        <f t="shared" si="27"/>
        <v>63895578.454135865</v>
      </c>
      <c r="F76" s="165">
        <f t="shared" si="27"/>
        <v>67075282.440798081</v>
      </c>
      <c r="G76" s="165">
        <f t="shared" si="27"/>
        <v>57663949.092008427</v>
      </c>
      <c r="H76" s="165">
        <f t="shared" si="27"/>
        <v>50733864.708032541</v>
      </c>
      <c r="I76" s="165">
        <f t="shared" si="27"/>
        <v>47877016.956030563</v>
      </c>
      <c r="J76" s="165">
        <f t="shared" si="27"/>
        <v>48676536.317307875</v>
      </c>
      <c r="K76" s="165">
        <f t="shared" si="27"/>
        <v>49438916.592889316</v>
      </c>
      <c r="L76" s="165">
        <f t="shared" si="27"/>
        <v>45600863.449302822</v>
      </c>
      <c r="M76" s="165">
        <f t="shared" si="27"/>
        <v>49457623.970391698</v>
      </c>
      <c r="N76" s="165">
        <f t="shared" si="27"/>
        <v>48283886.325498961</v>
      </c>
      <c r="O76" s="165">
        <f t="shared" si="27"/>
        <v>54554519.290116727</v>
      </c>
      <c r="P76" s="165">
        <f>SUM(D76:O76)</f>
        <v>637752623.82207012</v>
      </c>
    </row>
    <row r="77" spans="1:16" s="158" customFormat="1" ht="26.25" customHeight="1">
      <c r="A77" s="211"/>
      <c r="B77" s="165"/>
      <c r="C77" s="209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s="158" customFormat="1" ht="26.25" customHeight="1">
      <c r="A78" s="211" t="s">
        <v>123</v>
      </c>
      <c r="B78" s="165"/>
      <c r="C78" s="209"/>
      <c r="D78" s="165">
        <v>54344975.373879798</v>
      </c>
      <c r="E78" s="165">
        <v>63720157.874348603</v>
      </c>
      <c r="F78" s="165">
        <v>66891132.219142303</v>
      </c>
      <c r="G78" s="165">
        <v>57505636.989242204</v>
      </c>
      <c r="H78" s="165">
        <v>50594578.638835803</v>
      </c>
      <c r="I78" s="165">
        <v>47745574.1508146</v>
      </c>
      <c r="J78" s="165">
        <v>48542898.4908823</v>
      </c>
      <c r="K78" s="165">
        <v>49303185.707864098</v>
      </c>
      <c r="L78" s="165">
        <v>45475669.655012101</v>
      </c>
      <c r="M78" s="165">
        <v>49321841.725646697</v>
      </c>
      <c r="N78" s="165">
        <v>48151326.490553901</v>
      </c>
      <c r="O78" s="165">
        <v>54404743.8966479</v>
      </c>
      <c r="P78" s="165">
        <f>SUM(D78:O78)</f>
        <v>636001721.21287024</v>
      </c>
    </row>
    <row r="79" spans="1:16" s="161" customFormat="1">
      <c r="A79" s="164"/>
      <c r="B79" s="165"/>
      <c r="C79" s="209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s="161" customFormat="1">
      <c r="A80" s="164"/>
      <c r="B80" s="165"/>
      <c r="C80" s="209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6" s="161" customForma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1:16" s="161" customForma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s="158" customForma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</sheetData>
  <printOptions horizontalCentered="1"/>
  <pageMargins left="0.65" right="0.65" top="1.1000000000000001" bottom="0.35" header="0.5" footer="0.5"/>
  <pageSetup paperSize="17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A1 1&amp;2of3</vt:lpstr>
      <vt:lpstr>Exhibit A1 3of3</vt:lpstr>
      <vt:lpstr>Exhibit A2 1of1</vt:lpstr>
      <vt:lpstr>Exhibit A3 1of2</vt:lpstr>
      <vt:lpstr>Exhibit A3 2of2</vt:lpstr>
      <vt:lpstr>'Exhibit A3 2of2'!Page115</vt:lpstr>
      <vt:lpstr>'Exhibit A1 3of3'!Print_Area</vt:lpstr>
      <vt:lpstr>'Exhibit A2 1of1'!Print_Area</vt:lpstr>
      <vt:lpstr>'Exhibit A3 1of2'!Print_Area</vt:lpstr>
      <vt:lpstr>'Exhibit A3 2of2'!Print_Area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2012-08-07T21:17:47Z</dcterms:created>
  <dcterms:modified xsi:type="dcterms:W3CDTF">2012-08-21T16:06:31Z</dcterms:modified>
</cp:coreProperties>
</file>