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never" codeName="ThisWorkbook" defaultThemeVersion="124226"/>
  <bookViews>
    <workbookView xWindow="75" yWindow="0" windowWidth="17130" windowHeight="11220" tabRatio="605" activeTab="6"/>
  </bookViews>
  <sheets>
    <sheet name="Table 1" sheetId="30" r:id="rId1"/>
    <sheet name="Table 2" sheetId="17" r:id="rId2"/>
    <sheet name="Tables 3 to 6" sheetId="5" r:id="rId3"/>
    <sheet name="Table 7" sheetId="13" r:id="rId4"/>
    <sheet name="Table 8" sheetId="28" r:id="rId5"/>
    <sheet name="Table 9" sheetId="29" r:id="rId6"/>
    <sheet name="Table 10" sheetId="32" r:id="rId7"/>
  </sheets>
  <definedNames>
    <definedName name="_Order1" hidden="1">255</definedName>
    <definedName name="_Order2" hidden="1">0</definedName>
    <definedName name="DispatchSum">"GRID Thermal Generation!R2C1:R4C2"</definedName>
    <definedName name="_xlnm.Print_Area" localSheetId="0">'Table 1'!$A$1:$K$54</definedName>
    <definedName name="_xlnm.Print_Area" localSheetId="6">'Table 10'!$A$1:$G$38</definedName>
    <definedName name="_xlnm.Print_Area" localSheetId="1">'Table 2'!$A$1:$M$38</definedName>
    <definedName name="_xlnm.Print_Area" localSheetId="3">'Table 7'!$A$1:$E$46</definedName>
    <definedName name="_xlnm.Print_Area" localSheetId="4">'Table 8'!$B$1:$K$141</definedName>
    <definedName name="_xlnm.Print_Area" localSheetId="5">'Table 9'!$A$1:$D$41</definedName>
    <definedName name="_xlnm.Print_Area" localSheetId="2">'Tables 3 to 6'!$A$1:$Z$50</definedName>
    <definedName name="RevenueSum">"GRID Thermal Revenue!R2C1:R4C2"</definedName>
  </definedNames>
  <calcPr calcId="125725"/>
</workbook>
</file>

<file path=xl/calcChain.xml><?xml version="1.0" encoding="utf-8"?>
<calcChain xmlns="http://schemas.openxmlformats.org/spreadsheetml/2006/main">
  <c r="C50" i="5"/>
  <c r="A16" i="17" l="1"/>
  <c r="A17" l="1"/>
  <c r="A18" l="1"/>
  <c r="B12" i="3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11"/>
  <c r="A19" i="17" l="1"/>
  <c r="A13" l="1"/>
  <c r="A25" l="1"/>
  <c r="A33"/>
  <c r="D37" i="28" l="1"/>
  <c r="B37"/>
  <c r="D38"/>
  <c r="C46" l="1"/>
  <c r="B11" i="29" l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C132" i="28" l="1"/>
  <c r="C133" l="1"/>
  <c r="C134"/>
  <c r="C135" l="1"/>
  <c r="C136" l="1"/>
  <c r="C137" l="1"/>
  <c r="C138" l="1"/>
  <c r="C139" l="1"/>
  <c r="F131" l="1"/>
  <c r="F132" l="1"/>
  <c r="F133" l="1"/>
  <c r="F134" l="1"/>
  <c r="F135" l="1"/>
  <c r="F136" l="1"/>
  <c r="F137" l="1"/>
  <c r="F138" l="1"/>
  <c r="F139" l="1"/>
  <c r="I131" l="1"/>
  <c r="I132" l="1"/>
  <c r="I133" l="1"/>
  <c r="I134" l="1"/>
  <c r="I135" l="1"/>
  <c r="I136" l="1"/>
  <c r="I137" l="1"/>
  <c r="I138" l="1"/>
  <c r="I139" l="1"/>
  <c r="D120" l="1"/>
  <c r="J112" s="1"/>
  <c r="C120"/>
  <c r="J111" s="1"/>
  <c r="E116"/>
  <c r="D124" l="1"/>
  <c r="D95"/>
  <c r="B29" i="30"/>
  <c r="B45" s="1"/>
  <c r="B25"/>
  <c r="B41" s="1"/>
  <c r="D98" i="28" l="1"/>
  <c r="U43" i="5" l="1"/>
  <c r="B44"/>
  <c r="B13"/>
  <c r="B14" s="1"/>
  <c r="I106" i="28"/>
  <c r="C10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E10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F106"/>
  <c r="F107"/>
  <c r="H106"/>
  <c r="H107"/>
  <c r="F111"/>
  <c r="F112"/>
  <c r="I107"/>
  <c r="A11" i="13"/>
  <c r="C41" i="5"/>
  <c r="C42" s="1"/>
  <c r="K111" i="28"/>
  <c r="K112"/>
  <c r="H12" i="5"/>
  <c r="H14"/>
  <c r="I41"/>
  <c r="B9" i="28"/>
  <c r="B1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C38"/>
  <c r="C39"/>
  <c r="D39"/>
  <c r="C40"/>
  <c r="D40"/>
  <c r="B52"/>
  <c r="B53"/>
  <c r="B60"/>
  <c r="B62"/>
  <c r="B63" s="1"/>
  <c r="B64" s="1"/>
  <c r="B65" s="1"/>
  <c r="B88"/>
  <c r="B89"/>
  <c r="C95"/>
  <c r="C96"/>
  <c r="C97"/>
  <c r="D97"/>
  <c r="C98"/>
  <c r="C99"/>
  <c r="C100"/>
  <c r="D100"/>
  <c r="C111"/>
  <c r="G111"/>
  <c r="C112"/>
  <c r="G112"/>
  <c r="N132"/>
  <c r="N133"/>
  <c r="N134" s="1"/>
  <c r="N135" s="1"/>
  <c r="N136" s="1"/>
  <c r="N137" s="1"/>
  <c r="V41" i="5"/>
  <c r="B36" i="17"/>
  <c r="H42" i="5"/>
  <c r="U14"/>
  <c r="U12"/>
  <c r="N13"/>
  <c r="N12"/>
  <c r="B43"/>
  <c r="E9"/>
  <c r="C48"/>
  <c r="C47"/>
  <c r="O41"/>
  <c r="O42"/>
  <c r="I43"/>
  <c r="V43"/>
  <c r="H44"/>
  <c r="Q9"/>
  <c r="S9"/>
  <c r="R9"/>
  <c r="Z9"/>
  <c r="Y9"/>
  <c r="U42"/>
  <c r="Z5"/>
  <c r="Y5"/>
  <c r="U41"/>
  <c r="B42"/>
  <c r="B41"/>
  <c r="L9"/>
  <c r="H43"/>
  <c r="H41"/>
  <c r="N42"/>
  <c r="N41"/>
  <c r="B41" i="13"/>
  <c r="E9"/>
  <c r="A42"/>
  <c r="A41"/>
  <c r="N14" i="5" l="1"/>
  <c r="B15"/>
  <c r="H112" i="28"/>
  <c r="B66"/>
  <c r="B67" s="1"/>
  <c r="B68" s="1"/>
  <c r="B69" s="1"/>
  <c r="F10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C49" i="5"/>
  <c r="U13"/>
  <c r="H13"/>
  <c r="H111" i="28"/>
  <c r="A12" i="13"/>
  <c r="G10" i="28"/>
  <c r="H10" s="1"/>
  <c r="F108"/>
  <c r="G106" s="1"/>
  <c r="G107" s="1"/>
  <c r="G108" s="1"/>
  <c r="F113"/>
  <c r="H108"/>
  <c r="C61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H113"/>
  <c r="D126" s="1"/>
  <c r="N138"/>
  <c r="I108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U15" i="5" l="1"/>
  <c r="B18"/>
  <c r="H15"/>
  <c r="I44" s="1"/>
  <c r="N15"/>
  <c r="D127" i="28"/>
  <c r="E127"/>
  <c r="A13" i="13"/>
  <c r="B70" i="28"/>
  <c r="I111"/>
  <c r="I112" s="1"/>
  <c r="J113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B19" i="5"/>
  <c r="N139" i="28"/>
  <c r="G113"/>
  <c r="D96" s="1"/>
  <c r="B20" i="5" l="1"/>
  <c r="H19"/>
  <c r="U19"/>
  <c r="N19"/>
  <c r="G11" i="28"/>
  <c r="H11" s="1"/>
  <c r="A14" i="13"/>
  <c r="G62" i="28"/>
  <c r="K113"/>
  <c r="D99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I113"/>
  <c r="N18" i="5"/>
  <c r="U18"/>
  <c r="H18"/>
  <c r="F6"/>
  <c r="K6" s="1"/>
  <c r="F9"/>
  <c r="C44"/>
  <c r="N140" i="28"/>
  <c r="G61"/>
  <c r="H61" s="1"/>
  <c r="J17" i="5" l="1"/>
  <c r="I42"/>
  <c r="U20"/>
  <c r="H20"/>
  <c r="B21"/>
  <c r="N20"/>
  <c r="G12" i="28"/>
  <c r="H12" s="1"/>
  <c r="A15" i="13"/>
  <c r="G63" i="28"/>
  <c r="H62"/>
  <c r="N141"/>
  <c r="V42" i="5"/>
  <c r="W9"/>
  <c r="G13" i="28" l="1"/>
  <c r="H13" s="1"/>
  <c r="B22" i="5"/>
  <c r="U21"/>
  <c r="H21"/>
  <c r="N21"/>
  <c r="A16" i="13"/>
  <c r="G64" i="28"/>
  <c r="N142"/>
  <c r="H63"/>
  <c r="U22" i="5" l="1"/>
  <c r="H22"/>
  <c r="B23"/>
  <c r="N22"/>
  <c r="G14" i="28"/>
  <c r="H14" s="1"/>
  <c r="A17" i="13"/>
  <c r="G65" i="28"/>
  <c r="H64"/>
  <c r="N143"/>
  <c r="B24" i="5" l="1"/>
  <c r="N23"/>
  <c r="U23"/>
  <c r="H23"/>
  <c r="G15" i="28"/>
  <c r="H15" s="1"/>
  <c r="D18" i="5" s="1"/>
  <c r="A18" i="13"/>
  <c r="G66" i="28"/>
  <c r="H66" s="1"/>
  <c r="C18" i="5" s="1"/>
  <c r="N144" i="28"/>
  <c r="H65"/>
  <c r="B25" i="5" l="1"/>
  <c r="N24"/>
  <c r="U24"/>
  <c r="H24"/>
  <c r="A19" i="13"/>
  <c r="N145" i="28"/>
  <c r="B26" i="5" l="1"/>
  <c r="N25"/>
  <c r="U25"/>
  <c r="H25"/>
  <c r="A20" i="13"/>
  <c r="N146" i="28"/>
  <c r="B27" i="5" l="1"/>
  <c r="N26"/>
  <c r="U26"/>
  <c r="H26"/>
  <c r="A21" i="13"/>
  <c r="N147" i="28"/>
  <c r="B28" i="5" l="1"/>
  <c r="N27"/>
  <c r="U27"/>
  <c r="H27"/>
  <c r="A22" i="13"/>
  <c r="B29" i="5" l="1"/>
  <c r="N28"/>
  <c r="U28"/>
  <c r="H28"/>
  <c r="A23" i="13"/>
  <c r="B30" i="5" l="1"/>
  <c r="N29"/>
  <c r="U29"/>
  <c r="H29"/>
  <c r="G16" i="28"/>
  <c r="H16" s="1"/>
  <c r="D19" i="5" s="1"/>
  <c r="G67" i="28"/>
  <c r="H67" s="1"/>
  <c r="C19" i="5" s="1"/>
  <c r="A24" i="13"/>
  <c r="G68" i="28" l="1"/>
  <c r="H68" s="1"/>
  <c r="C20" i="5" s="1"/>
  <c r="G17" i="28"/>
  <c r="H17" s="1"/>
  <c r="D20" i="5" s="1"/>
  <c r="B31"/>
  <c r="N30"/>
  <c r="U30"/>
  <c r="H30"/>
  <c r="E19"/>
  <c r="F19" s="1"/>
  <c r="K19" s="1"/>
  <c r="A25" i="13"/>
  <c r="E18" i="5"/>
  <c r="F18" s="1"/>
  <c r="B32" l="1"/>
  <c r="N31"/>
  <c r="U31"/>
  <c r="H31"/>
  <c r="G18" i="28"/>
  <c r="H18" s="1"/>
  <c r="D21" i="5" s="1"/>
  <c r="G69" i="28"/>
  <c r="H69" s="1"/>
  <c r="C21" i="5" s="1"/>
  <c r="V19"/>
  <c r="W19" s="1"/>
  <c r="E20"/>
  <c r="F20" s="1"/>
  <c r="K20" s="1"/>
  <c r="O19"/>
  <c r="K18"/>
  <c r="A26" i="13"/>
  <c r="V18" i="5"/>
  <c r="W18" s="1"/>
  <c r="O18"/>
  <c r="E21" l="1"/>
  <c r="F21" s="1"/>
  <c r="K21" s="1"/>
  <c r="G70" i="28"/>
  <c r="H70" s="1"/>
  <c r="C22" i="5" s="1"/>
  <c r="B33"/>
  <c r="N32"/>
  <c r="U32"/>
  <c r="H32"/>
  <c r="O20"/>
  <c r="G19" i="28"/>
  <c r="H19" s="1"/>
  <c r="D22" i="5" s="1"/>
  <c r="V20"/>
  <c r="W20" s="1"/>
  <c r="A27" i="13"/>
  <c r="O21" i="5" l="1"/>
  <c r="V21"/>
  <c r="W21" s="1"/>
  <c r="B34"/>
  <c r="N33"/>
  <c r="U33"/>
  <c r="H33"/>
  <c r="E22"/>
  <c r="F22" s="1"/>
  <c r="K22" s="1"/>
  <c r="G20" i="28"/>
  <c r="H20" s="1"/>
  <c r="D23" i="5" s="1"/>
  <c r="G71" i="28"/>
  <c r="H71" s="1"/>
  <c r="C23" i="5" s="1"/>
  <c r="A28" i="13"/>
  <c r="E23" i="5" l="1"/>
  <c r="F23" s="1"/>
  <c r="K23" s="1"/>
  <c r="I86" i="28"/>
  <c r="G72"/>
  <c r="H72" s="1"/>
  <c r="C24" i="5" s="1"/>
  <c r="G21" i="28"/>
  <c r="H21" s="1"/>
  <c r="D24" i="5" s="1"/>
  <c r="B35"/>
  <c r="N34"/>
  <c r="U34"/>
  <c r="H34"/>
  <c r="V22"/>
  <c r="W22" s="1"/>
  <c r="O22"/>
  <c r="A29" i="13"/>
  <c r="V23" i="5" l="1"/>
  <c r="W23" s="1"/>
  <c r="O23"/>
  <c r="J86" i="28"/>
  <c r="I38" i="5"/>
  <c r="J38" s="1"/>
  <c r="B36"/>
  <c r="N35"/>
  <c r="U35"/>
  <c r="H35"/>
  <c r="G22" i="28"/>
  <c r="H22" s="1"/>
  <c r="D25" i="5" s="1"/>
  <c r="E24"/>
  <c r="F24" s="1"/>
  <c r="K24" s="1"/>
  <c r="G73" i="28"/>
  <c r="H73" s="1"/>
  <c r="C25" i="5" s="1"/>
  <c r="A30" i="13"/>
  <c r="I85" i="28"/>
  <c r="I84"/>
  <c r="O24" i="5" l="1"/>
  <c r="E25"/>
  <c r="F25" s="1"/>
  <c r="K25" s="1"/>
  <c r="V24"/>
  <c r="W24" s="1"/>
  <c r="G74" i="28"/>
  <c r="H74" s="1"/>
  <c r="C26" i="5" s="1"/>
  <c r="G23" i="28"/>
  <c r="H23" s="1"/>
  <c r="D26" i="5" s="1"/>
  <c r="B37"/>
  <c r="N36"/>
  <c r="U36"/>
  <c r="H36"/>
  <c r="I36"/>
  <c r="J84" i="28"/>
  <c r="I37" i="5"/>
  <c r="J85" i="28"/>
  <c r="D38" i="13"/>
  <c r="A31"/>
  <c r="A37"/>
  <c r="I67" i="28"/>
  <c r="I68"/>
  <c r="I69"/>
  <c r="I70"/>
  <c r="I72"/>
  <c r="I71"/>
  <c r="I73"/>
  <c r="I74"/>
  <c r="I75"/>
  <c r="I76"/>
  <c r="I77"/>
  <c r="I79"/>
  <c r="I82"/>
  <c r="I80"/>
  <c r="I81"/>
  <c r="I83"/>
  <c r="I78"/>
  <c r="I66"/>
  <c r="O25" i="5" l="1"/>
  <c r="V25"/>
  <c r="W25" s="1"/>
  <c r="B38"/>
  <c r="N37"/>
  <c r="U37"/>
  <c r="H37"/>
  <c r="E26"/>
  <c r="F26" s="1"/>
  <c r="K26" s="1"/>
  <c r="G24" i="28"/>
  <c r="H24" s="1"/>
  <c r="D27" i="5" s="1"/>
  <c r="G75" i="28"/>
  <c r="H75" s="1"/>
  <c r="C27" i="5" s="1"/>
  <c r="I18"/>
  <c r="J66" i="28"/>
  <c r="K66" s="1"/>
  <c r="I32" i="5"/>
  <c r="J80" i="28"/>
  <c r="I28" i="5"/>
  <c r="J76" i="28"/>
  <c r="I23" i="5"/>
  <c r="J71" i="28"/>
  <c r="K71" s="1"/>
  <c r="I30" i="5"/>
  <c r="J78" i="28"/>
  <c r="I33" i="5"/>
  <c r="J81" i="28"/>
  <c r="I34" i="5"/>
  <c r="J82" i="28"/>
  <c r="I29" i="5"/>
  <c r="J77" i="28"/>
  <c r="I27" i="5"/>
  <c r="J75" i="28"/>
  <c r="I25" i="5"/>
  <c r="J73" i="28"/>
  <c r="K73" s="1"/>
  <c r="I24" i="5"/>
  <c r="J72" i="28"/>
  <c r="K72" s="1"/>
  <c r="I21" i="5"/>
  <c r="J69" i="28"/>
  <c r="K69" s="1"/>
  <c r="I19" i="5"/>
  <c r="J67" i="28"/>
  <c r="K67" s="1"/>
  <c r="A32" i="13"/>
  <c r="J36" i="5"/>
  <c r="I35"/>
  <c r="J83" i="28"/>
  <c r="I31" i="5"/>
  <c r="J79" i="28"/>
  <c r="I26" i="5"/>
  <c r="J74" i="28"/>
  <c r="K74" s="1"/>
  <c r="I22" i="5"/>
  <c r="J70" i="28"/>
  <c r="I20" i="5"/>
  <c r="J68" i="28"/>
  <c r="K68" s="1"/>
  <c r="J37" i="5"/>
  <c r="K70" i="28"/>
  <c r="E27" i="5" l="1"/>
  <c r="F27" s="1"/>
  <c r="K27" s="1"/>
  <c r="K75" i="28"/>
  <c r="G76"/>
  <c r="H76" s="1"/>
  <c r="C28" i="5" s="1"/>
  <c r="G25" i="28"/>
  <c r="H25" s="1"/>
  <c r="D28" i="5" s="1"/>
  <c r="U38"/>
  <c r="H38"/>
  <c r="N38"/>
  <c r="V26"/>
  <c r="W26" s="1"/>
  <c r="V27"/>
  <c r="W27" s="1"/>
  <c r="O26"/>
  <c r="J20"/>
  <c r="J22"/>
  <c r="J26"/>
  <c r="J31"/>
  <c r="J35"/>
  <c r="A33" i="13"/>
  <c r="J19" i="5"/>
  <c r="J21"/>
  <c r="J24"/>
  <c r="J25"/>
  <c r="J27"/>
  <c r="J29"/>
  <c r="J34"/>
  <c r="J33"/>
  <c r="J30"/>
  <c r="J23"/>
  <c r="J28"/>
  <c r="J32"/>
  <c r="J18"/>
  <c r="O27" l="1"/>
  <c r="K76" i="28"/>
  <c r="E28" i="5"/>
  <c r="F28" s="1"/>
  <c r="K28" s="1"/>
  <c r="L28" s="1"/>
  <c r="G26" i="28"/>
  <c r="H26" s="1"/>
  <c r="D29" i="5" s="1"/>
  <c r="G77" i="28"/>
  <c r="H77" s="1"/>
  <c r="L23" i="5"/>
  <c r="L25"/>
  <c r="L21"/>
  <c r="L22"/>
  <c r="L18"/>
  <c r="L27"/>
  <c r="L24"/>
  <c r="L19"/>
  <c r="A34" i="13"/>
  <c r="L26" i="5"/>
  <c r="L20"/>
  <c r="G78" i="28" l="1"/>
  <c r="H78" s="1"/>
  <c r="G27"/>
  <c r="H27" s="1"/>
  <c r="D30" i="5" s="1"/>
  <c r="V28"/>
  <c r="W28" s="1"/>
  <c r="C29"/>
  <c r="E29" s="1"/>
  <c r="F29" s="1"/>
  <c r="K29" s="1"/>
  <c r="L29" s="1"/>
  <c r="P29" s="1"/>
  <c r="K77" i="28"/>
  <c r="O28" i="5"/>
  <c r="X26"/>
  <c r="P26"/>
  <c r="X19"/>
  <c r="P19"/>
  <c r="X27"/>
  <c r="P27"/>
  <c r="X18"/>
  <c r="P18"/>
  <c r="X25"/>
  <c r="P25"/>
  <c r="X20"/>
  <c r="P20"/>
  <c r="A35" i="13"/>
  <c r="X24" i="5"/>
  <c r="P24"/>
  <c r="X28"/>
  <c r="P28"/>
  <c r="X22"/>
  <c r="P22"/>
  <c r="X21"/>
  <c r="P21"/>
  <c r="X23"/>
  <c r="P23"/>
  <c r="V29" l="1"/>
  <c r="W29" s="1"/>
  <c r="X29"/>
  <c r="Z29" s="1"/>
  <c r="G28" i="28"/>
  <c r="H28" s="1"/>
  <c r="D31" i="5" s="1"/>
  <c r="G79" i="28"/>
  <c r="H79" s="1"/>
  <c r="O29" i="5"/>
  <c r="C30"/>
  <c r="E30" s="1"/>
  <c r="F30" s="1"/>
  <c r="K30" s="1"/>
  <c r="L30" s="1"/>
  <c r="K78" i="28"/>
  <c r="S23" i="5"/>
  <c r="R23"/>
  <c r="B20" i="13" s="1"/>
  <c r="Q23" i="5"/>
  <c r="S20"/>
  <c r="R20"/>
  <c r="B17" i="13" s="1"/>
  <c r="Q20" i="5"/>
  <c r="Z25"/>
  <c r="Y25"/>
  <c r="Y18"/>
  <c r="Z18"/>
  <c r="Y27"/>
  <c r="Z27"/>
  <c r="Y19"/>
  <c r="Z19"/>
  <c r="Z26"/>
  <c r="Y26"/>
  <c r="R21"/>
  <c r="B18" i="13" s="1"/>
  <c r="Q21" i="5"/>
  <c r="S21"/>
  <c r="Z22"/>
  <c r="Y22"/>
  <c r="S28"/>
  <c r="R28"/>
  <c r="B25" i="13" s="1"/>
  <c r="Q28" i="5"/>
  <c r="S24"/>
  <c r="R24"/>
  <c r="B21" i="13" s="1"/>
  <c r="Q24" i="5"/>
  <c r="Y23"/>
  <c r="Z23"/>
  <c r="Y21"/>
  <c r="Z21"/>
  <c r="R22"/>
  <c r="B19" i="13" s="1"/>
  <c r="Q22" i="5"/>
  <c r="S22"/>
  <c r="Z28"/>
  <c r="Y28"/>
  <c r="Z24"/>
  <c r="Y24"/>
  <c r="Z20"/>
  <c r="Y20"/>
  <c r="R25"/>
  <c r="B22" i="13" s="1"/>
  <c r="Q25" i="5"/>
  <c r="S25"/>
  <c r="Q18"/>
  <c r="R18"/>
  <c r="B15" i="13" s="1"/>
  <c r="S18" i="5"/>
  <c r="S27"/>
  <c r="R27"/>
  <c r="B24" i="13" s="1"/>
  <c r="Q27" i="5"/>
  <c r="S19"/>
  <c r="R19"/>
  <c r="B16" i="13" s="1"/>
  <c r="Q19" i="5"/>
  <c r="R26"/>
  <c r="B23" i="13" s="1"/>
  <c r="Q26" i="5"/>
  <c r="S26"/>
  <c r="Y29" l="1"/>
  <c r="S29"/>
  <c r="R29"/>
  <c r="B26" i="13" s="1"/>
  <c r="E26" s="1"/>
  <c r="Q29" i="5"/>
  <c r="O30"/>
  <c r="C31"/>
  <c r="E31" s="1"/>
  <c r="F31" s="1"/>
  <c r="K31" s="1"/>
  <c r="L31" s="1"/>
  <c r="K79" i="28"/>
  <c r="X30" i="5"/>
  <c r="Z30" s="1"/>
  <c r="P30"/>
  <c r="G80" i="28"/>
  <c r="H80" s="1"/>
  <c r="G29"/>
  <c r="H29" s="1"/>
  <c r="D32" i="5" s="1"/>
  <c r="V30"/>
  <c r="W30" s="1"/>
  <c r="E24" i="13"/>
  <c r="E15"/>
  <c r="E21"/>
  <c r="E25"/>
  <c r="E18"/>
  <c r="E23"/>
  <c r="E16"/>
  <c r="E22"/>
  <c r="E19"/>
  <c r="E17"/>
  <c r="E20"/>
  <c r="O31" i="5" l="1"/>
  <c r="Y30"/>
  <c r="V31"/>
  <c r="W31" s="1"/>
  <c r="G30" i="28"/>
  <c r="H30" s="1"/>
  <c r="D33" i="5" s="1"/>
  <c r="K80" i="28"/>
  <c r="C32" i="5"/>
  <c r="E32" s="1"/>
  <c r="F32" s="1"/>
  <c r="K32" s="1"/>
  <c r="L32" s="1"/>
  <c r="X31"/>
  <c r="Z31" s="1"/>
  <c r="P31"/>
  <c r="G81" i="28"/>
  <c r="H81" s="1"/>
  <c r="Q30" i="5"/>
  <c r="R30"/>
  <c r="B27" i="13" s="1"/>
  <c r="E27" s="1"/>
  <c r="S30" i="5"/>
  <c r="Y31" l="1"/>
  <c r="O32"/>
  <c r="V32"/>
  <c r="W32" s="1"/>
  <c r="G82" i="28"/>
  <c r="H82" s="1"/>
  <c r="K81"/>
  <c r="C33" i="5"/>
  <c r="E33" s="1"/>
  <c r="F33" s="1"/>
  <c r="K33" s="1"/>
  <c r="L33" s="1"/>
  <c r="R31"/>
  <c r="B28" i="13" s="1"/>
  <c r="E28" s="1"/>
  <c r="S31" i="5"/>
  <c r="Q31"/>
  <c r="P32"/>
  <c r="X32"/>
  <c r="Z32" s="1"/>
  <c r="G31" i="28"/>
  <c r="H31" s="1"/>
  <c r="D34" i="5" s="1"/>
  <c r="O33" l="1"/>
  <c r="G32" i="28"/>
  <c r="H32" s="1"/>
  <c r="D35" i="5" s="1"/>
  <c r="S32"/>
  <c r="Q32"/>
  <c r="R32"/>
  <c r="B29" i="13" s="1"/>
  <c r="E29" s="1"/>
  <c r="X33" i="5"/>
  <c r="Z33" s="1"/>
  <c r="P33"/>
  <c r="G83" i="28"/>
  <c r="H83" s="1"/>
  <c r="Y32" i="5"/>
  <c r="V33"/>
  <c r="W33" s="1"/>
  <c r="K82" i="28"/>
  <c r="C34" i="5"/>
  <c r="E34" s="1"/>
  <c r="F34" s="1"/>
  <c r="K34" s="1"/>
  <c r="L34" s="1"/>
  <c r="Y33" l="1"/>
  <c r="K83" i="28"/>
  <c r="C35" i="5"/>
  <c r="E35" s="1"/>
  <c r="F35" s="1"/>
  <c r="K35" s="1"/>
  <c r="L35" s="1"/>
  <c r="Q33"/>
  <c r="R33"/>
  <c r="B30" i="13" s="1"/>
  <c r="E30" s="1"/>
  <c r="S33" i="5"/>
  <c r="V35"/>
  <c r="W35" s="1"/>
  <c r="V34"/>
  <c r="W34" s="1"/>
  <c r="X34"/>
  <c r="Z34" s="1"/>
  <c r="P34"/>
  <c r="G84" i="28"/>
  <c r="H84" s="1"/>
  <c r="G33"/>
  <c r="H33" s="1"/>
  <c r="D36" i="5" s="1"/>
  <c r="O34"/>
  <c r="Y34" l="1"/>
  <c r="O35"/>
  <c r="G85" i="28"/>
  <c r="H85" s="1"/>
  <c r="G86"/>
  <c r="H86" s="1"/>
  <c r="Q34" i="5"/>
  <c r="R34"/>
  <c r="B31" i="13" s="1"/>
  <c r="E31" s="1"/>
  <c r="S34" i="5"/>
  <c r="G35" i="28"/>
  <c r="H35" s="1"/>
  <c r="D38" i="5" s="1"/>
  <c r="G34" i="28"/>
  <c r="H34" s="1"/>
  <c r="D37" i="5" s="1"/>
  <c r="K84" i="28"/>
  <c r="C36" i="5"/>
  <c r="E36" s="1"/>
  <c r="F36" s="1"/>
  <c r="K36" s="1"/>
  <c r="L36" s="1"/>
  <c r="X35"/>
  <c r="Z35" s="1"/>
  <c r="P35"/>
  <c r="Y35" l="1"/>
  <c r="R35"/>
  <c r="B32" i="13" s="1"/>
  <c r="E32" s="1"/>
  <c r="S35" i="5"/>
  <c r="Q35"/>
  <c r="X36"/>
  <c r="Z36" s="1"/>
  <c r="P36"/>
  <c r="K85" i="28"/>
  <c r="C37" i="5"/>
  <c r="E37" s="1"/>
  <c r="F37" s="1"/>
  <c r="K37" s="1"/>
  <c r="L37" s="1"/>
  <c r="V36"/>
  <c r="W36" s="1"/>
  <c r="K86" i="28"/>
  <c r="C38" i="5"/>
  <c r="E38" s="1"/>
  <c r="F38" s="1"/>
  <c r="K38" s="1"/>
  <c r="L38" s="1"/>
  <c r="O36"/>
  <c r="Y36" l="1"/>
  <c r="V37"/>
  <c r="W37" s="1"/>
  <c r="X38"/>
  <c r="Z38" s="1"/>
  <c r="P38"/>
  <c r="X37"/>
  <c r="Z37" s="1"/>
  <c r="P37"/>
  <c r="R36"/>
  <c r="B33" i="13" s="1"/>
  <c r="E33" s="1"/>
  <c r="S36" i="5"/>
  <c r="Q36"/>
  <c r="O38"/>
  <c r="O37"/>
  <c r="V38"/>
  <c r="W38" s="1"/>
  <c r="Y38" l="1"/>
  <c r="Y37"/>
  <c r="R37"/>
  <c r="B34" i="13" s="1"/>
  <c r="E34" s="1"/>
  <c r="S37" i="5"/>
  <c r="Q37"/>
  <c r="R38"/>
  <c r="B35" i="13" s="1"/>
  <c r="S38" i="5"/>
  <c r="Q38"/>
  <c r="A10" i="17" l="1"/>
  <c r="A11" l="1"/>
  <c r="A30"/>
  <c r="A22"/>
  <c r="A12" l="1"/>
  <c r="A23"/>
  <c r="A31"/>
  <c r="A24" l="1"/>
  <c r="A32"/>
  <c r="A3"/>
  <c r="H31" l="1"/>
  <c r="H32" l="1"/>
  <c r="H33"/>
  <c r="D30"/>
  <c r="L33" l="1"/>
  <c r="D33"/>
  <c r="L31"/>
  <c r="L32"/>
  <c r="D32"/>
  <c r="D31"/>
  <c r="L15" i="5" l="1"/>
  <c r="P15"/>
  <c r="X15"/>
  <c r="L14"/>
  <c r="L13"/>
  <c r="Z15" l="1"/>
  <c r="X13"/>
  <c r="P13"/>
  <c r="X14"/>
  <c r="P14"/>
  <c r="Z14" l="1"/>
  <c r="Z13"/>
  <c r="H30" i="17" l="1"/>
  <c r="L30"/>
  <c r="L12" i="5" l="1"/>
  <c r="X12" l="1"/>
  <c r="P12"/>
  <c r="Z12" l="1"/>
  <c r="D56" i="30" l="1"/>
  <c r="E56" s="1"/>
  <c r="F56" s="1"/>
  <c r="G56" s="1"/>
  <c r="C26"/>
  <c r="D42" l="1"/>
  <c r="C33" l="1"/>
  <c r="C35" s="1"/>
  <c r="C36" s="1"/>
  <c r="C10" l="1"/>
  <c r="C17" l="1"/>
  <c r="C19" s="1"/>
  <c r="C20" s="1"/>
  <c r="D12" i="5" l="1"/>
  <c r="V12" l="1"/>
  <c r="O12"/>
  <c r="D49" i="30"/>
  <c r="D51" s="1"/>
  <c r="D52" s="1"/>
  <c r="W12" i="5" l="1"/>
  <c r="H10" i="17" s="1"/>
  <c r="K10"/>
  <c r="Y12" i="5"/>
  <c r="R12"/>
  <c r="B11" i="13" s="1"/>
  <c r="S12" i="5"/>
  <c r="Q12"/>
  <c r="L10" i="17" l="1"/>
  <c r="L22" s="1"/>
  <c r="M10"/>
  <c r="M22" s="1"/>
  <c r="J10"/>
  <c r="J22" s="1"/>
  <c r="I10"/>
  <c r="I22" s="1"/>
  <c r="E11" i="13"/>
  <c r="G30" i="17"/>
  <c r="H22"/>
  <c r="K30"/>
  <c r="K22"/>
  <c r="E30" s="1"/>
  <c r="C30" l="1"/>
  <c r="M30"/>
  <c r="I30"/>
  <c r="D26" i="30" l="1"/>
  <c r="D33" l="1"/>
  <c r="D35" s="1"/>
  <c r="D36" s="1"/>
  <c r="E42" l="1"/>
  <c r="D17" l="1"/>
  <c r="D10"/>
  <c r="D19" l="1"/>
  <c r="D20" s="1"/>
  <c r="E49" l="1"/>
  <c r="E51" s="1"/>
  <c r="E52" s="1"/>
  <c r="E26" l="1"/>
  <c r="D13" i="5"/>
  <c r="V13" l="1"/>
  <c r="W13" s="1"/>
  <c r="O13"/>
  <c r="C11" i="17" l="1"/>
  <c r="C23" s="1"/>
  <c r="G11"/>
  <c r="J11"/>
  <c r="J23" s="1"/>
  <c r="L11"/>
  <c r="L23" s="1"/>
  <c r="H11"/>
  <c r="H23" s="1"/>
  <c r="D11"/>
  <c r="D23" s="1"/>
  <c r="E11"/>
  <c r="E23" s="1"/>
  <c r="M11"/>
  <c r="M23" s="1"/>
  <c r="I11"/>
  <c r="I23" s="1"/>
  <c r="K11"/>
  <c r="K23" s="1"/>
  <c r="F11"/>
  <c r="F23" s="1"/>
  <c r="B11"/>
  <c r="Y13" i="5"/>
  <c r="Q13"/>
  <c r="R13"/>
  <c r="B12" i="13" s="1"/>
  <c r="S13" i="5"/>
  <c r="E12" i="13" l="1"/>
  <c r="B23" i="17"/>
  <c r="C31"/>
  <c r="K31"/>
  <c r="G23"/>
  <c r="I31" s="1"/>
  <c r="G31"/>
  <c r="E31" l="1"/>
  <c r="M31"/>
  <c r="E33" i="30"/>
  <c r="E35" s="1"/>
  <c r="E36" s="1"/>
  <c r="F42" l="1"/>
  <c r="E10" l="1"/>
  <c r="E17" l="1"/>
  <c r="E19" s="1"/>
  <c r="E20" s="1"/>
  <c r="F49" l="1"/>
  <c r="F51" s="1"/>
  <c r="F52" s="1"/>
  <c r="F26" l="1"/>
  <c r="D14" i="5"/>
  <c r="O14" l="1"/>
  <c r="V14"/>
  <c r="W14" s="1"/>
  <c r="R14" l="1"/>
  <c r="B13" i="13" s="1"/>
  <c r="S14" i="5"/>
  <c r="Q14"/>
  <c r="D12" i="17"/>
  <c r="D24" s="1"/>
  <c r="L12"/>
  <c r="L24" s="1"/>
  <c r="I12"/>
  <c r="I24" s="1"/>
  <c r="F12"/>
  <c r="F24" s="1"/>
  <c r="G12"/>
  <c r="J12"/>
  <c r="J24" s="1"/>
  <c r="M12"/>
  <c r="M24" s="1"/>
  <c r="H12"/>
  <c r="H24" s="1"/>
  <c r="E12"/>
  <c r="E24" s="1"/>
  <c r="C12"/>
  <c r="C24" s="1"/>
  <c r="K12"/>
  <c r="K24" s="1"/>
  <c r="B12"/>
  <c r="Y14" i="5"/>
  <c r="G24" i="17" l="1"/>
  <c r="I32" s="1"/>
  <c r="G32"/>
  <c r="B24"/>
  <c r="K32"/>
  <c r="C32"/>
  <c r="E13" i="13"/>
  <c r="M32" i="17" l="1"/>
  <c r="F33" i="30"/>
  <c r="F35" s="1"/>
  <c r="F36" s="1"/>
  <c r="E32" i="17"/>
  <c r="G42" i="30" l="1"/>
  <c r="F10"/>
  <c r="F17" l="1"/>
  <c r="F19" s="1"/>
  <c r="F20" s="1"/>
  <c r="G49" l="1"/>
  <c r="G51" s="1"/>
  <c r="G52" s="1"/>
  <c r="G26" l="1"/>
  <c r="D15" i="5"/>
  <c r="V15" l="1"/>
  <c r="W15" s="1"/>
  <c r="O15"/>
  <c r="G13" i="17" l="1"/>
  <c r="E13"/>
  <c r="E25" s="1"/>
  <c r="C13"/>
  <c r="C25" s="1"/>
  <c r="J13"/>
  <c r="J25" s="1"/>
  <c r="H13"/>
  <c r="H25" s="1"/>
  <c r="I13"/>
  <c r="I25" s="1"/>
  <c r="F13"/>
  <c r="F25" s="1"/>
  <c r="M13"/>
  <c r="M25" s="1"/>
  <c r="K13"/>
  <c r="K25" s="1"/>
  <c r="D13"/>
  <c r="D25" s="1"/>
  <c r="L13"/>
  <c r="L25" s="1"/>
  <c r="B13"/>
  <c r="Y15" i="5"/>
  <c r="S15"/>
  <c r="R15"/>
  <c r="B14" i="13" s="1"/>
  <c r="Q15" i="5"/>
  <c r="E14" i="13" l="1"/>
  <c r="B38"/>
  <c r="G33" i="17"/>
  <c r="G25"/>
  <c r="I33" s="1"/>
  <c r="B25"/>
  <c r="C33"/>
  <c r="K33"/>
  <c r="G33" i="30" l="1"/>
  <c r="G35" s="1"/>
  <c r="G36" s="1"/>
  <c r="E38" i="13"/>
  <c r="E33" i="17"/>
  <c r="M33"/>
  <c r="G17" i="30" l="1"/>
  <c r="G10"/>
  <c r="G19" l="1"/>
  <c r="G20" s="1"/>
  <c r="H26" l="1"/>
  <c r="H36" s="1"/>
  <c r="H33" l="1"/>
  <c r="H35" s="1"/>
  <c r="H10" l="1"/>
  <c r="H17" l="1"/>
  <c r="H19" s="1"/>
  <c r="H20" s="1"/>
  <c r="I26" l="1"/>
  <c r="I33" l="1"/>
  <c r="I35" s="1"/>
  <c r="I36" s="1"/>
  <c r="I17" l="1"/>
  <c r="I10"/>
  <c r="I19" l="1"/>
  <c r="I20" s="1"/>
  <c r="J26" l="1"/>
  <c r="J36" s="1"/>
  <c r="J33" l="1"/>
  <c r="J35" s="1"/>
  <c r="J10" l="1"/>
  <c r="J20" s="1"/>
  <c r="J17" l="1"/>
  <c r="J19" s="1"/>
</calcChain>
</file>

<file path=xl/sharedStrings.xml><?xml version="1.0" encoding="utf-8"?>
<sst xmlns="http://schemas.openxmlformats.org/spreadsheetml/2006/main" count="329" uniqueCount="170">
  <si>
    <t>On-Peak Hours</t>
  </si>
  <si>
    <t>On-Peak</t>
  </si>
  <si>
    <t>Off-Peak</t>
  </si>
  <si>
    <t>Year</t>
  </si>
  <si>
    <t xml:space="preserve">Simple </t>
  </si>
  <si>
    <t>Fixed Costs</t>
  </si>
  <si>
    <t>($/kW-yr)</t>
  </si>
  <si>
    <t>Capitalized</t>
  </si>
  <si>
    <t>Energy Costs</t>
  </si>
  <si>
    <t>Costs</t>
  </si>
  <si>
    <t xml:space="preserve">Capitalized </t>
  </si>
  <si>
    <t>Combined</t>
  </si>
  <si>
    <t>Cycle CT</t>
  </si>
  <si>
    <t>($/MMBtu)</t>
  </si>
  <si>
    <t>Energy Cost</t>
  </si>
  <si>
    <t>Avoided</t>
  </si>
  <si>
    <t>Total</t>
  </si>
  <si>
    <t>Capitalized Energy Costs</t>
  </si>
  <si>
    <t>Total Avoided Energy Cost</t>
  </si>
  <si>
    <t>Total Avoided Costs</t>
  </si>
  <si>
    <t>At Stated Capacity Factor</t>
  </si>
  <si>
    <t>Total Avoided  Cost</t>
  </si>
  <si>
    <t>Columns</t>
  </si>
  <si>
    <t>(a)</t>
  </si>
  <si>
    <t>(b)</t>
  </si>
  <si>
    <t>(c)</t>
  </si>
  <si>
    <t>(d)</t>
  </si>
  <si>
    <t>(e)</t>
  </si>
  <si>
    <t>Avoided Firm</t>
  </si>
  <si>
    <t>Capacity</t>
  </si>
  <si>
    <t xml:space="preserve">Capacity Cost </t>
  </si>
  <si>
    <t>Allocated to</t>
  </si>
  <si>
    <t>Difference</t>
  </si>
  <si>
    <t>On- &amp; Off- Peak Energy Prices</t>
  </si>
  <si>
    <t>(f)</t>
  </si>
  <si>
    <t>Fuel Cost</t>
  </si>
  <si>
    <t>Table 3</t>
  </si>
  <si>
    <t>Table 4</t>
  </si>
  <si>
    <t>Table 5</t>
  </si>
  <si>
    <t>Table 6</t>
  </si>
  <si>
    <t>Table 7</t>
  </si>
  <si>
    <t>(g)</t>
  </si>
  <si>
    <t>(h)</t>
  </si>
  <si>
    <t>(i)</t>
  </si>
  <si>
    <t>$/kW</t>
  </si>
  <si>
    <t>$/kW-yr</t>
  </si>
  <si>
    <t>$/MWH</t>
  </si>
  <si>
    <t>$/MMBtu</t>
  </si>
  <si>
    <t>Estimated Capital Cost</t>
  </si>
  <si>
    <t>Fixed Capital Cost at Real Levelized Rate</t>
  </si>
  <si>
    <t>Fixed O&amp;M</t>
  </si>
  <si>
    <t>Variable O&amp;M</t>
  </si>
  <si>
    <t>Total O&amp;M at Expected CF</t>
  </si>
  <si>
    <t>Total Resource Fixed Costs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</si>
  <si>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</si>
  <si>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</si>
  <si>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</si>
  <si>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</si>
  <si>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</si>
  <si>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</si>
  <si>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</si>
  <si>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</si>
  <si>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</si>
  <si>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</si>
  <si>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</si>
  <si>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</si>
  <si>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Winter Season</t>
  </si>
  <si>
    <t>Summer Season</t>
  </si>
  <si>
    <t>Source: (a)(c)(d)</t>
  </si>
  <si>
    <t>aMW</t>
  </si>
  <si>
    <t>Avoided Resource</t>
  </si>
  <si>
    <t>Current</t>
  </si>
  <si>
    <t>Avoided Costs</t>
  </si>
  <si>
    <t>Proposed</t>
  </si>
  <si>
    <t>Comparison between Proposed and Current Avoided Costs</t>
  </si>
  <si>
    <t>Annual Seasonal Average</t>
  </si>
  <si>
    <t>Annual Average</t>
  </si>
  <si>
    <t>Cap Cost</t>
  </si>
  <si>
    <t>Fixed</t>
  </si>
  <si>
    <t>Heat Rate</t>
  </si>
  <si>
    <t>MW</t>
  </si>
  <si>
    <t>Table 1</t>
  </si>
  <si>
    <t>Table 2</t>
  </si>
  <si>
    <t xml:space="preserve">  Capitalized energy split 50% as Ordered by the Commission</t>
  </si>
  <si>
    <t>IRP Resource Energy Cost</t>
  </si>
  <si>
    <t>Percent</t>
  </si>
  <si>
    <t>CCCT Statistics</t>
  </si>
  <si>
    <t>Capacity Weighted</t>
  </si>
  <si>
    <t>CF</t>
  </si>
  <si>
    <t>Energy Weighted</t>
  </si>
  <si>
    <t>Number of Months of Capacity Payments</t>
  </si>
  <si>
    <t>Fixed Cost x No. Months</t>
  </si>
  <si>
    <t>Fixed Cost</t>
  </si>
  <si>
    <t>Peak</t>
  </si>
  <si>
    <t>Combined costs are 57% On-Peak 43% Off-Peak</t>
  </si>
  <si>
    <t>Source:</t>
  </si>
  <si>
    <t>Blended Resource</t>
  </si>
  <si>
    <t>Net Load</t>
  </si>
  <si>
    <t>Long Term Sales</t>
  </si>
  <si>
    <t>Total Requirements</t>
  </si>
  <si>
    <t>Long Term Purchases</t>
  </si>
  <si>
    <t>Thermal Generation</t>
  </si>
  <si>
    <t>Other Generation</t>
  </si>
  <si>
    <t>Reserves</t>
  </si>
  <si>
    <t>Total Resources after Reserves</t>
  </si>
  <si>
    <t>Surplus / (Deficit)</t>
  </si>
  <si>
    <t>Percent Surplus / (Deficit)</t>
  </si>
  <si>
    <t>Peak (July)</t>
  </si>
  <si>
    <t>Short Term Firm Sales</t>
  </si>
  <si>
    <t>Short Term Firm Purchase</t>
  </si>
  <si>
    <t>Table 8</t>
  </si>
  <si>
    <t>Total Cost of Displaceable Resources</t>
  </si>
  <si>
    <t>Page 1 of 3</t>
  </si>
  <si>
    <t xml:space="preserve">  MW Plant capacity</t>
  </si>
  <si>
    <t xml:space="preserve">  Plant capacity cost - in $/kW</t>
  </si>
  <si>
    <t xml:space="preserve">  Fixed O&amp;M plus on-going capital cost</t>
  </si>
  <si>
    <t xml:space="preserve">  Payment Factor</t>
  </si>
  <si>
    <t xml:space="preserve">  Capacity Factor</t>
  </si>
  <si>
    <t>Page 2 of 3</t>
  </si>
  <si>
    <t>Page 3 of 3</t>
  </si>
  <si>
    <t>Sources, Inputs and Assumptions</t>
  </si>
  <si>
    <t>Variable</t>
  </si>
  <si>
    <t>Rounded</t>
  </si>
  <si>
    <t>CCCT</t>
  </si>
  <si>
    <t>Duct Firing</t>
  </si>
  <si>
    <t>Table 9</t>
  </si>
  <si>
    <t>Burnertip</t>
  </si>
  <si>
    <t>Source</t>
  </si>
  <si>
    <t>Loads and Resources</t>
  </si>
  <si>
    <t>Gas Fuel Costs</t>
  </si>
  <si>
    <t>Delivered</t>
  </si>
  <si>
    <t xml:space="preserve">Combined </t>
  </si>
  <si>
    <t>Note:</t>
  </si>
  <si>
    <t>Avoided Costs (1)</t>
  </si>
  <si>
    <t xml:space="preserve">     by QFs will depend upon actual generation levels.</t>
  </si>
  <si>
    <t>Total Avoided Costs with Capacity Costs included at 85% Capacity Factor</t>
  </si>
  <si>
    <t xml:space="preserve">(1)  Avoided costs are presented at expected levels.  Actual prices received </t>
  </si>
  <si>
    <t>Discount Rate</t>
  </si>
  <si>
    <t>East Side Gas</t>
  </si>
  <si>
    <t>Natural Gas Price - Delivered to Plant</t>
  </si>
  <si>
    <t>($/MWH)</t>
  </si>
  <si>
    <t>SCCT Frame (2 Frame "F" - Utah) - East Side Resource (4500')</t>
  </si>
  <si>
    <t xml:space="preserve">  Fixed Pipeline Costs in $/MWH - Commission Order</t>
  </si>
  <si>
    <t>Peak (January)</t>
  </si>
  <si>
    <t>Table 10</t>
  </si>
  <si>
    <t>Market Price $/MWH</t>
  </si>
  <si>
    <t>HLH</t>
  </si>
  <si>
    <t>LLH</t>
  </si>
  <si>
    <t>Mid-Columbia</t>
  </si>
  <si>
    <t>Palo Verde</t>
  </si>
  <si>
    <t>Electricity Market Prices</t>
  </si>
  <si>
    <t>Company Official Inflation Forecast  - Dated March 2010</t>
  </si>
  <si>
    <t>month offset</t>
  </si>
  <si>
    <t>CCCT (Dry "F" 2x1)  - East Side Resource (4500')</t>
  </si>
  <si>
    <t>CCCT Duct Firing (Dry "F" 2x1)</t>
  </si>
  <si>
    <t>CCCT (Dry "F" 2x1)</t>
  </si>
  <si>
    <t xml:space="preserve">  Plant capacity cost</t>
  </si>
  <si>
    <t xml:space="preserve">  Total Variable O&amp;M Costs in $/MWh includes Fixed Pipeline Costs (See Below)</t>
  </si>
  <si>
    <t xml:space="preserve">  Variable O&amp;M Costs in $/MWh </t>
  </si>
  <si>
    <t xml:space="preserve">  Fixed Pipeline Costs in $/MWH</t>
  </si>
  <si>
    <t xml:space="preserve">  Heat Rate in btu/kWh</t>
  </si>
  <si>
    <t xml:space="preserve">  Energy Weighted Capacity Factor</t>
  </si>
  <si>
    <t>Plant Costs 2011 IRP Update - [Table 6.1 &amp; 6.3]</t>
  </si>
  <si>
    <t xml:space="preserve">  Avoided Costs Approved by the Commission July 7, 2010</t>
  </si>
  <si>
    <t>2011 through 2015</t>
  </si>
  <si>
    <t>Official Forward Price Curve dated March 2011</t>
  </si>
  <si>
    <t>Company Official Inflation Forecast Dated 2011 March</t>
  </si>
  <si>
    <t>Note: 2011 is for the period July through December 2011</t>
  </si>
  <si>
    <t>GRID Production Cost Computer Model Study</t>
  </si>
  <si>
    <t>(2)  Discount Rate - Company Official Discount Rate - Dated March 2011</t>
  </si>
</sst>
</file>

<file path=xl/styles.xml><?xml version="1.0" encoding="utf-8"?>
<styleSheet xmlns="http://schemas.openxmlformats.org/spreadsheetml/2006/main">
  <numFmts count="18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"/>
    <numFmt numFmtId="167" formatCode="&quot;$&quot;#,##0.00"/>
    <numFmt numFmtId="168" formatCode="_(&quot;$&quot;* #,##0.00_);_(&quot;$&quot;* \(#,##0.00\);_(&quot;$&quot;* &quot;-&quot;?_);_(@_)"/>
    <numFmt numFmtId="169" formatCode="0.0%"/>
    <numFmt numFmtId="170" formatCode="_(* #,##0.0_);_(* \(#,##0.0\);_(* &quot;-&quot;??_);_(@_)"/>
    <numFmt numFmtId="171" formatCode="mmm"/>
    <numFmt numFmtId="172" formatCode="&quot;$&quot;###0;[Red]\(&quot;$&quot;###0\)"/>
    <numFmt numFmtId="173" formatCode="_(&quot;$&quot;* #,##0_);_(&quot;$&quot;* \(#,##0\);_(&quot;$&quot;* &quot;-&quot;??_);_(@_)"/>
    <numFmt numFmtId="174" formatCode="_(* #,##0.000_);_(* \(#,##0.000\);_(* &quot;-&quot;_);_(@_)"/>
    <numFmt numFmtId="175" formatCode="&quot;$&quot;#,##0.000_);[Red]\(&quot;$&quot;#,##0.000\)"/>
    <numFmt numFmtId="176" formatCode="_(* #,##0_);[Red]_(* \(#,##0\);_(* &quot;-&quot;_);_(@_)"/>
  </numFmts>
  <fonts count="25"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b/>
      <i/>
      <sz val="8"/>
      <color indexed="18"/>
      <name val="Helv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u/>
      <sz val="12"/>
      <name val="Times New Roman"/>
      <family val="1"/>
    </font>
    <font>
      <b/>
      <u/>
      <sz val="10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176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5" fillId="0" borderId="0" applyFont="0" applyFill="0" applyBorder="0" applyProtection="0">
      <alignment horizontal="right"/>
    </xf>
    <xf numFmtId="0" fontId="14" fillId="0" borderId="0" applyNumberFormat="0" applyFill="0" applyBorder="0" applyAlignment="0">
      <protection locked="0"/>
    </xf>
    <xf numFmtId="165" fontId="16" fillId="0" borderId="0" applyNumberFormat="0" applyFill="0" applyBorder="0" applyAlignment="0" applyProtection="0"/>
    <xf numFmtId="0" fontId="17" fillId="0" borderId="1" applyNumberFormat="0" applyBorder="0" applyAlignment="0"/>
    <xf numFmtId="41" fontId="3" fillId="0" borderId="0"/>
    <xf numFmtId="0" fontId="3" fillId="0" borderId="0"/>
    <xf numFmtId="176" fontId="3" fillId="0" borderId="0"/>
    <xf numFmtId="0" fontId="1" fillId="0" borderId="0"/>
    <xf numFmtId="176" fontId="1" fillId="0" borderId="0"/>
    <xf numFmtId="12" fontId="13" fillId="2" borderId="2">
      <alignment horizontal="left"/>
    </xf>
    <xf numFmtId="9" fontId="1" fillId="0" borderId="0" applyFont="0" applyFill="0" applyBorder="0" applyAlignment="0" applyProtection="0"/>
    <xf numFmtId="37" fontId="17" fillId="3" borderId="0" applyNumberFormat="0" applyBorder="0" applyAlignment="0" applyProtection="0"/>
    <xf numFmtId="37" fontId="18" fillId="0" borderId="0"/>
    <xf numFmtId="3" fontId="19" fillId="4" borderId="3" applyProtection="0"/>
  </cellStyleXfs>
  <cellXfs count="289">
    <xf numFmtId="176" fontId="0" fillId="0" borderId="0" xfId="0"/>
    <xf numFmtId="176" fontId="4" fillId="0" borderId="0" xfId="0" applyFont="1" applyFill="1" applyAlignment="1">
      <alignment horizontal="centerContinuous"/>
    </xf>
    <xf numFmtId="176" fontId="11" fillId="0" borderId="0" xfId="0" applyFont="1" applyFill="1"/>
    <xf numFmtId="176" fontId="11" fillId="0" borderId="0" xfId="0" applyFont="1" applyFill="1" applyBorder="1"/>
    <xf numFmtId="176" fontId="11" fillId="0" borderId="4" xfId="0" applyFont="1" applyFill="1" applyBorder="1" applyAlignment="1">
      <alignment horizontal="center"/>
    </xf>
    <xf numFmtId="8" fontId="11" fillId="0" borderId="0" xfId="0" applyNumberFormat="1" applyFont="1" applyFill="1" applyBorder="1" applyAlignment="1">
      <alignment horizontal="center"/>
    </xf>
    <xf numFmtId="176" fontId="3" fillId="0" borderId="0" xfId="0" applyFont="1" applyFill="1"/>
    <xf numFmtId="176" fontId="5" fillId="0" borderId="0" xfId="0" applyFont="1" applyFill="1" applyAlignment="1">
      <alignment horizontal="centerContinuous"/>
    </xf>
    <xf numFmtId="176" fontId="3" fillId="0" borderId="5" xfId="0" applyFont="1" applyFill="1" applyBorder="1" applyAlignment="1">
      <alignment horizontal="centerContinuous"/>
    </xf>
    <xf numFmtId="176" fontId="3" fillId="0" borderId="0" xfId="0" applyFont="1" applyFill="1" applyBorder="1"/>
    <xf numFmtId="176" fontId="3" fillId="0" borderId="0" xfId="0" applyFont="1" applyFill="1" applyBorder="1" applyAlignment="1">
      <alignment horizontal="center"/>
    </xf>
    <xf numFmtId="176" fontId="3" fillId="0" borderId="0" xfId="0" applyFont="1" applyFill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8" fontId="7" fillId="0" borderId="0" xfId="0" applyNumberFormat="1" applyFont="1" applyFill="1" applyAlignment="1">
      <alignment horizontal="center"/>
    </xf>
    <xf numFmtId="176" fontId="11" fillId="0" borderId="6" xfId="0" applyFont="1" applyFill="1" applyBorder="1" applyAlignment="1">
      <alignment horizontal="center"/>
    </xf>
    <xf numFmtId="176" fontId="11" fillId="0" borderId="7" xfId="0" applyFont="1" applyFill="1" applyBorder="1" applyAlignment="1">
      <alignment horizontal="center"/>
    </xf>
    <xf numFmtId="176" fontId="8" fillId="0" borderId="0" xfId="0" applyFont="1" applyFill="1"/>
    <xf numFmtId="176" fontId="3" fillId="0" borderId="0" xfId="0" quotePrefix="1" applyFont="1" applyFill="1" applyBorder="1" applyAlignment="1">
      <alignment horizontal="center"/>
    </xf>
    <xf numFmtId="176" fontId="8" fillId="0" borderId="0" xfId="0" applyFont="1" applyFill="1" applyAlignment="1">
      <alignment horizontal="centerContinuous"/>
    </xf>
    <xf numFmtId="176" fontId="9" fillId="0" borderId="0" xfId="0" applyFont="1" applyFill="1"/>
    <xf numFmtId="176" fontId="3" fillId="0" borderId="0" xfId="0" quotePrefix="1" applyFont="1" applyFill="1" applyAlignment="1">
      <alignment horizontal="right"/>
    </xf>
    <xf numFmtId="176" fontId="4" fillId="0" borderId="0" xfId="0" applyFont="1" applyFill="1" applyBorder="1" applyAlignment="1">
      <alignment horizontal="center"/>
    </xf>
    <xf numFmtId="176" fontId="5" fillId="0" borderId="0" xfId="0" applyFont="1" applyFill="1" applyBorder="1" applyAlignment="1">
      <alignment horizontal="center"/>
    </xf>
    <xf numFmtId="8" fontId="7" fillId="0" borderId="0" xfId="0" applyNumberFormat="1" applyFont="1" applyFill="1" applyAlignment="1">
      <alignment horizontal="centerContinuous"/>
    </xf>
    <xf numFmtId="176" fontId="7" fillId="0" borderId="0" xfId="0" quotePrefix="1" applyFont="1" applyFill="1" applyAlignment="1">
      <alignment horizontal="center"/>
    </xf>
    <xf numFmtId="8" fontId="7" fillId="0" borderId="0" xfId="0" applyNumberFormat="1" applyFont="1" applyFill="1" applyAlignment="1"/>
    <xf numFmtId="176" fontId="2" fillId="0" borderId="0" xfId="0" applyFont="1" applyFill="1" applyBorder="1" applyAlignment="1">
      <alignment horizontal="left"/>
    </xf>
    <xf numFmtId="8" fontId="3" fillId="0" borderId="0" xfId="0" applyNumberFormat="1" applyFont="1" applyFill="1" applyBorder="1" applyAlignment="1">
      <alignment horizontal="centerContinuous"/>
    </xf>
    <xf numFmtId="176" fontId="9" fillId="0" borderId="0" xfId="0" applyFont="1" applyFill="1" applyAlignment="1">
      <alignment horizontal="centerContinuous"/>
    </xf>
    <xf numFmtId="176" fontId="4" fillId="0" borderId="0" xfId="0" applyFont="1" applyFill="1" applyBorder="1" applyAlignment="1">
      <alignment horizontal="centerContinuous"/>
    </xf>
    <xf numFmtId="176" fontId="5" fillId="0" borderId="0" xfId="0" applyFont="1" applyFill="1" applyBorder="1" applyAlignment="1">
      <alignment horizontal="centerContinuous"/>
    </xf>
    <xf numFmtId="8" fontId="7" fillId="0" borderId="0" xfId="0" applyNumberFormat="1" applyFont="1" applyFill="1" applyBorder="1" applyAlignment="1">
      <alignment horizontal="left"/>
    </xf>
    <xf numFmtId="176" fontId="3" fillId="0" borderId="0" xfId="0" quotePrefix="1" applyFont="1" applyFill="1" applyBorder="1" applyAlignment="1">
      <alignment horizontal="left"/>
    </xf>
    <xf numFmtId="176" fontId="11" fillId="0" borderId="8" xfId="0" applyFont="1" applyFill="1" applyBorder="1" applyAlignment="1">
      <alignment horizontal="centerContinuous"/>
    </xf>
    <xf numFmtId="176" fontId="11" fillId="0" borderId="0" xfId="0" applyFont="1" applyFill="1" applyBorder="1" applyAlignment="1">
      <alignment horizontal="center"/>
    </xf>
    <xf numFmtId="176" fontId="11" fillId="0" borderId="9" xfId="0" applyFont="1" applyFill="1" applyBorder="1" applyAlignment="1">
      <alignment horizontal="centerContinuous"/>
    </xf>
    <xf numFmtId="176" fontId="11" fillId="0" borderId="4" xfId="0" applyFont="1" applyFill="1" applyBorder="1"/>
    <xf numFmtId="176" fontId="11" fillId="0" borderId="6" xfId="0" applyFont="1" applyFill="1" applyBorder="1"/>
    <xf numFmtId="176" fontId="11" fillId="0" borderId="10" xfId="0" applyFont="1" applyFill="1" applyBorder="1"/>
    <xf numFmtId="176" fontId="11" fillId="0" borderId="10" xfId="0" applyFont="1" applyFill="1" applyBorder="1" applyAlignment="1">
      <alignment horizontal="center"/>
    </xf>
    <xf numFmtId="176" fontId="11" fillId="0" borderId="0" xfId="0" quotePrefix="1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176" fontId="11" fillId="0" borderId="11" xfId="0" applyFont="1" applyFill="1" applyBorder="1" applyAlignment="1">
      <alignment horizontal="centerContinuous"/>
    </xf>
    <xf numFmtId="176" fontId="11" fillId="0" borderId="4" xfId="0" applyFont="1" applyFill="1" applyBorder="1" applyAlignment="1">
      <alignment horizontal="centerContinuous"/>
    </xf>
    <xf numFmtId="176" fontId="11" fillId="0" borderId="12" xfId="0" applyFont="1" applyFill="1" applyBorder="1" applyAlignment="1">
      <alignment horizontal="center"/>
    </xf>
    <xf numFmtId="176" fontId="11" fillId="0" borderId="13" xfId="0" applyFont="1" applyFill="1" applyBorder="1" applyAlignment="1">
      <alignment horizontal="centerContinuous"/>
    </xf>
    <xf numFmtId="176" fontId="11" fillId="0" borderId="14" xfId="0" applyFont="1" applyFill="1" applyBorder="1" applyAlignment="1">
      <alignment horizontal="centerContinuous"/>
    </xf>
    <xf numFmtId="176" fontId="11" fillId="0" borderId="12" xfId="0" applyFont="1" applyFill="1" applyBorder="1"/>
    <xf numFmtId="17" fontId="11" fillId="0" borderId="12" xfId="0" applyNumberFormat="1" applyFont="1" applyFill="1" applyBorder="1" applyAlignment="1">
      <alignment horizontal="centerContinuous"/>
    </xf>
    <xf numFmtId="17" fontId="11" fillId="0" borderId="7" xfId="0" applyNumberFormat="1" applyFont="1" applyFill="1" applyBorder="1" applyAlignment="1">
      <alignment horizontal="centerContinuous"/>
    </xf>
    <xf numFmtId="17" fontId="11" fillId="0" borderId="7" xfId="0" applyNumberFormat="1" applyFont="1" applyFill="1" applyBorder="1" applyAlignment="1">
      <alignment horizontal="center"/>
    </xf>
    <xf numFmtId="176" fontId="11" fillId="0" borderId="15" xfId="0" applyFont="1" applyFill="1" applyBorder="1"/>
    <xf numFmtId="176" fontId="11" fillId="0" borderId="15" xfId="0" applyFont="1" applyFill="1" applyBorder="1" applyAlignment="1">
      <alignment horizontal="centerContinuous"/>
    </xf>
    <xf numFmtId="176" fontId="11" fillId="0" borderId="16" xfId="0" applyFont="1" applyFill="1" applyBorder="1" applyAlignment="1">
      <alignment horizontal="centerContinuous"/>
    </xf>
    <xf numFmtId="176" fontId="11" fillId="0" borderId="16" xfId="0" applyFont="1" applyFill="1" applyBorder="1" applyAlignment="1">
      <alignment horizontal="center"/>
    </xf>
    <xf numFmtId="176" fontId="11" fillId="0" borderId="0" xfId="0" quotePrefix="1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horizontal="right"/>
    </xf>
    <xf numFmtId="176" fontId="11" fillId="0" borderId="13" xfId="0" applyFont="1" applyFill="1" applyBorder="1" applyAlignment="1">
      <alignment horizontal="center"/>
    </xf>
    <xf numFmtId="176" fontId="11" fillId="0" borderId="14" xfId="0" applyFont="1" applyFill="1" applyBorder="1" applyAlignment="1">
      <alignment horizontal="center"/>
    </xf>
    <xf numFmtId="176" fontId="11" fillId="0" borderId="12" xfId="0" applyFont="1" applyFill="1" applyBorder="1" applyAlignment="1">
      <alignment horizontal="centerContinuous"/>
    </xf>
    <xf numFmtId="9" fontId="11" fillId="0" borderId="6" xfId="13" applyFont="1" applyFill="1" applyBorder="1" applyAlignment="1">
      <alignment horizontal="center"/>
    </xf>
    <xf numFmtId="176" fontId="11" fillId="0" borderId="11" xfId="0" quotePrefix="1" applyFont="1" applyFill="1" applyBorder="1" applyAlignment="1">
      <alignment horizontal="centerContinuous"/>
    </xf>
    <xf numFmtId="176" fontId="11" fillId="0" borderId="8" xfId="0" quotePrefix="1" applyFont="1" applyFill="1" applyBorder="1" applyAlignment="1">
      <alignment horizontal="centerContinuous"/>
    </xf>
    <xf numFmtId="176" fontId="11" fillId="0" borderId="0" xfId="0" quotePrefix="1" applyFont="1" applyFill="1"/>
    <xf numFmtId="41" fontId="3" fillId="0" borderId="0" xfId="7" applyFont="1" applyFill="1"/>
    <xf numFmtId="41" fontId="3" fillId="0" borderId="0" xfId="7" applyFont="1" applyFill="1" applyAlignment="1">
      <alignment horizontal="left"/>
    </xf>
    <xf numFmtId="169" fontId="3" fillId="0" borderId="0" xfId="13" applyNumberFormat="1" applyFont="1" applyFill="1"/>
    <xf numFmtId="169" fontId="10" fillId="0" borderId="0" xfId="13" applyNumberFormat="1" applyFont="1" applyFill="1"/>
    <xf numFmtId="41" fontId="10" fillId="0" borderId="0" xfId="7" applyFont="1" applyFill="1"/>
    <xf numFmtId="164" fontId="10" fillId="0" borderId="0" xfId="7" applyNumberFormat="1" applyFont="1" applyFill="1"/>
    <xf numFmtId="0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center"/>
    </xf>
    <xf numFmtId="176" fontId="3" fillId="0" borderId="11" xfId="0" applyFont="1" applyFill="1" applyBorder="1" applyAlignment="1">
      <alignment horizontal="center"/>
    </xf>
    <xf numFmtId="173" fontId="3" fillId="0" borderId="0" xfId="2" applyNumberFormat="1" applyFont="1" applyFill="1"/>
    <xf numFmtId="8" fontId="3" fillId="0" borderId="7" xfId="0" applyNumberFormat="1" applyFont="1" applyFill="1" applyBorder="1" applyAlignment="1">
      <alignment horizontal="center"/>
    </xf>
    <xf numFmtId="8" fontId="3" fillId="0" borderId="12" xfId="0" applyNumberFormat="1" applyFont="1" applyFill="1" applyBorder="1" applyAlignment="1">
      <alignment horizontal="center"/>
    </xf>
    <xf numFmtId="176" fontId="3" fillId="0" borderId="0" xfId="0" quotePrefix="1" applyFont="1" applyFill="1" applyBorder="1"/>
    <xf numFmtId="176" fontId="3" fillId="0" borderId="0" xfId="0" applyFont="1" applyFill="1" applyBorder="1" applyAlignment="1">
      <alignment horizontal="left"/>
    </xf>
    <xf numFmtId="176" fontId="3" fillId="0" borderId="0" xfId="0" quotePrefix="1" applyFont="1" applyFill="1"/>
    <xf numFmtId="176" fontId="3" fillId="0" borderId="8" xfId="0" applyFont="1" applyFill="1" applyBorder="1" applyAlignment="1">
      <alignment horizontal="centerContinuous"/>
    </xf>
    <xf numFmtId="176" fontId="3" fillId="0" borderId="17" xfId="0" applyFont="1" applyFill="1" applyBorder="1" applyAlignment="1">
      <alignment horizontal="centerContinuous"/>
    </xf>
    <xf numFmtId="176" fontId="3" fillId="0" borderId="0" xfId="0" applyFont="1" applyFill="1" applyAlignment="1">
      <alignment horizontal="right"/>
    </xf>
    <xf numFmtId="176" fontId="3" fillId="0" borderId="0" xfId="0" applyFont="1" applyFill="1" applyBorder="1" applyAlignment="1">
      <alignment horizontal="right"/>
    </xf>
    <xf numFmtId="8" fontId="3" fillId="0" borderId="0" xfId="0" applyNumberFormat="1" applyFont="1" applyFill="1"/>
    <xf numFmtId="167" fontId="3" fillId="0" borderId="0" xfId="0" applyNumberFormat="1" applyFont="1" applyFill="1" applyAlignment="1">
      <alignment horizontal="left"/>
    </xf>
    <xf numFmtId="8" fontId="2" fillId="0" borderId="0" xfId="0" applyNumberFormat="1" applyFont="1" applyFill="1" applyBorder="1" applyAlignment="1">
      <alignment horizontal="centerContinuous"/>
    </xf>
    <xf numFmtId="176" fontId="3" fillId="0" borderId="0" xfId="0" applyFont="1" applyFill="1" applyBorder="1" applyAlignment="1">
      <alignment horizontal="centerContinuous"/>
    </xf>
    <xf numFmtId="0" fontId="3" fillId="0" borderId="13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167" fontId="3" fillId="0" borderId="0" xfId="0" applyNumberFormat="1" applyFont="1" applyFill="1"/>
    <xf numFmtId="0" fontId="3" fillId="0" borderId="15" xfId="0" applyNumberFormat="1" applyFont="1" applyFill="1" applyBorder="1" applyAlignment="1">
      <alignment horizontal="center"/>
    </xf>
    <xf numFmtId="8" fontId="3" fillId="0" borderId="18" xfId="0" applyNumberFormat="1" applyFont="1" applyFill="1" applyBorder="1" applyAlignment="1">
      <alignment horizontal="center"/>
    </xf>
    <xf numFmtId="8" fontId="3" fillId="0" borderId="14" xfId="0" applyNumberFormat="1" applyFont="1" applyFill="1" applyBorder="1" applyAlignment="1">
      <alignment horizontal="center"/>
    </xf>
    <xf numFmtId="167" fontId="3" fillId="0" borderId="18" xfId="0" applyNumberFormat="1" applyFont="1" applyFill="1" applyBorder="1" applyAlignment="1">
      <alignment horizontal="center"/>
    </xf>
    <xf numFmtId="167" fontId="3" fillId="0" borderId="14" xfId="0" applyNumberFormat="1" applyFont="1" applyFill="1" applyBorder="1" applyAlignment="1">
      <alignment horizontal="center"/>
    </xf>
    <xf numFmtId="167" fontId="3" fillId="0" borderId="7" xfId="0" applyNumberFormat="1" applyFont="1" applyFill="1" applyBorder="1" applyAlignment="1">
      <alignment horizontal="center"/>
    </xf>
    <xf numFmtId="8" fontId="3" fillId="0" borderId="9" xfId="0" applyNumberFormat="1" applyFont="1" applyFill="1" applyBorder="1" applyAlignment="1">
      <alignment horizontal="center"/>
    </xf>
    <xf numFmtId="167" fontId="3" fillId="0" borderId="9" xfId="0" applyNumberFormat="1" applyFont="1" applyFill="1" applyBorder="1" applyAlignment="1">
      <alignment horizontal="center"/>
    </xf>
    <xf numFmtId="8" fontId="3" fillId="0" borderId="16" xfId="0" applyNumberFormat="1" applyFont="1" applyFill="1" applyBorder="1" applyAlignment="1">
      <alignment horizontal="center"/>
    </xf>
    <xf numFmtId="167" fontId="3" fillId="0" borderId="16" xfId="0" applyNumberFormat="1" applyFont="1" applyFill="1" applyBorder="1" applyAlignment="1">
      <alignment horizontal="center"/>
    </xf>
    <xf numFmtId="8" fontId="3" fillId="0" borderId="13" xfId="0" applyNumberFormat="1" applyFont="1" applyFill="1" applyBorder="1" applyAlignment="1">
      <alignment horizontal="center"/>
    </xf>
    <xf numFmtId="8" fontId="3" fillId="0" borderId="15" xfId="0" applyNumberFormat="1" applyFont="1" applyFill="1" applyBorder="1" applyAlignment="1">
      <alignment horizontal="center"/>
    </xf>
    <xf numFmtId="176" fontId="6" fillId="0" borderId="0" xfId="0" applyFont="1" applyFill="1" applyBorder="1" applyAlignment="1">
      <alignment horizontal="center"/>
    </xf>
    <xf numFmtId="176" fontId="6" fillId="0" borderId="0" xfId="0" quotePrefix="1" applyFont="1" applyFill="1" applyBorder="1" applyAlignment="1">
      <alignment horizontal="center"/>
    </xf>
    <xf numFmtId="8" fontId="11" fillId="0" borderId="0" xfId="0" applyNumberFormat="1" applyFont="1" applyFill="1" applyAlignment="1">
      <alignment horizontal="center"/>
    </xf>
    <xf numFmtId="8" fontId="7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176" fontId="3" fillId="0" borderId="0" xfId="9" applyFont="1" applyFill="1"/>
    <xf numFmtId="176" fontId="4" fillId="0" borderId="0" xfId="9" applyFont="1" applyFill="1" applyAlignment="1">
      <alignment horizontal="centerContinuous"/>
    </xf>
    <xf numFmtId="176" fontId="3" fillId="0" borderId="0" xfId="9" applyFont="1" applyFill="1" applyBorder="1" applyAlignment="1">
      <alignment horizontal="centerContinuous"/>
    </xf>
    <xf numFmtId="176" fontId="3" fillId="0" borderId="0" xfId="9" applyFont="1" applyFill="1" applyBorder="1"/>
    <xf numFmtId="176" fontId="2" fillId="0" borderId="4" xfId="9" applyFont="1" applyFill="1" applyBorder="1" applyAlignment="1">
      <alignment horizontal="center"/>
    </xf>
    <xf numFmtId="176" fontId="2" fillId="0" borderId="4" xfId="9" applyFont="1" applyFill="1" applyBorder="1" applyAlignment="1">
      <alignment horizontal="center" wrapText="1"/>
    </xf>
    <xf numFmtId="176" fontId="12" fillId="0" borderId="10" xfId="9" applyFont="1" applyFill="1" applyBorder="1" applyAlignment="1">
      <alignment horizontal="centerContinuous"/>
    </xf>
    <xf numFmtId="176" fontId="21" fillId="0" borderId="10" xfId="9" quotePrefix="1" applyFont="1" applyFill="1" applyBorder="1" applyAlignment="1">
      <alignment horizontal="center" wrapText="1"/>
    </xf>
    <xf numFmtId="176" fontId="21" fillId="0" borderId="10" xfId="9" applyFont="1" applyFill="1" applyBorder="1" applyAlignment="1">
      <alignment horizontal="center" wrapText="1"/>
    </xf>
    <xf numFmtId="176" fontId="6" fillId="0" borderId="0" xfId="9" quotePrefix="1" applyFont="1" applyFill="1" applyBorder="1" applyAlignment="1">
      <alignment horizontal="center"/>
    </xf>
    <xf numFmtId="176" fontId="22" fillId="0" borderId="0" xfId="9" applyFont="1" applyFill="1" applyBorder="1"/>
    <xf numFmtId="0" fontId="3" fillId="0" borderId="0" xfId="9" applyNumberFormat="1" applyFont="1" applyFill="1"/>
    <xf numFmtId="8" fontId="3" fillId="0" borderId="0" xfId="9" applyNumberFormat="1" applyFont="1" applyFill="1" applyBorder="1"/>
    <xf numFmtId="176" fontId="2" fillId="0" borderId="19" xfId="9" applyFont="1" applyFill="1" applyBorder="1" applyAlignment="1">
      <alignment horizontal="centerContinuous"/>
    </xf>
    <xf numFmtId="176" fontId="2" fillId="0" borderId="20" xfId="9" applyFont="1" applyFill="1" applyBorder="1" applyAlignment="1">
      <alignment horizontal="centerContinuous"/>
    </xf>
    <xf numFmtId="176" fontId="2" fillId="0" borderId="21" xfId="9" applyFont="1" applyFill="1" applyBorder="1" applyAlignment="1">
      <alignment horizontal="centerContinuous"/>
    </xf>
    <xf numFmtId="41" fontId="2" fillId="0" borderId="20" xfId="7" applyFont="1" applyFill="1" applyBorder="1" applyAlignment="1">
      <alignment horizontal="centerContinuous"/>
    </xf>
    <xf numFmtId="41" fontId="2" fillId="0" borderId="22" xfId="7" applyFont="1" applyFill="1" applyBorder="1" applyAlignment="1">
      <alignment horizontal="centerContinuous"/>
    </xf>
    <xf numFmtId="9" fontId="3" fillId="0" borderId="0" xfId="9" applyNumberFormat="1" applyFont="1" applyFill="1"/>
    <xf numFmtId="176" fontId="2" fillId="0" borderId="4" xfId="9" applyFont="1" applyFill="1" applyBorder="1" applyAlignment="1">
      <alignment horizontal="centerContinuous" wrapText="1"/>
    </xf>
    <xf numFmtId="174" fontId="3" fillId="0" borderId="0" xfId="9" applyNumberFormat="1" applyFont="1" applyFill="1"/>
    <xf numFmtId="176" fontId="5" fillId="0" borderId="0" xfId="9" applyFont="1" applyFill="1" applyAlignment="1">
      <alignment horizontal="centerContinuous"/>
    </xf>
    <xf numFmtId="176" fontId="2" fillId="0" borderId="0" xfId="9" applyFont="1" applyFill="1" applyAlignment="1">
      <alignment horizontal="centerContinuous"/>
    </xf>
    <xf numFmtId="176" fontId="3" fillId="0" borderId="0" xfId="9" applyFont="1" applyFill="1" applyAlignment="1">
      <alignment horizontal="center"/>
    </xf>
    <xf numFmtId="41" fontId="3" fillId="0" borderId="0" xfId="9" applyNumberFormat="1" applyFont="1" applyFill="1" applyBorder="1"/>
    <xf numFmtId="175" fontId="3" fillId="0" borderId="0" xfId="9" applyNumberFormat="1" applyFont="1" applyFill="1" applyBorder="1"/>
    <xf numFmtId="176" fontId="2" fillId="0" borderId="11" xfId="9" applyFont="1" applyFill="1" applyBorder="1" applyAlignment="1">
      <alignment horizontal="centerContinuous"/>
    </xf>
    <xf numFmtId="176" fontId="2" fillId="0" borderId="5" xfId="9" applyFont="1" applyFill="1" applyBorder="1" applyAlignment="1">
      <alignment horizontal="centerContinuous"/>
    </xf>
    <xf numFmtId="176" fontId="2" fillId="0" borderId="11" xfId="9" applyFont="1" applyFill="1" applyBorder="1" applyAlignment="1">
      <alignment horizontal="center"/>
    </xf>
    <xf numFmtId="41" fontId="3" fillId="0" borderId="0" xfId="9" applyNumberFormat="1" applyFont="1" applyFill="1"/>
    <xf numFmtId="6" fontId="3" fillId="0" borderId="0" xfId="2" applyNumberFormat="1" applyFont="1" applyFill="1"/>
    <xf numFmtId="8" fontId="3" fillId="0" borderId="0" xfId="2" applyNumberFormat="1" applyFont="1" applyFill="1"/>
    <xf numFmtId="41" fontId="10" fillId="0" borderId="0" xfId="9" applyNumberFormat="1" applyFont="1" applyFill="1"/>
    <xf numFmtId="6" fontId="10" fillId="0" borderId="0" xfId="2" applyNumberFormat="1" applyFont="1" applyFill="1"/>
    <xf numFmtId="8" fontId="10" fillId="0" borderId="0" xfId="2" applyNumberFormat="1" applyFont="1" applyFill="1"/>
    <xf numFmtId="176" fontId="3" fillId="0" borderId="0" xfId="9" applyFont="1" applyFill="1" applyAlignment="1">
      <alignment horizontal="left"/>
    </xf>
    <xf numFmtId="176" fontId="10" fillId="0" borderId="0" xfId="9" applyFont="1" applyFill="1"/>
    <xf numFmtId="43" fontId="10" fillId="0" borderId="0" xfId="2" applyNumberFormat="1" applyFont="1" applyFill="1"/>
    <xf numFmtId="164" fontId="6" fillId="0" borderId="0" xfId="9" applyNumberFormat="1" applyFont="1" applyFill="1" applyAlignment="1">
      <alignment horizontal="right"/>
    </xf>
    <xf numFmtId="176" fontId="2" fillId="0" borderId="8" xfId="9" applyFont="1" applyFill="1" applyBorder="1" applyAlignment="1">
      <alignment horizontal="centerContinuous"/>
    </xf>
    <xf numFmtId="10" fontId="3" fillId="0" borderId="0" xfId="9" applyNumberFormat="1" applyFont="1" applyFill="1"/>
    <xf numFmtId="1" fontId="3" fillId="0" borderId="0" xfId="9" applyNumberFormat="1" applyFont="1" applyFill="1"/>
    <xf numFmtId="176" fontId="2" fillId="0" borderId="6" xfId="9" applyFont="1" applyFill="1" applyBorder="1" applyAlignment="1">
      <alignment horizontal="center"/>
    </xf>
    <xf numFmtId="176" fontId="3" fillId="0" borderId="10" xfId="9" applyFont="1" applyFill="1" applyBorder="1"/>
    <xf numFmtId="176" fontId="2" fillId="0" borderId="10" xfId="9" applyFont="1" applyFill="1" applyBorder="1" applyAlignment="1">
      <alignment horizontal="center"/>
    </xf>
    <xf numFmtId="176" fontId="3" fillId="0" borderId="0" xfId="9" applyFont="1" applyFill="1" applyBorder="1" applyAlignment="1">
      <alignment horizontal="center"/>
    </xf>
    <xf numFmtId="176" fontId="3" fillId="0" borderId="0" xfId="9" quotePrefix="1" applyFont="1" applyFill="1" applyBorder="1" applyAlignment="1">
      <alignment horizontal="center"/>
    </xf>
    <xf numFmtId="0" fontId="3" fillId="0" borderId="0" xfId="9" applyNumberFormat="1" applyFont="1" applyFill="1" applyAlignment="1">
      <alignment horizontal="center"/>
    </xf>
    <xf numFmtId="167" fontId="3" fillId="0" borderId="0" xfId="9" applyNumberFormat="1" applyFont="1" applyFill="1" applyBorder="1" applyAlignment="1">
      <alignment horizontal="center"/>
    </xf>
    <xf numFmtId="176" fontId="23" fillId="0" borderId="0" xfId="9" applyFont="1" applyFill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76" fontId="11" fillId="0" borderId="11" xfId="0" applyFont="1" applyFill="1" applyBorder="1" applyAlignment="1">
      <alignment horizontal="center"/>
    </xf>
    <xf numFmtId="176" fontId="2" fillId="0" borderId="0" xfId="0" applyFont="1" applyFill="1" applyBorder="1" applyAlignment="1">
      <alignment horizontal="centerContinuous"/>
    </xf>
    <xf numFmtId="38" fontId="3" fillId="0" borderId="14" xfId="0" applyNumberFormat="1" applyFont="1" applyFill="1" applyBorder="1" applyAlignment="1">
      <alignment horizontal="center"/>
    </xf>
    <xf numFmtId="38" fontId="3" fillId="0" borderId="7" xfId="0" applyNumberFormat="1" applyFont="1" applyFill="1" applyBorder="1" applyAlignment="1">
      <alignment horizontal="center"/>
    </xf>
    <xf numFmtId="38" fontId="3" fillId="0" borderId="16" xfId="0" applyNumberFormat="1" applyFont="1" applyFill="1" applyBorder="1" applyAlignment="1">
      <alignment horizontal="center"/>
    </xf>
    <xf numFmtId="176" fontId="4" fillId="0" borderId="0" xfId="11" applyFont="1" applyAlignment="1">
      <alignment horizontal="centerContinuous"/>
    </xf>
    <xf numFmtId="176" fontId="11" fillId="0" borderId="0" xfId="11" applyFont="1"/>
    <xf numFmtId="1" fontId="2" fillId="0" borderId="0" xfId="11" applyNumberFormat="1" applyFont="1" applyAlignment="1">
      <alignment horizontal="center"/>
    </xf>
    <xf numFmtId="176" fontId="3" fillId="0" borderId="0" xfId="11" applyFont="1"/>
    <xf numFmtId="164" fontId="3" fillId="0" borderId="0" xfId="11" applyNumberFormat="1" applyFont="1"/>
    <xf numFmtId="164" fontId="10" fillId="0" borderId="0" xfId="11" applyNumberFormat="1" applyFont="1"/>
    <xf numFmtId="164" fontId="11" fillId="0" borderId="0" xfId="11" applyNumberFormat="1" applyFont="1"/>
    <xf numFmtId="169" fontId="11" fillId="0" borderId="0" xfId="13" applyNumberFormat="1" applyFont="1"/>
    <xf numFmtId="171" fontId="6" fillId="0" borderId="0" xfId="11" quotePrefix="1" applyNumberFormat="1" applyFont="1" applyAlignment="1">
      <alignment horizontal="center"/>
    </xf>
    <xf numFmtId="176" fontId="20" fillId="0" borderId="0" xfId="0" applyFont="1" applyFill="1"/>
    <xf numFmtId="176" fontId="11" fillId="0" borderId="0" xfId="9" applyFont="1" applyFill="1"/>
    <xf numFmtId="176" fontId="11" fillId="0" borderId="0" xfId="9" applyFont="1" applyFill="1" applyAlignment="1">
      <alignment horizontal="centerContinuous"/>
    </xf>
    <xf numFmtId="176" fontId="24" fillId="0" borderId="0" xfId="9" applyFont="1" applyFill="1"/>
    <xf numFmtId="176" fontId="24" fillId="0" borderId="0" xfId="9" applyFont="1" applyFill="1" applyAlignment="1">
      <alignment horizontal="right"/>
    </xf>
    <xf numFmtId="176" fontId="11" fillId="0" borderId="0" xfId="9" applyFont="1" applyFill="1" applyAlignment="1">
      <alignment horizontal="right"/>
    </xf>
    <xf numFmtId="176" fontId="11" fillId="0" borderId="0" xfId="9" applyFont="1" applyFill="1" applyBorder="1" applyAlignment="1">
      <alignment horizontal="centerContinuous"/>
    </xf>
    <xf numFmtId="176" fontId="11" fillId="0" borderId="0" xfId="9" applyFont="1" applyFill="1" applyBorder="1"/>
    <xf numFmtId="176" fontId="11" fillId="0" borderId="7" xfId="9" applyFont="1" applyFill="1" applyBorder="1"/>
    <xf numFmtId="176" fontId="24" fillId="0" borderId="0" xfId="9" applyFont="1" applyFill="1" applyBorder="1" applyAlignment="1">
      <alignment horizontal="centerContinuous"/>
    </xf>
    <xf numFmtId="176" fontId="24" fillId="0" borderId="0" xfId="9" applyFont="1" applyFill="1" applyBorder="1"/>
    <xf numFmtId="0" fontId="24" fillId="0" borderId="0" xfId="9" applyNumberFormat="1" applyFont="1" applyFill="1"/>
    <xf numFmtId="6" fontId="24" fillId="0" borderId="0" xfId="9" applyNumberFormat="1" applyFont="1" applyFill="1" applyAlignment="1">
      <alignment horizontal="right"/>
    </xf>
    <xf numFmtId="8" fontId="24" fillId="0" borderId="0" xfId="9" applyNumberFormat="1" applyFont="1" applyFill="1" applyAlignment="1">
      <alignment horizontal="right"/>
    </xf>
    <xf numFmtId="8" fontId="24" fillId="0" borderId="0" xfId="9" applyNumberFormat="1" applyFont="1" applyFill="1" applyBorder="1" applyAlignment="1">
      <alignment horizontal="right"/>
    </xf>
    <xf numFmtId="166" fontId="24" fillId="0" borderId="0" xfId="9" applyNumberFormat="1" applyFont="1" applyFill="1" applyAlignment="1">
      <alignment horizontal="center"/>
    </xf>
    <xf numFmtId="168" fontId="24" fillId="0" borderId="0" xfId="9" applyNumberFormat="1" applyFont="1" applyFill="1" applyBorder="1"/>
    <xf numFmtId="43" fontId="24" fillId="0" borderId="0" xfId="9" applyNumberFormat="1" applyFont="1" applyFill="1"/>
    <xf numFmtId="0" fontId="24" fillId="0" borderId="0" xfId="9" applyNumberFormat="1" applyFont="1" applyFill="1" applyBorder="1"/>
    <xf numFmtId="166" fontId="24" fillId="0" borderId="0" xfId="9" applyNumberFormat="1" applyFont="1" applyFill="1" applyBorder="1" applyAlignment="1">
      <alignment horizontal="center"/>
    </xf>
    <xf numFmtId="8" fontId="24" fillId="0" borderId="0" xfId="9" applyNumberFormat="1" applyFont="1" applyFill="1" applyBorder="1" applyAlignment="1">
      <alignment horizontal="center"/>
    </xf>
    <xf numFmtId="8" fontId="24" fillId="0" borderId="0" xfId="9" applyNumberFormat="1" applyFont="1" applyFill="1" applyBorder="1"/>
    <xf numFmtId="43" fontId="24" fillId="0" borderId="0" xfId="9" applyNumberFormat="1" applyFont="1" applyFill="1" applyBorder="1"/>
    <xf numFmtId="41" fontId="24" fillId="0" borderId="0" xfId="7" applyFont="1" applyFill="1"/>
    <xf numFmtId="41" fontId="24" fillId="0" borderId="0" xfId="7" applyFont="1" applyFill="1" applyAlignment="1">
      <alignment horizontal="center"/>
    </xf>
    <xf numFmtId="8" fontId="24" fillId="0" borderId="0" xfId="7" applyNumberFormat="1" applyFont="1" applyFill="1" applyBorder="1"/>
    <xf numFmtId="41" fontId="11" fillId="0" borderId="0" xfId="7" applyFont="1" applyFill="1"/>
    <xf numFmtId="44" fontId="11" fillId="0" borderId="0" xfId="2" applyFont="1" applyFill="1"/>
    <xf numFmtId="41" fontId="11" fillId="0" borderId="0" xfId="7" applyFont="1" applyFill="1" applyAlignment="1">
      <alignment horizontal="left"/>
    </xf>
    <xf numFmtId="9" fontId="11" fillId="0" borderId="0" xfId="9" applyNumberFormat="1" applyFont="1" applyFill="1"/>
    <xf numFmtId="170" fontId="11" fillId="0" borderId="0" xfId="7" applyNumberFormat="1" applyFont="1" applyFill="1"/>
    <xf numFmtId="43" fontId="11" fillId="0" borderId="0" xfId="7" applyNumberFormat="1" applyFont="1" applyFill="1"/>
    <xf numFmtId="164" fontId="11" fillId="0" borderId="0" xfId="7" applyNumberFormat="1" applyFont="1" applyFill="1"/>
    <xf numFmtId="8" fontId="24" fillId="0" borderId="0" xfId="9" applyNumberFormat="1" applyFont="1" applyFill="1"/>
    <xf numFmtId="174" fontId="24" fillId="0" borderId="0" xfId="9" applyNumberFormat="1" applyFont="1" applyFill="1"/>
    <xf numFmtId="0" fontId="11" fillId="0" borderId="0" xfId="9" applyNumberFormat="1" applyFont="1" applyFill="1"/>
    <xf numFmtId="174" fontId="11" fillId="0" borderId="0" xfId="9" applyNumberFormat="1" applyFont="1" applyFill="1"/>
    <xf numFmtId="41" fontId="11" fillId="0" borderId="0" xfId="9" applyNumberFormat="1" applyFont="1" applyFill="1"/>
    <xf numFmtId="169" fontId="11" fillId="0" borderId="0" xfId="13" applyNumberFormat="1" applyFont="1" applyFill="1"/>
    <xf numFmtId="6" fontId="11" fillId="0" borderId="0" xfId="2" applyNumberFormat="1" applyFont="1" applyFill="1"/>
    <xf numFmtId="8" fontId="11" fillId="0" borderId="0" xfId="2" applyNumberFormat="1" applyFont="1" applyFill="1"/>
    <xf numFmtId="169" fontId="11" fillId="0" borderId="0" xfId="9" applyNumberFormat="1" applyFont="1" applyFill="1"/>
    <xf numFmtId="1" fontId="3" fillId="5" borderId="0" xfId="10" applyNumberFormat="1" applyFont="1" applyFill="1" applyAlignment="1" applyProtection="1">
      <alignment horizontal="center"/>
      <protection locked="0"/>
    </xf>
    <xf numFmtId="169" fontId="3" fillId="0" borderId="0" xfId="13" applyNumberFormat="1" applyFont="1"/>
    <xf numFmtId="167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176" fontId="20" fillId="0" borderId="0" xfId="0" applyFont="1" applyFill="1" applyAlignment="1">
      <alignment horizontal="left"/>
    </xf>
    <xf numFmtId="10" fontId="20" fillId="0" borderId="0" xfId="0" applyNumberFormat="1" applyFont="1" applyFill="1" applyAlignment="1">
      <alignment horizontal="center"/>
    </xf>
    <xf numFmtId="176" fontId="20" fillId="0" borderId="0" xfId="0" applyFont="1" applyFill="1" applyAlignment="1">
      <alignment horizontal="right"/>
    </xf>
    <xf numFmtId="39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center"/>
    </xf>
    <xf numFmtId="176" fontId="20" fillId="0" borderId="0" xfId="0" quotePrefix="1" applyFont="1" applyFill="1" applyAlignment="1">
      <alignment horizontal="right"/>
    </xf>
    <xf numFmtId="43" fontId="20" fillId="0" borderId="0" xfId="1" applyFont="1" applyFill="1"/>
    <xf numFmtId="0" fontId="20" fillId="0" borderId="0" xfId="8" applyFont="1"/>
    <xf numFmtId="8" fontId="11" fillId="0" borderId="0" xfId="0" applyNumberFormat="1" applyFont="1" applyFill="1" applyBorder="1" applyAlignment="1">
      <alignment horizontal="centerContinuous"/>
    </xf>
    <xf numFmtId="176" fontId="11" fillId="0" borderId="9" xfId="0" applyFont="1" applyFill="1" applyBorder="1" applyAlignment="1">
      <alignment horizontal="center"/>
    </xf>
    <xf numFmtId="8" fontId="11" fillId="0" borderId="0" xfId="0" applyNumberFormat="1" applyFont="1" applyFill="1" applyBorder="1"/>
    <xf numFmtId="17" fontId="11" fillId="0" borderId="0" xfId="0" applyNumberFormat="1" applyFont="1" applyFill="1" applyBorder="1" applyAlignment="1">
      <alignment horizontal="center"/>
    </xf>
    <xf numFmtId="176" fontId="11" fillId="0" borderId="0" xfId="0" applyFont="1" applyFill="1" applyBorder="1" applyAlignment="1">
      <alignment horizontal="left"/>
    </xf>
    <xf numFmtId="164" fontId="11" fillId="0" borderId="0" xfId="0" applyNumberFormat="1" applyFont="1" applyFill="1" applyBorder="1"/>
    <xf numFmtId="176" fontId="11" fillId="0" borderId="6" xfId="0" applyFont="1" applyFill="1" applyBorder="1" applyAlignment="1">
      <alignment horizontal="centerContinuous"/>
    </xf>
    <xf numFmtId="167" fontId="3" fillId="0" borderId="4" xfId="0" applyNumberFormat="1" applyFont="1" applyFill="1" applyBorder="1" applyAlignment="1">
      <alignment horizontal="center"/>
    </xf>
    <xf numFmtId="167" fontId="3" fillId="0" borderId="6" xfId="0" applyNumberFormat="1" applyFont="1" applyFill="1" applyBorder="1" applyAlignment="1">
      <alignment horizontal="center"/>
    </xf>
    <xf numFmtId="167" fontId="3" fillId="0" borderId="10" xfId="0" applyNumberFormat="1" applyFont="1" applyFill="1" applyBorder="1" applyAlignment="1">
      <alignment horizontal="center"/>
    </xf>
    <xf numFmtId="176" fontId="11" fillId="0" borderId="13" xfId="0" applyFont="1" applyFill="1" applyBorder="1"/>
    <xf numFmtId="176" fontId="11" fillId="0" borderId="7" xfId="0" quotePrefix="1" applyFont="1" applyFill="1" applyBorder="1" applyAlignment="1">
      <alignment horizontal="center"/>
    </xf>
    <xf numFmtId="176" fontId="11" fillId="0" borderId="10" xfId="0" quotePrefix="1" applyFont="1" applyFill="1" applyBorder="1" applyAlignment="1">
      <alignment horizontal="center"/>
    </xf>
    <xf numFmtId="176" fontId="6" fillId="0" borderId="10" xfId="0" quotePrefix="1" applyFont="1" applyFill="1" applyBorder="1" applyAlignment="1">
      <alignment horizontal="center"/>
    </xf>
    <xf numFmtId="44" fontId="3" fillId="0" borderId="0" xfId="2" applyFont="1" applyFill="1"/>
    <xf numFmtId="176" fontId="3" fillId="0" borderId="6" xfId="0" quotePrefix="1" applyFont="1" applyFill="1" applyBorder="1" applyAlignment="1">
      <alignment horizontal="center"/>
    </xf>
    <xf numFmtId="8" fontId="3" fillId="0" borderId="0" xfId="0" applyNumberFormat="1" applyFont="1" applyFill="1" applyAlignment="1">
      <alignment horizontal="center"/>
    </xf>
    <xf numFmtId="176" fontId="3" fillId="0" borderId="0" xfId="0" applyFont="1"/>
    <xf numFmtId="176" fontId="2" fillId="0" borderId="11" xfId="0" applyFont="1" applyBorder="1" applyAlignment="1">
      <alignment horizontal="center"/>
    </xf>
    <xf numFmtId="171" fontId="6" fillId="0" borderId="0" xfId="0" quotePrefix="1" applyNumberFormat="1" applyFont="1" applyAlignment="1">
      <alignment horizontal="center"/>
    </xf>
    <xf numFmtId="164" fontId="3" fillId="0" borderId="0" xfId="0" applyNumberFormat="1" applyFont="1"/>
    <xf numFmtId="164" fontId="10" fillId="0" borderId="0" xfId="0" applyNumberFormat="1" applyFont="1"/>
    <xf numFmtId="1" fontId="3" fillId="0" borderId="0" xfId="0" applyNumberFormat="1" applyFont="1" applyFill="1"/>
    <xf numFmtId="41" fontId="3" fillId="0" borderId="0" xfId="9" applyNumberFormat="1" applyFont="1" applyFill="1" applyAlignment="1">
      <alignment horizontal="center"/>
    </xf>
    <xf numFmtId="41" fontId="10" fillId="0" borderId="0" xfId="9" applyNumberFormat="1" applyFont="1" applyFill="1" applyAlignment="1">
      <alignment horizontal="center"/>
    </xf>
    <xf numFmtId="176" fontId="2" fillId="0" borderId="20" xfId="0" applyFont="1" applyFill="1" applyBorder="1" applyAlignment="1">
      <alignment horizontal="centerContinuous"/>
    </xf>
    <xf numFmtId="176" fontId="2" fillId="0" borderId="23" xfId="0" applyFont="1" applyFill="1" applyBorder="1" applyAlignment="1">
      <alignment horizontal="centerContinuous"/>
    </xf>
    <xf numFmtId="176" fontId="3" fillId="0" borderId="22" xfId="0" applyFont="1" applyFill="1" applyBorder="1" applyAlignment="1">
      <alignment horizontal="centerContinuous"/>
    </xf>
    <xf numFmtId="176" fontId="3" fillId="0" borderId="0" xfId="9" applyFont="1" applyFill="1" applyAlignment="1">
      <alignment horizontal="centerContinuous"/>
    </xf>
    <xf numFmtId="176" fontId="3" fillId="0" borderId="0" xfId="9" applyFont="1" applyFill="1" applyAlignment="1">
      <alignment horizontal="right"/>
    </xf>
    <xf numFmtId="176" fontId="0" fillId="0" borderId="0" xfId="9" applyFont="1" applyFill="1"/>
    <xf numFmtId="10" fontId="3" fillId="0" borderId="0" xfId="7" applyNumberFormat="1" applyFont="1" applyFill="1" applyBorder="1"/>
    <xf numFmtId="0" fontId="2" fillId="0" borderId="0" xfId="0" applyNumberFormat="1" applyFont="1" applyAlignment="1">
      <alignment horizontal="center"/>
    </xf>
    <xf numFmtId="176" fontId="3" fillId="0" borderId="0" xfId="0" applyNumberFormat="1" applyFont="1"/>
    <xf numFmtId="17" fontId="4" fillId="0" borderId="0" xfId="0" quotePrefix="1" applyNumberFormat="1" applyFont="1" applyAlignment="1">
      <alignment horizontal="centerContinuous"/>
    </xf>
    <xf numFmtId="176" fontId="2" fillId="0" borderId="11" xfId="0" applyFont="1" applyFill="1" applyBorder="1" applyAlignment="1">
      <alignment horizontal="center"/>
    </xf>
    <xf numFmtId="176" fontId="0" fillId="0" borderId="5" xfId="0" applyFont="1" applyFill="1" applyBorder="1" applyAlignment="1">
      <alignment horizontal="centerContinuous"/>
    </xf>
    <xf numFmtId="176" fontId="0" fillId="0" borderId="17" xfId="0" applyFont="1" applyFill="1" applyBorder="1" applyAlignment="1">
      <alignment horizontal="centerContinuous"/>
    </xf>
    <xf numFmtId="176" fontId="0" fillId="0" borderId="0" xfId="0" applyFont="1" applyFill="1"/>
    <xf numFmtId="173" fontId="0" fillId="0" borderId="0" xfId="2" applyNumberFormat="1" applyFont="1" applyFill="1"/>
    <xf numFmtId="6" fontId="0" fillId="0" borderId="0" xfId="2" applyNumberFormat="1" applyFont="1" applyFill="1"/>
    <xf numFmtId="8" fontId="0" fillId="0" borderId="0" xfId="2" applyNumberFormat="1" applyFont="1" applyFill="1"/>
    <xf numFmtId="164" fontId="0" fillId="0" borderId="0" xfId="0" applyNumberFormat="1" applyFont="1" applyFill="1"/>
    <xf numFmtId="10" fontId="0" fillId="0" borderId="0" xfId="0" applyNumberFormat="1" applyFont="1" applyFill="1" applyBorder="1"/>
    <xf numFmtId="9" fontId="0" fillId="0" borderId="0" xfId="0" applyNumberFormat="1" applyFont="1" applyFill="1"/>
    <xf numFmtId="169" fontId="0" fillId="0" borderId="0" xfId="13" applyNumberFormat="1" applyFont="1" applyFill="1"/>
    <xf numFmtId="169" fontId="0" fillId="0" borderId="0" xfId="0" applyNumberFormat="1" applyFont="1" applyFill="1"/>
    <xf numFmtId="43" fontId="0" fillId="0" borderId="0" xfId="1" applyFont="1" applyFill="1"/>
    <xf numFmtId="176" fontId="2" fillId="0" borderId="19" xfId="0" applyFont="1" applyFill="1" applyBorder="1" applyAlignment="1">
      <alignment horizontal="centerContinuous"/>
    </xf>
    <xf numFmtId="176" fontId="0" fillId="0" borderId="22" xfId="0" applyFont="1" applyFill="1" applyBorder="1" applyAlignment="1">
      <alignment horizontal="centerContinuous"/>
    </xf>
    <xf numFmtId="1" fontId="0" fillId="0" borderId="0" xfId="10" applyNumberFormat="1" applyFont="1" applyFill="1" applyAlignment="1" applyProtection="1">
      <alignment horizontal="center"/>
      <protection locked="0"/>
    </xf>
    <xf numFmtId="176" fontId="0" fillId="0" borderId="0" xfId="0" applyFont="1" applyFill="1" applyBorder="1"/>
    <xf numFmtId="41" fontId="0" fillId="0" borderId="0" xfId="7" applyFont="1" applyFill="1"/>
    <xf numFmtId="0" fontId="24" fillId="0" borderId="2" xfId="9" applyNumberFormat="1" applyFont="1" applyFill="1" applyBorder="1"/>
    <xf numFmtId="166" fontId="24" fillId="0" borderId="2" xfId="9" applyNumberFormat="1" applyFont="1" applyFill="1" applyBorder="1" applyAlignment="1">
      <alignment horizontal="center"/>
    </xf>
    <xf numFmtId="8" fontId="24" fillId="0" borderId="2" xfId="9" applyNumberFormat="1" applyFont="1" applyFill="1" applyBorder="1" applyAlignment="1">
      <alignment horizontal="right"/>
    </xf>
    <xf numFmtId="8" fontId="24" fillId="0" borderId="2" xfId="9" applyNumberFormat="1" applyFont="1" applyFill="1" applyBorder="1"/>
    <xf numFmtId="10" fontId="3" fillId="0" borderId="0" xfId="0" applyNumberFormat="1" applyFont="1" applyFill="1" applyAlignment="1">
      <alignment horizontal="center"/>
    </xf>
    <xf numFmtId="176" fontId="0" fillId="0" borderId="0" xfId="0" applyFont="1"/>
  </cellXfs>
  <cellStyles count="17">
    <cellStyle name="Comma" xfId="1" builtinId="3"/>
    <cellStyle name="Currency" xfId="2" builtinId="4"/>
    <cellStyle name="Currency No Comma" xfId="3"/>
    <cellStyle name="Input" xfId="4" builtinId="20" customBuiltin="1"/>
    <cellStyle name="MCP" xfId="5"/>
    <cellStyle name="noninput" xfId="6"/>
    <cellStyle name="Normal" xfId="0" builtinId="0" customBuiltin="1"/>
    <cellStyle name="Normal_DRR AC Study - Utah Valley - 53 MW 90 CF (2.28.2005)" xfId="7"/>
    <cellStyle name="Normal_Or AC 2003 - AC Study - Fuel Indexed Avoided Costs" xfId="8"/>
    <cellStyle name="Normal_OR AC Sch 37 - AC  Study (Gold) _2009 06 19" xfId="9"/>
    <cellStyle name="Normal_T-INF-10-15-04-TEMPLATE" xfId="10"/>
    <cellStyle name="Normal_UT AC Sch 37 - L&amp;R  Study (Gold) _2009 06 19" xfId="11"/>
    <cellStyle name="Password" xfId="12"/>
    <cellStyle name="Percent" xfId="13" builtinId="5"/>
    <cellStyle name="Unprot" xfId="14"/>
    <cellStyle name="Unprot$" xfId="15"/>
    <cellStyle name="Unprotect" xfId="16"/>
  </cellStyles>
  <dxfs count="2"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B1:J56"/>
  <sheetViews>
    <sheetView zoomScale="85" zoomScaleNormal="85" workbookViewId="0">
      <pane xSplit="2" ySplit="5" topLeftCell="C6" activePane="bottomRight" state="frozen"/>
      <selection activeCell="B8" sqref="B8"/>
      <selection pane="topRight" activeCell="B8" sqref="B8"/>
      <selection pane="bottomLeft" activeCell="B8" sqref="B8"/>
      <selection pane="bottomRight" activeCell="P17" sqref="P17"/>
    </sheetView>
  </sheetViews>
  <sheetFormatPr defaultColWidth="10.6640625" defaultRowHeight="12.75"/>
  <cols>
    <col min="1" max="1" width="1.83203125" style="168" customWidth="1"/>
    <col min="2" max="2" width="32.5" style="168" customWidth="1"/>
    <col min="3" max="3" width="13.1640625" style="168" customWidth="1"/>
    <col min="4" max="6" width="13.1640625" style="168" bestFit="1" customWidth="1"/>
    <col min="7" max="7" width="13.1640625" style="168" customWidth="1"/>
    <col min="8" max="10" width="13.1640625" style="168" hidden="1" customWidth="1"/>
    <col min="11" max="11" width="1.6640625" style="168" customWidth="1"/>
    <col min="12" max="16384" width="10.6640625" style="168"/>
  </cols>
  <sheetData>
    <row r="1" spans="2:10" ht="15.75">
      <c r="B1" s="167" t="s">
        <v>81</v>
      </c>
      <c r="C1" s="167"/>
      <c r="D1" s="167"/>
      <c r="E1" s="167"/>
      <c r="F1" s="167"/>
      <c r="G1" s="167"/>
      <c r="H1" s="167"/>
      <c r="I1" s="167"/>
      <c r="J1" s="167"/>
    </row>
    <row r="2" spans="2:10" ht="15.75">
      <c r="B2" s="167" t="s">
        <v>128</v>
      </c>
      <c r="C2" s="167"/>
      <c r="D2" s="167"/>
      <c r="E2" s="167"/>
      <c r="F2" s="167"/>
      <c r="G2" s="167"/>
      <c r="H2" s="167"/>
      <c r="I2" s="167"/>
      <c r="J2" s="167"/>
    </row>
    <row r="3" spans="2:10" ht="15.75">
      <c r="B3" s="264" t="s">
        <v>164</v>
      </c>
      <c r="C3" s="167"/>
      <c r="D3" s="167"/>
      <c r="E3" s="167"/>
      <c r="F3" s="167"/>
      <c r="G3" s="167"/>
      <c r="H3" s="167"/>
      <c r="I3" s="167"/>
      <c r="J3" s="167"/>
    </row>
    <row r="5" spans="2:10" s="170" customFormat="1">
      <c r="B5" s="247"/>
      <c r="C5" s="262">
        <v>2011</v>
      </c>
      <c r="D5" s="262">
        <v>2012</v>
      </c>
      <c r="E5" s="262">
        <v>2013</v>
      </c>
      <c r="F5" s="262">
        <v>2014</v>
      </c>
      <c r="G5" s="262">
        <v>2015</v>
      </c>
      <c r="H5" s="169">
        <v>2016</v>
      </c>
      <c r="I5" s="169">
        <v>2017</v>
      </c>
      <c r="J5" s="169">
        <v>2018</v>
      </c>
    </row>
    <row r="6" spans="2:10" s="170" customFormat="1">
      <c r="B6" s="248" t="s">
        <v>69</v>
      </c>
      <c r="C6" s="247"/>
      <c r="D6" s="247"/>
      <c r="E6" s="247"/>
      <c r="F6" s="247"/>
      <c r="G6" s="247"/>
    </row>
    <row r="7" spans="2:10" s="170" customFormat="1">
      <c r="B7" s="247" t="s">
        <v>97</v>
      </c>
      <c r="C7" s="250">
        <v>6895.6347148313243</v>
      </c>
      <c r="D7" s="250">
        <v>6899.7461928179764</v>
      </c>
      <c r="E7" s="250">
        <v>7024.9761454375957</v>
      </c>
      <c r="F7" s="250">
        <v>7145.3745244330285</v>
      </c>
      <c r="G7" s="250">
        <v>7225.0418189535776</v>
      </c>
      <c r="H7" s="171">
        <v>0</v>
      </c>
      <c r="I7" s="171">
        <v>0</v>
      </c>
      <c r="J7" s="171">
        <v>0</v>
      </c>
    </row>
    <row r="8" spans="2:10" s="170" customFormat="1">
      <c r="B8" s="247" t="s">
        <v>98</v>
      </c>
      <c r="C8" s="250">
        <v>380.28027617636593</v>
      </c>
      <c r="D8" s="250">
        <v>413.1316251242049</v>
      </c>
      <c r="E8" s="250">
        <v>177.26313819593608</v>
      </c>
      <c r="F8" s="250">
        <v>177.34031797904112</v>
      </c>
      <c r="G8" s="250">
        <v>137.33169868771691</v>
      </c>
      <c r="H8" s="171">
        <v>0</v>
      </c>
      <c r="I8" s="171">
        <v>0</v>
      </c>
      <c r="J8" s="171">
        <v>0</v>
      </c>
    </row>
    <row r="9" spans="2:10">
      <c r="B9" s="247" t="s">
        <v>108</v>
      </c>
      <c r="C9" s="251">
        <v>60.416666666666671</v>
      </c>
      <c r="D9" s="251">
        <v>38.547358834244079</v>
      </c>
      <c r="E9" s="251">
        <v>7.031963470319635</v>
      </c>
      <c r="F9" s="251">
        <v>0</v>
      </c>
      <c r="G9" s="251">
        <v>0</v>
      </c>
      <c r="H9" s="172">
        <v>0</v>
      </c>
      <c r="I9" s="172">
        <v>0</v>
      </c>
      <c r="J9" s="172">
        <v>0</v>
      </c>
    </row>
    <row r="10" spans="2:10">
      <c r="B10" s="247" t="s">
        <v>99</v>
      </c>
      <c r="C10" s="250">
        <f t="shared" ref="C10:G10" si="0">SUM(C7:C9)</f>
        <v>7336.3316576743573</v>
      </c>
      <c r="D10" s="250">
        <f t="shared" si="0"/>
        <v>7351.4251767764254</v>
      </c>
      <c r="E10" s="250">
        <f t="shared" si="0"/>
        <v>7209.2712471038521</v>
      </c>
      <c r="F10" s="250">
        <f t="shared" si="0"/>
        <v>7322.7148424120696</v>
      </c>
      <c r="G10" s="250">
        <f t="shared" si="0"/>
        <v>7362.3735176412947</v>
      </c>
      <c r="H10" s="173">
        <f t="shared" ref="H10:J10" si="1">SUM(H7:H9)</f>
        <v>0</v>
      </c>
      <c r="I10" s="173">
        <f t="shared" si="1"/>
        <v>0</v>
      </c>
      <c r="J10" s="173">
        <f t="shared" si="1"/>
        <v>0</v>
      </c>
    </row>
    <row r="11" spans="2:10">
      <c r="B11" s="247"/>
      <c r="C11" s="250"/>
      <c r="D11" s="250"/>
      <c r="E11" s="250"/>
      <c r="F11" s="250"/>
      <c r="G11" s="250"/>
      <c r="H11" s="173"/>
      <c r="I11" s="173"/>
      <c r="J11" s="173"/>
    </row>
    <row r="12" spans="2:10">
      <c r="B12" s="247" t="s">
        <v>100</v>
      </c>
      <c r="C12" s="250">
        <v>861.52901162387502</v>
      </c>
      <c r="D12" s="250">
        <v>859.51298286362839</v>
      </c>
      <c r="E12" s="250">
        <v>896.9236771880295</v>
      </c>
      <c r="F12" s="250">
        <v>902.80614581103691</v>
      </c>
      <c r="G12" s="250">
        <v>829.72346601014715</v>
      </c>
      <c r="H12" s="173">
        <v>65.605109066689437</v>
      </c>
      <c r="I12" s="173">
        <v>65.581276840071922</v>
      </c>
      <c r="J12" s="173">
        <v>58.00742161893379</v>
      </c>
    </row>
    <row r="13" spans="2:10">
      <c r="B13" s="247" t="s">
        <v>109</v>
      </c>
      <c r="C13" s="250">
        <v>11.05072463768116</v>
      </c>
      <c r="D13" s="250">
        <v>25</v>
      </c>
      <c r="E13" s="250">
        <v>21.095890410958905</v>
      </c>
      <c r="F13" s="250">
        <v>0</v>
      </c>
      <c r="G13" s="250">
        <v>0</v>
      </c>
      <c r="H13" s="173">
        <v>0</v>
      </c>
      <c r="I13" s="173">
        <v>0</v>
      </c>
      <c r="J13" s="173">
        <v>0</v>
      </c>
    </row>
    <row r="14" spans="2:10">
      <c r="B14" s="247" t="s">
        <v>101</v>
      </c>
      <c r="C14" s="250">
        <v>6285.6580894557947</v>
      </c>
      <c r="D14" s="250">
        <v>6198.94683985765</v>
      </c>
      <c r="E14" s="250">
        <v>6306.3411914731796</v>
      </c>
      <c r="F14" s="250">
        <v>6475.1266986787932</v>
      </c>
      <c r="G14" s="250">
        <v>6207.4833816580922</v>
      </c>
      <c r="H14" s="173">
        <v>0</v>
      </c>
      <c r="I14" s="173">
        <v>0</v>
      </c>
      <c r="J14" s="173">
        <v>0</v>
      </c>
    </row>
    <row r="15" spans="2:10">
      <c r="B15" s="247" t="s">
        <v>102</v>
      </c>
      <c r="C15" s="250">
        <v>708.03632698580657</v>
      </c>
      <c r="D15" s="250">
        <v>842.28635335701915</v>
      </c>
      <c r="E15" s="250">
        <v>836.28493431925403</v>
      </c>
      <c r="F15" s="250">
        <v>845.90923313243616</v>
      </c>
      <c r="G15" s="250">
        <v>844.1766518516979</v>
      </c>
      <c r="H15" s="173">
        <v>453.96876901332922</v>
      </c>
      <c r="I15" s="173">
        <v>452.02197556035685</v>
      </c>
      <c r="J15" s="173">
        <v>448.2692792981361</v>
      </c>
    </row>
    <row r="16" spans="2:10">
      <c r="B16" s="247" t="s">
        <v>103</v>
      </c>
      <c r="C16" s="251">
        <v>-513.60082390934281</v>
      </c>
      <c r="D16" s="251">
        <v>-550.14449737671816</v>
      </c>
      <c r="E16" s="251">
        <v>-559.72081228067623</v>
      </c>
      <c r="F16" s="251">
        <v>-728.43285247829397</v>
      </c>
      <c r="G16" s="251">
        <v>-693.08821893927779</v>
      </c>
      <c r="H16" s="172">
        <v>0</v>
      </c>
      <c r="I16" s="172">
        <v>0</v>
      </c>
      <c r="J16" s="172">
        <v>0</v>
      </c>
    </row>
    <row r="17" spans="2:10">
      <c r="B17" s="247" t="s">
        <v>104</v>
      </c>
      <c r="C17" s="250">
        <f t="shared" ref="C17:G17" si="2">SUM(C12:C16)</f>
        <v>7352.6733287938141</v>
      </c>
      <c r="D17" s="250">
        <f t="shared" si="2"/>
        <v>7375.6016787015787</v>
      </c>
      <c r="E17" s="250">
        <f t="shared" si="2"/>
        <v>7500.9248811107454</v>
      </c>
      <c r="F17" s="250">
        <f t="shared" si="2"/>
        <v>7495.4092251439724</v>
      </c>
      <c r="G17" s="250">
        <f t="shared" si="2"/>
        <v>7188.2952805806599</v>
      </c>
      <c r="H17" s="173">
        <f t="shared" ref="H17:J17" si="3">SUM(H12:H16)</f>
        <v>519.57387808001863</v>
      </c>
      <c r="I17" s="173">
        <f t="shared" si="3"/>
        <v>517.6032524004288</v>
      </c>
      <c r="J17" s="173">
        <f t="shared" si="3"/>
        <v>506.27670091706989</v>
      </c>
    </row>
    <row r="18" spans="2:10" ht="4.5" customHeight="1">
      <c r="B18" s="247"/>
      <c r="C18" s="250"/>
      <c r="D18" s="250"/>
      <c r="E18" s="250"/>
      <c r="F18" s="250"/>
      <c r="G18" s="250"/>
      <c r="H18" s="173"/>
      <c r="I18" s="173"/>
      <c r="J18" s="173"/>
    </row>
    <row r="19" spans="2:10">
      <c r="B19" s="252" t="s">
        <v>105</v>
      </c>
      <c r="C19" s="250">
        <f t="shared" ref="C19:G19" si="4">C17-C10</f>
        <v>16.341671119456805</v>
      </c>
      <c r="D19" s="250">
        <f t="shared" si="4"/>
        <v>24.176501925153389</v>
      </c>
      <c r="E19" s="250">
        <f t="shared" si="4"/>
        <v>291.6536340068933</v>
      </c>
      <c r="F19" s="250">
        <f t="shared" si="4"/>
        <v>172.69438273190281</v>
      </c>
      <c r="G19" s="250">
        <f t="shared" si="4"/>
        <v>-174.07823706063482</v>
      </c>
      <c r="H19" s="173">
        <f t="shared" ref="H19:J19" si="5">H17-H10</f>
        <v>519.57387808001863</v>
      </c>
      <c r="I19" s="173">
        <f t="shared" si="5"/>
        <v>517.6032524004288</v>
      </c>
      <c r="J19" s="173">
        <f t="shared" si="5"/>
        <v>506.27670091706989</v>
      </c>
    </row>
    <row r="20" spans="2:10">
      <c r="B20" s="252" t="s">
        <v>106</v>
      </c>
      <c r="C20" s="219">
        <f>C19/C10</f>
        <v>2.227498957515393E-3</v>
      </c>
      <c r="D20" s="219">
        <f t="shared" ref="D20:G20" si="6">IF(D10&lt;&gt;0,D19/D10,0)</f>
        <v>3.2886823090478223E-3</v>
      </c>
      <c r="E20" s="219">
        <f t="shared" si="6"/>
        <v>4.0455355889689681E-2</v>
      </c>
      <c r="F20" s="219">
        <f t="shared" si="6"/>
        <v>2.3583382181111678E-2</v>
      </c>
      <c r="G20" s="219">
        <f t="shared" si="6"/>
        <v>-2.3644309358051258E-2</v>
      </c>
      <c r="H20" s="174">
        <f t="shared" ref="H20:J20" si="7">IF(H10&lt;&gt;0,H19/H10,0)</f>
        <v>0</v>
      </c>
      <c r="I20" s="174">
        <f t="shared" si="7"/>
        <v>0</v>
      </c>
      <c r="J20" s="174">
        <f t="shared" si="7"/>
        <v>0</v>
      </c>
    </row>
    <row r="21" spans="2:10">
      <c r="B21" s="247"/>
      <c r="C21" s="247"/>
      <c r="D21" s="247"/>
      <c r="E21" s="247"/>
      <c r="F21" s="247"/>
      <c r="G21" s="247"/>
    </row>
    <row r="22" spans="2:10">
      <c r="B22" s="248" t="s">
        <v>107</v>
      </c>
      <c r="C22" s="249"/>
      <c r="D22" s="249"/>
      <c r="E22" s="249"/>
      <c r="F22" s="249"/>
      <c r="G22" s="249"/>
      <c r="H22" s="175"/>
      <c r="I22" s="175"/>
      <c r="J22" s="175"/>
    </row>
    <row r="23" spans="2:10">
      <c r="B23" s="247" t="s">
        <v>97</v>
      </c>
      <c r="C23" s="250">
        <v>9716.0513959500004</v>
      </c>
      <c r="D23" s="250">
        <v>9868.8680625500001</v>
      </c>
      <c r="E23" s="250">
        <v>10060.71039595</v>
      </c>
      <c r="F23" s="250">
        <v>10265.447972600001</v>
      </c>
      <c r="G23" s="250">
        <v>10392.312895950001</v>
      </c>
      <c r="H23" s="173">
        <v>0</v>
      </c>
      <c r="I23" s="173">
        <v>0</v>
      </c>
      <c r="J23" s="173">
        <v>0</v>
      </c>
    </row>
    <row r="24" spans="2:10">
      <c r="B24" s="247" t="s">
        <v>98</v>
      </c>
      <c r="C24" s="250">
        <v>396.74714623700004</v>
      </c>
      <c r="D24" s="250">
        <v>360.74714623700004</v>
      </c>
      <c r="E24" s="250">
        <v>310.727825</v>
      </c>
      <c r="F24" s="250">
        <v>310.727825</v>
      </c>
      <c r="G24" s="250">
        <v>210.727825</v>
      </c>
      <c r="H24" s="173">
        <v>0</v>
      </c>
      <c r="I24" s="173">
        <v>0</v>
      </c>
      <c r="J24" s="173">
        <v>0</v>
      </c>
    </row>
    <row r="25" spans="2:10">
      <c r="B25" s="247" t="str">
        <f>B9</f>
        <v>Short Term Firm Sales</v>
      </c>
      <c r="C25" s="251">
        <v>0</v>
      </c>
      <c r="D25" s="251">
        <v>25</v>
      </c>
      <c r="E25" s="251">
        <v>50</v>
      </c>
      <c r="F25" s="251">
        <v>0</v>
      </c>
      <c r="G25" s="251">
        <v>0</v>
      </c>
      <c r="H25" s="172">
        <v>0</v>
      </c>
      <c r="I25" s="172">
        <v>0</v>
      </c>
      <c r="J25" s="172">
        <v>0</v>
      </c>
    </row>
    <row r="26" spans="2:10">
      <c r="B26" s="247" t="s">
        <v>99</v>
      </c>
      <c r="C26" s="250">
        <f t="shared" ref="C26:G26" si="8">SUM(C23:C25)</f>
        <v>10112.798542187</v>
      </c>
      <c r="D26" s="250">
        <f t="shared" si="8"/>
        <v>10254.615208787</v>
      </c>
      <c r="E26" s="250">
        <f t="shared" si="8"/>
        <v>10421.43822095</v>
      </c>
      <c r="F26" s="250">
        <f t="shared" si="8"/>
        <v>10576.175797600001</v>
      </c>
      <c r="G26" s="250">
        <f t="shared" si="8"/>
        <v>10603.040720950001</v>
      </c>
      <c r="H26" s="173">
        <f t="shared" ref="H26:J26" si="9">SUM(H23:H25)</f>
        <v>0</v>
      </c>
      <c r="I26" s="173">
        <f t="shared" si="9"/>
        <v>0</v>
      </c>
      <c r="J26" s="173">
        <f t="shared" si="9"/>
        <v>0</v>
      </c>
    </row>
    <row r="27" spans="2:10">
      <c r="B27" s="247"/>
      <c r="C27" s="250"/>
      <c r="D27" s="250"/>
      <c r="E27" s="250"/>
      <c r="F27" s="250"/>
      <c r="G27" s="250"/>
      <c r="H27" s="173"/>
      <c r="I27" s="173"/>
      <c r="J27" s="173"/>
    </row>
    <row r="28" spans="2:10">
      <c r="B28" s="247" t="s">
        <v>100</v>
      </c>
      <c r="C28" s="250">
        <v>1620.0695108259999</v>
      </c>
      <c r="D28" s="250">
        <v>792.41192835599998</v>
      </c>
      <c r="E28" s="250">
        <v>681.62652321234623</v>
      </c>
      <c r="F28" s="250">
        <v>532.07705098984627</v>
      </c>
      <c r="G28" s="250">
        <v>533.49279886734621</v>
      </c>
      <c r="H28" s="173">
        <v>117.5</v>
      </c>
      <c r="I28" s="173">
        <v>117.1</v>
      </c>
      <c r="J28" s="173">
        <v>117.4</v>
      </c>
    </row>
    <row r="29" spans="2:10">
      <c r="B29" s="247" t="str">
        <f>B13</f>
        <v>Short Term Firm Purchase</v>
      </c>
      <c r="C29" s="250">
        <v>0</v>
      </c>
      <c r="D29" s="250">
        <v>25</v>
      </c>
      <c r="E29" s="250">
        <v>150</v>
      </c>
      <c r="F29" s="250">
        <v>0</v>
      </c>
      <c r="G29" s="250">
        <v>0</v>
      </c>
      <c r="H29" s="173">
        <v>0</v>
      </c>
      <c r="I29" s="173">
        <v>0</v>
      </c>
      <c r="J29" s="173">
        <v>0</v>
      </c>
    </row>
    <row r="30" spans="2:10">
      <c r="B30" s="247" t="s">
        <v>101</v>
      </c>
      <c r="C30" s="250">
        <v>7557.5487536887958</v>
      </c>
      <c r="D30" s="250">
        <v>7574.2918859329238</v>
      </c>
      <c r="E30" s="250">
        <v>7579.3207260039708</v>
      </c>
      <c r="F30" s="250">
        <v>8161.9531260039712</v>
      </c>
      <c r="G30" s="250">
        <v>8161.9531260039712</v>
      </c>
      <c r="H30" s="173">
        <v>0</v>
      </c>
      <c r="I30" s="173">
        <v>0</v>
      </c>
      <c r="J30" s="173">
        <v>0</v>
      </c>
    </row>
    <row r="31" spans="2:10">
      <c r="B31" s="247" t="s">
        <v>102</v>
      </c>
      <c r="C31" s="250">
        <v>1214.1700300150001</v>
      </c>
      <c r="D31" s="250">
        <v>1188.1038289850001</v>
      </c>
      <c r="E31" s="250">
        <v>1189.8466384850001</v>
      </c>
      <c r="F31" s="250">
        <v>1193.089504215</v>
      </c>
      <c r="G31" s="250">
        <v>1202.6899809249999</v>
      </c>
      <c r="H31" s="173">
        <v>914.26256016000002</v>
      </c>
      <c r="I31" s="173">
        <v>926.76538245999996</v>
      </c>
      <c r="J31" s="173">
        <v>907.95096325999998</v>
      </c>
    </row>
    <row r="32" spans="2:10">
      <c r="B32" s="247" t="s">
        <v>103</v>
      </c>
      <c r="C32" s="251">
        <v>-403.14678799999996</v>
      </c>
      <c r="D32" s="251">
        <v>-461.99483300000003</v>
      </c>
      <c r="E32" s="251">
        <v>-459.20591300000001</v>
      </c>
      <c r="F32" s="251">
        <v>-659.17276000000004</v>
      </c>
      <c r="G32" s="251">
        <v>-665.65402199999994</v>
      </c>
      <c r="H32" s="172">
        <v>0</v>
      </c>
      <c r="I32" s="172">
        <v>0</v>
      </c>
      <c r="J32" s="172">
        <v>0</v>
      </c>
    </row>
    <row r="33" spans="2:10">
      <c r="B33" s="247" t="s">
        <v>104</v>
      </c>
      <c r="C33" s="250">
        <f t="shared" ref="C33:G33" si="10">SUM(C28:C32)</f>
        <v>9988.641506529797</v>
      </c>
      <c r="D33" s="250">
        <f t="shared" si="10"/>
        <v>9117.8128102739229</v>
      </c>
      <c r="E33" s="250">
        <f t="shared" si="10"/>
        <v>9141.5879747013169</v>
      </c>
      <c r="F33" s="250">
        <f t="shared" si="10"/>
        <v>9227.9469212088188</v>
      </c>
      <c r="G33" s="250">
        <f t="shared" si="10"/>
        <v>9232.4818837963157</v>
      </c>
      <c r="H33" s="173">
        <f t="shared" ref="H33:J33" si="11">SUM(H28:H32)</f>
        <v>1031.76256016</v>
      </c>
      <c r="I33" s="173">
        <f t="shared" si="11"/>
        <v>1043.8653824599999</v>
      </c>
      <c r="J33" s="173">
        <f t="shared" si="11"/>
        <v>1025.3509632600001</v>
      </c>
    </row>
    <row r="34" spans="2:10" ht="4.5" customHeight="1">
      <c r="B34" s="247"/>
      <c r="C34" s="250"/>
      <c r="D34" s="250"/>
      <c r="E34" s="250"/>
      <c r="F34" s="250"/>
      <c r="G34" s="250"/>
      <c r="H34" s="173"/>
      <c r="I34" s="173"/>
      <c r="J34" s="173"/>
    </row>
    <row r="35" spans="2:10">
      <c r="B35" s="252" t="s">
        <v>105</v>
      </c>
      <c r="C35" s="250">
        <f t="shared" ref="C35:G35" si="12">C33-C26</f>
        <v>-124.15703565720287</v>
      </c>
      <c r="D35" s="250">
        <f t="shared" si="12"/>
        <v>-1136.8023985130767</v>
      </c>
      <c r="E35" s="250">
        <f t="shared" si="12"/>
        <v>-1279.8502462486831</v>
      </c>
      <c r="F35" s="250">
        <f t="shared" si="12"/>
        <v>-1348.228876391182</v>
      </c>
      <c r="G35" s="250">
        <f t="shared" si="12"/>
        <v>-1370.5588371536851</v>
      </c>
      <c r="H35" s="173">
        <f t="shared" ref="H35:J35" si="13">H33-H26</f>
        <v>1031.76256016</v>
      </c>
      <c r="I35" s="173">
        <f t="shared" si="13"/>
        <v>1043.8653824599999</v>
      </c>
      <c r="J35" s="173">
        <f t="shared" si="13"/>
        <v>1025.3509632600001</v>
      </c>
    </row>
    <row r="36" spans="2:10">
      <c r="B36" s="252" t="s">
        <v>106</v>
      </c>
      <c r="C36" s="219">
        <f t="shared" ref="C36:G36" si="14">IF(C26&lt;&gt;0,C35/C26,0)</f>
        <v>-1.2277218332716099E-2</v>
      </c>
      <c r="D36" s="219">
        <f t="shared" si="14"/>
        <v>-0.11085763584175939</v>
      </c>
      <c r="E36" s="219">
        <f t="shared" si="14"/>
        <v>-0.12280936844934003</v>
      </c>
      <c r="F36" s="219">
        <f t="shared" si="14"/>
        <v>-0.12747791850218004</v>
      </c>
      <c r="G36" s="219">
        <f t="shared" si="14"/>
        <v>-0.1292609236561422</v>
      </c>
      <c r="H36" s="174">
        <f t="shared" ref="H36:J36" si="15">IF(H26&lt;&gt;0,H35/H26,0)</f>
        <v>0</v>
      </c>
      <c r="I36" s="174">
        <f t="shared" si="15"/>
        <v>0</v>
      </c>
      <c r="J36" s="174">
        <f t="shared" si="15"/>
        <v>0</v>
      </c>
    </row>
    <row r="37" spans="2:10">
      <c r="B37" s="247"/>
      <c r="C37" s="247"/>
      <c r="D37" s="247"/>
      <c r="E37" s="247"/>
      <c r="F37" s="247"/>
      <c r="G37" s="247"/>
    </row>
    <row r="38" spans="2:10">
      <c r="B38" s="248" t="s">
        <v>143</v>
      </c>
      <c r="C38" s="249"/>
      <c r="D38" s="249"/>
      <c r="E38" s="249"/>
      <c r="F38" s="249"/>
      <c r="G38" s="249"/>
    </row>
    <row r="39" spans="2:10">
      <c r="B39" s="247" t="s">
        <v>97</v>
      </c>
      <c r="C39" s="250"/>
      <c r="D39" s="250">
        <v>8696.6636760359997</v>
      </c>
      <c r="E39" s="250">
        <v>8814.0726760359994</v>
      </c>
      <c r="F39" s="250">
        <v>8959.4426760360002</v>
      </c>
      <c r="G39" s="250">
        <v>8949.5986760359992</v>
      </c>
    </row>
    <row r="40" spans="2:10">
      <c r="B40" s="247" t="s">
        <v>98</v>
      </c>
      <c r="C40" s="250"/>
      <c r="D40" s="250">
        <v>410.57644623700003</v>
      </c>
      <c r="E40" s="250">
        <v>260.55712500000004</v>
      </c>
      <c r="F40" s="250">
        <v>260.55712500000004</v>
      </c>
      <c r="G40" s="250">
        <v>160.55712500000001</v>
      </c>
    </row>
    <row r="41" spans="2:10">
      <c r="B41" s="247" t="str">
        <f>B25</f>
        <v>Short Term Firm Sales</v>
      </c>
      <c r="C41" s="251"/>
      <c r="D41" s="251">
        <v>25</v>
      </c>
      <c r="E41" s="251">
        <v>0</v>
      </c>
      <c r="F41" s="251">
        <v>0</v>
      </c>
      <c r="G41" s="251">
        <v>0</v>
      </c>
    </row>
    <row r="42" spans="2:10">
      <c r="B42" s="247" t="s">
        <v>99</v>
      </c>
      <c r="C42" s="250"/>
      <c r="D42" s="250">
        <f t="shared" ref="D42:G42" si="16">SUM(D39:D41)</f>
        <v>9132.2401222730005</v>
      </c>
      <c r="E42" s="250">
        <f t="shared" si="16"/>
        <v>9074.6298010359988</v>
      </c>
      <c r="F42" s="250">
        <f t="shared" si="16"/>
        <v>9219.9998010359996</v>
      </c>
      <c r="G42" s="250">
        <f t="shared" si="16"/>
        <v>9110.1558010359986</v>
      </c>
    </row>
    <row r="43" spans="2:10">
      <c r="B43" s="247"/>
      <c r="C43" s="250"/>
      <c r="D43" s="250"/>
      <c r="E43" s="250"/>
      <c r="F43" s="250"/>
      <c r="G43" s="250"/>
    </row>
    <row r="44" spans="2:10">
      <c r="B44" s="247" t="s">
        <v>100</v>
      </c>
      <c r="C44" s="250"/>
      <c r="D44" s="250">
        <v>1742.1829159193999</v>
      </c>
      <c r="E44" s="250">
        <v>1798.7805126673461</v>
      </c>
      <c r="F44" s="250">
        <v>1783.962233067346</v>
      </c>
      <c r="G44" s="250">
        <v>1774.7183042586923</v>
      </c>
    </row>
    <row r="45" spans="2:10">
      <c r="B45" s="247" t="str">
        <f>B29</f>
        <v>Short Term Firm Purchase</v>
      </c>
      <c r="C45" s="250"/>
      <c r="D45" s="250">
        <v>25</v>
      </c>
      <c r="E45" s="250">
        <v>0</v>
      </c>
      <c r="F45" s="250">
        <v>0</v>
      </c>
      <c r="G45" s="250">
        <v>0</v>
      </c>
    </row>
    <row r="46" spans="2:10">
      <c r="B46" s="247" t="s">
        <v>101</v>
      </c>
      <c r="C46" s="250"/>
      <c r="D46" s="250">
        <v>7711.2928470063162</v>
      </c>
      <c r="E46" s="250">
        <v>7490.5306758399101</v>
      </c>
      <c r="F46" s="250">
        <v>7495.5595159109571</v>
      </c>
      <c r="G46" s="250">
        <v>7125.0676159109571</v>
      </c>
    </row>
    <row r="47" spans="2:10">
      <c r="B47" s="247" t="s">
        <v>102</v>
      </c>
      <c r="C47" s="250"/>
      <c r="D47" s="250">
        <v>1451.0932242499998</v>
      </c>
      <c r="E47" s="250">
        <v>1453.9676803999998</v>
      </c>
      <c r="F47" s="250">
        <v>1451.6423556</v>
      </c>
      <c r="G47" s="250">
        <v>1463.21351134</v>
      </c>
    </row>
    <row r="48" spans="2:10">
      <c r="B48" s="247" t="s">
        <v>103</v>
      </c>
      <c r="C48" s="251"/>
      <c r="D48" s="251">
        <v>-431.98835200000002</v>
      </c>
      <c r="E48" s="251">
        <v>-465.35082299999999</v>
      </c>
      <c r="F48" s="251">
        <v>-631.70753400000001</v>
      </c>
      <c r="G48" s="251">
        <v>-569.16611</v>
      </c>
    </row>
    <row r="49" spans="2:10">
      <c r="B49" s="247" t="s">
        <v>104</v>
      </c>
      <c r="C49" s="250"/>
      <c r="D49" s="250">
        <f t="shared" ref="D49:G49" si="17">SUM(D44:D48)</f>
        <v>10497.580635175716</v>
      </c>
      <c r="E49" s="250">
        <f t="shared" si="17"/>
        <v>10277.928045907254</v>
      </c>
      <c r="F49" s="250">
        <f t="shared" si="17"/>
        <v>10099.456570578304</v>
      </c>
      <c r="G49" s="250">
        <f t="shared" si="17"/>
        <v>9793.83332150965</v>
      </c>
    </row>
    <row r="50" spans="2:10" ht="4.5" customHeight="1">
      <c r="B50" s="247"/>
      <c r="C50" s="263"/>
      <c r="D50" s="263"/>
      <c r="E50" s="263"/>
      <c r="F50" s="263"/>
      <c r="G50" s="263"/>
      <c r="H50" s="173"/>
      <c r="I50" s="173"/>
      <c r="J50" s="173"/>
    </row>
    <row r="51" spans="2:10">
      <c r="B51" s="252" t="s">
        <v>105</v>
      </c>
      <c r="C51" s="250"/>
      <c r="D51" s="250">
        <f t="shared" ref="D51:G51" si="18">D49-D42</f>
        <v>1365.340512902716</v>
      </c>
      <c r="E51" s="250">
        <f t="shared" si="18"/>
        <v>1203.2982448712555</v>
      </c>
      <c r="F51" s="250">
        <f t="shared" si="18"/>
        <v>879.45676954230476</v>
      </c>
      <c r="G51" s="250">
        <f t="shared" si="18"/>
        <v>683.67752047365138</v>
      </c>
    </row>
    <row r="52" spans="2:10">
      <c r="B52" s="252" t="s">
        <v>106</v>
      </c>
      <c r="C52" s="219"/>
      <c r="D52" s="219">
        <f t="shared" ref="D52:G52" si="19">IF(D42&lt;&gt;0,D51/D42,0)</f>
        <v>0.14950773245358828</v>
      </c>
      <c r="E52" s="219">
        <f t="shared" si="19"/>
        <v>0.13260025711835449</v>
      </c>
      <c r="F52" s="219">
        <f t="shared" si="19"/>
        <v>9.5385768820025918E-2</v>
      </c>
      <c r="G52" s="219">
        <f t="shared" si="19"/>
        <v>7.5045645256242952E-2</v>
      </c>
    </row>
    <row r="53" spans="2:10">
      <c r="B53" s="247"/>
      <c r="C53" s="247"/>
      <c r="D53" s="247"/>
      <c r="E53" s="247"/>
      <c r="F53" s="247"/>
      <c r="G53" s="247"/>
    </row>
    <row r="54" spans="2:10">
      <c r="B54" s="288" t="s">
        <v>167</v>
      </c>
      <c r="C54" s="247"/>
      <c r="D54" s="247"/>
      <c r="E54" s="247"/>
      <c r="F54" s="247"/>
      <c r="G54" s="247"/>
    </row>
    <row r="55" spans="2:10">
      <c r="B55" s="249"/>
      <c r="C55" s="247"/>
      <c r="D55" s="247"/>
      <c r="E55" s="247"/>
      <c r="F55" s="247"/>
      <c r="G55" s="247"/>
    </row>
    <row r="56" spans="2:10" hidden="1">
      <c r="B56" s="247" t="s">
        <v>152</v>
      </c>
      <c r="C56" s="247">
        <v>0</v>
      </c>
      <c r="D56" s="247">
        <f t="shared" ref="D56:G56" si="20">C56+13</f>
        <v>13</v>
      </c>
      <c r="E56" s="247">
        <f t="shared" si="20"/>
        <v>26</v>
      </c>
      <c r="F56" s="247">
        <f t="shared" si="20"/>
        <v>39</v>
      </c>
      <c r="G56" s="247">
        <f t="shared" si="20"/>
        <v>52</v>
      </c>
    </row>
  </sheetData>
  <phoneticPr fontId="18" type="noConversion"/>
  <conditionalFormatting sqref="C19:F19 C51:F51 C35:F35">
    <cfRule type="cellIs" dxfId="1" priority="6" stopIfTrue="1" operator="lessThan">
      <formula>0</formula>
    </cfRule>
  </conditionalFormatting>
  <conditionalFormatting sqref="C19:G19 C35:G35 C51:G51">
    <cfRule type="cellIs" dxfId="0" priority="1" stopIfTrue="1" operator="lessThan">
      <formula>0</formula>
    </cfRule>
  </conditionalFormatting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1"/>
  <dimension ref="A1:P59"/>
  <sheetViews>
    <sheetView zoomScaleSheetLayoutView="10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C40" sqref="C40"/>
    </sheetView>
  </sheetViews>
  <sheetFormatPr defaultRowHeight="12.75"/>
  <cols>
    <col min="1" max="1" width="9.33203125" style="2"/>
    <col min="2" max="10" width="7.6640625" style="2" customWidth="1"/>
    <col min="11" max="11" width="7.6640625" style="3" customWidth="1"/>
    <col min="12" max="13" width="7.6640625" style="2" customWidth="1"/>
    <col min="14" max="15" width="10.83203125" style="2" customWidth="1"/>
    <col min="16" max="21" width="15.33203125" style="2" customWidth="1"/>
    <col min="22" max="16384" width="9.33203125" style="2"/>
  </cols>
  <sheetData>
    <row r="1" spans="1:13" s="17" customFormat="1" ht="15.75">
      <c r="A1" s="1" t="s">
        <v>82</v>
      </c>
      <c r="B1" s="1"/>
      <c r="C1" s="1"/>
      <c r="D1" s="1"/>
      <c r="E1" s="19"/>
      <c r="F1" s="1"/>
      <c r="G1" s="1"/>
      <c r="H1" s="1"/>
      <c r="I1" s="1"/>
      <c r="J1" s="29"/>
      <c r="K1" s="30"/>
      <c r="L1" s="19"/>
      <c r="M1" s="19"/>
    </row>
    <row r="2" spans="1:13" s="20" customFormat="1" ht="15">
      <c r="A2" s="7" t="s">
        <v>72</v>
      </c>
      <c r="B2" s="7"/>
      <c r="C2" s="7"/>
      <c r="D2" s="7"/>
      <c r="E2" s="7"/>
      <c r="F2" s="7"/>
      <c r="G2" s="7"/>
      <c r="H2" s="7"/>
      <c r="I2" s="7"/>
      <c r="J2" s="7"/>
      <c r="K2" s="31"/>
      <c r="L2" s="29"/>
      <c r="M2" s="29"/>
    </row>
    <row r="3" spans="1:13" s="20" customFormat="1" ht="15">
      <c r="A3" s="7" t="str">
        <f>"Avoided Resource ("&amp;A10&amp;" through "&amp;MAX(A10:A15)&amp;")"</f>
        <v>Avoided Resource (2011 through 2014)</v>
      </c>
      <c r="B3" s="7"/>
      <c r="C3" s="7"/>
      <c r="D3" s="7"/>
      <c r="E3" s="7"/>
      <c r="F3" s="7"/>
      <c r="G3" s="7"/>
      <c r="H3" s="7"/>
      <c r="I3" s="7"/>
      <c r="J3" s="7"/>
      <c r="K3" s="31"/>
      <c r="L3" s="29"/>
      <c r="M3" s="29"/>
    </row>
    <row r="4" spans="1:13" ht="15">
      <c r="A4" s="7" t="s">
        <v>46</v>
      </c>
      <c r="B4" s="7"/>
      <c r="C4" s="7"/>
      <c r="D4" s="7"/>
      <c r="E4" s="7"/>
      <c r="F4" s="7"/>
      <c r="G4" s="7"/>
      <c r="H4" s="7"/>
      <c r="I4" s="7"/>
      <c r="J4" s="7"/>
      <c r="K4" s="31"/>
      <c r="L4" s="29"/>
      <c r="M4" s="29"/>
    </row>
    <row r="5" spans="1:13">
      <c r="B5" s="41"/>
      <c r="C5" s="41"/>
      <c r="D5" s="41"/>
      <c r="E5" s="14"/>
      <c r="F5" s="14"/>
      <c r="G5" s="14"/>
      <c r="H5" s="14"/>
      <c r="I5" s="14"/>
      <c r="J5" s="14"/>
      <c r="K5" s="32"/>
    </row>
    <row r="6" spans="1:13">
      <c r="A6" s="4" t="s">
        <v>3</v>
      </c>
      <c r="B6" s="43" t="s">
        <v>66</v>
      </c>
      <c r="C6" s="62"/>
      <c r="D6" s="62"/>
      <c r="E6" s="43"/>
      <c r="F6" s="43"/>
      <c r="G6" s="43" t="s">
        <v>67</v>
      </c>
      <c r="H6" s="43"/>
      <c r="I6" s="43"/>
      <c r="J6" s="43"/>
      <c r="K6" s="43" t="s">
        <v>66</v>
      </c>
      <c r="L6" s="43"/>
      <c r="M6" s="43"/>
    </row>
    <row r="7" spans="1:13">
      <c r="A7" s="40"/>
      <c r="B7" s="231" t="s">
        <v>54</v>
      </c>
      <c r="C7" s="231" t="s">
        <v>55</v>
      </c>
      <c r="D7" s="231" t="s">
        <v>56</v>
      </c>
      <c r="E7" s="231" t="s">
        <v>57</v>
      </c>
      <c r="F7" s="55" t="s">
        <v>58</v>
      </c>
      <c r="G7" s="231" t="s">
        <v>59</v>
      </c>
      <c r="H7" s="231" t="s">
        <v>60</v>
      </c>
      <c r="I7" s="231" t="s">
        <v>61</v>
      </c>
      <c r="J7" s="55" t="s">
        <v>62</v>
      </c>
      <c r="K7" s="231" t="s">
        <v>63</v>
      </c>
      <c r="L7" s="231" t="s">
        <v>64</v>
      </c>
      <c r="M7" s="55" t="s">
        <v>65</v>
      </c>
    </row>
    <row r="8" spans="1:13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s="6" customFormat="1" ht="12.75" customHeight="1">
      <c r="A9" s="27" t="s">
        <v>1</v>
      </c>
      <c r="C9" s="18"/>
      <c r="D9" s="18"/>
      <c r="E9" s="18"/>
      <c r="F9" s="18"/>
      <c r="G9" s="18"/>
      <c r="H9" s="18"/>
      <c r="I9" s="18"/>
      <c r="J9" s="18"/>
      <c r="K9" s="33"/>
      <c r="L9" s="9"/>
      <c r="M9" s="9"/>
    </row>
    <row r="10" spans="1:13" s="6" customFormat="1" ht="12.75" customHeight="1">
      <c r="A10" s="158">
        <f>A16</f>
        <v>2011</v>
      </c>
      <c r="B10" s="101"/>
      <c r="C10" s="92"/>
      <c r="D10" s="92"/>
      <c r="E10" s="92"/>
      <c r="F10" s="93"/>
      <c r="G10" s="92"/>
      <c r="H10" s="92">
        <f>H16+'Tables 3 to 6'!$W12</f>
        <v>40.280726840933482</v>
      </c>
      <c r="I10" s="92">
        <f>I16+'Tables 3 to 6'!$W12</f>
        <v>43.626199951973817</v>
      </c>
      <c r="J10" s="92">
        <f>J16+'Tables 3 to 6'!$W12</f>
        <v>36.619355638174135</v>
      </c>
      <c r="K10" s="101">
        <f>K16+'Tables 3 to 6'!$W12</f>
        <v>37.811412691058166</v>
      </c>
      <c r="L10" s="92">
        <f>L16+'Tables 3 to 6'!$W12</f>
        <v>38.355823327836887</v>
      </c>
      <c r="M10" s="93">
        <f>M16+'Tables 3 to 6'!$W12</f>
        <v>40.286494269728337</v>
      </c>
    </row>
    <row r="11" spans="1:13" s="6" customFormat="1" ht="12.75" customHeight="1">
      <c r="A11" s="159">
        <f>A17</f>
        <v>2012</v>
      </c>
      <c r="B11" s="76">
        <f>B17+'Tables 3 to 6'!$W13</f>
        <v>50.659311096986691</v>
      </c>
      <c r="C11" s="12">
        <f>C17+'Tables 3 to 6'!$W13</f>
        <v>50.952157019768549</v>
      </c>
      <c r="D11" s="12">
        <f>D17+'Tables 3 to 6'!$W13</f>
        <v>49.360934197579816</v>
      </c>
      <c r="E11" s="12">
        <f>E17+'Tables 3 to 6'!$W13</f>
        <v>43.930239694447565</v>
      </c>
      <c r="F11" s="75">
        <f>F17+'Tables 3 to 6'!$W13</f>
        <v>40.68622188440694</v>
      </c>
      <c r="G11" s="12">
        <f>G17+'Tables 3 to 6'!$W13</f>
        <v>42.040654998634835</v>
      </c>
      <c r="H11" s="12">
        <f>H17+'Tables 3 to 6'!$W13</f>
        <v>57.804667106520746</v>
      </c>
      <c r="I11" s="12">
        <f>I17+'Tables 3 to 6'!$W13</f>
        <v>59.509391091901769</v>
      </c>
      <c r="J11" s="75">
        <f>J17+'Tables 3 to 6'!$W13</f>
        <v>50.171586584740631</v>
      </c>
      <c r="K11" s="12">
        <f>K17+'Tables 3 to 6'!$W13</f>
        <v>50.142306679000136</v>
      </c>
      <c r="L11" s="12">
        <f>L17+'Tables 3 to 6'!$W13</f>
        <v>51.940538786744902</v>
      </c>
      <c r="M11" s="75">
        <f>M17+'Tables 3 to 6'!$W13</f>
        <v>54.319939980264955</v>
      </c>
    </row>
    <row r="12" spans="1:13" s="6" customFormat="1" ht="12.75" customHeight="1">
      <c r="A12" s="159">
        <f>A18</f>
        <v>2013</v>
      </c>
      <c r="B12" s="76">
        <f>B18+'Tables 3 to 6'!$W14</f>
        <v>54.461162599221431</v>
      </c>
      <c r="C12" s="12">
        <f>C18+'Tables 3 to 6'!$W14</f>
        <v>53.303853040687031</v>
      </c>
      <c r="D12" s="12">
        <f>D18+'Tables 3 to 6'!$W14</f>
        <v>53.850664880414321</v>
      </c>
      <c r="E12" s="12">
        <f>E18+'Tables 3 to 6'!$W14</f>
        <v>47.501968402781834</v>
      </c>
      <c r="F12" s="75">
        <f>F18+'Tables 3 to 6'!$W14</f>
        <v>43.87558040322395</v>
      </c>
      <c r="G12" s="12">
        <f>G18+'Tables 3 to 6'!$W14</f>
        <v>44.647701928716984</v>
      </c>
      <c r="H12" s="12">
        <f>H18+'Tables 3 to 6'!$W14</f>
        <v>63.190205393085876</v>
      </c>
      <c r="I12" s="12">
        <f>I18+'Tables 3 to 6'!$W14</f>
        <v>64.567451932733093</v>
      </c>
      <c r="J12" s="75">
        <f>J18+'Tables 3 to 6'!$W14</f>
        <v>55.013098778865405</v>
      </c>
      <c r="K12" s="12">
        <f>K18+'Tables 3 to 6'!$W14</f>
        <v>53.021508772534226</v>
      </c>
      <c r="L12" s="12">
        <f>L18+'Tables 3 to 6'!$W14</f>
        <v>55.10042134089602</v>
      </c>
      <c r="M12" s="75">
        <f>M18+'Tables 3 to 6'!$W14</f>
        <v>57.097027251137597</v>
      </c>
    </row>
    <row r="13" spans="1:13" s="6" customFormat="1" ht="12.75" customHeight="1">
      <c r="A13" s="160">
        <f>A19</f>
        <v>2014</v>
      </c>
      <c r="B13" s="102">
        <f>B19+'Tables 3 to 6'!$W15</f>
        <v>59.688850510719249</v>
      </c>
      <c r="C13" s="97">
        <f>C19+'Tables 3 to 6'!$W15</f>
        <v>58.742069216649085</v>
      </c>
      <c r="D13" s="97">
        <f>D19+'Tables 3 to 6'!$W15</f>
        <v>57.79300557268202</v>
      </c>
      <c r="E13" s="97">
        <f>E19+'Tables 3 to 6'!$W15</f>
        <v>51.555626565275915</v>
      </c>
      <c r="F13" s="99">
        <f>F19+'Tables 3 to 6'!$W15</f>
        <v>48.696359991939161</v>
      </c>
      <c r="G13" s="97">
        <f>G19+'Tables 3 to 6'!$W15</f>
        <v>45.880453074251612</v>
      </c>
      <c r="H13" s="97">
        <f>H19+'Tables 3 to 6'!$W15</f>
        <v>65.042221200470166</v>
      </c>
      <c r="I13" s="97">
        <f>I19+'Tables 3 to 6'!$W15</f>
        <v>66.749899368809281</v>
      </c>
      <c r="J13" s="99">
        <f>J19+'Tables 3 to 6'!$W15</f>
        <v>56.908706153850588</v>
      </c>
      <c r="K13" s="97">
        <f>K19+'Tables 3 to 6'!$W15</f>
        <v>53.247444843795265</v>
      </c>
      <c r="L13" s="97">
        <f>L19+'Tables 3 to 6'!$W15</f>
        <v>49.868898085914552</v>
      </c>
      <c r="M13" s="99">
        <f>M19+'Tables 3 to 6'!$W15</f>
        <v>52.562161328144853</v>
      </c>
    </row>
    <row r="14" spans="1:13" s="6" customFormat="1" ht="12.75" customHeight="1">
      <c r="A14" s="11"/>
      <c r="B14" s="77"/>
      <c r="C14" s="77"/>
      <c r="D14" s="77"/>
      <c r="E14" s="77"/>
      <c r="G14" s="9"/>
      <c r="H14" s="9"/>
      <c r="I14" s="9"/>
      <c r="J14" s="78"/>
      <c r="K14" s="9"/>
      <c r="L14" s="9"/>
      <c r="M14" s="9"/>
    </row>
    <row r="15" spans="1:13" s="6" customFormat="1" ht="12.75" customHeight="1">
      <c r="A15" s="27" t="s">
        <v>2</v>
      </c>
      <c r="C15" s="18"/>
      <c r="D15" s="18"/>
      <c r="E15" s="18"/>
      <c r="G15" s="18"/>
      <c r="H15" s="18"/>
      <c r="I15" s="18"/>
      <c r="J15" s="33"/>
      <c r="K15" s="9"/>
      <c r="L15" s="18"/>
      <c r="M15" s="9"/>
    </row>
    <row r="16" spans="1:13" s="6" customFormat="1" ht="12.75" customHeight="1">
      <c r="A16" s="158">
        <f>'Tables 3 to 6'!B12</f>
        <v>2011</v>
      </c>
      <c r="B16" s="101"/>
      <c r="C16" s="92"/>
      <c r="D16" s="92"/>
      <c r="E16" s="92"/>
      <c r="F16" s="93"/>
      <c r="G16" s="92"/>
      <c r="H16" s="92">
        <v>33.600726840933483</v>
      </c>
      <c r="I16" s="92">
        <v>36.946199951973817</v>
      </c>
      <c r="J16" s="92">
        <v>29.939355638174135</v>
      </c>
      <c r="K16" s="101">
        <v>31.13141269105817</v>
      </c>
      <c r="L16" s="92">
        <v>31.675823327836891</v>
      </c>
      <c r="M16" s="93">
        <v>33.606494269728337</v>
      </c>
    </row>
    <row r="17" spans="1:14" s="6" customFormat="1" ht="12.75" customHeight="1">
      <c r="A17" s="159">
        <f>A16+1</f>
        <v>2012</v>
      </c>
      <c r="B17" s="76">
        <v>34.829311096986693</v>
      </c>
      <c r="C17" s="12">
        <v>35.122157019768551</v>
      </c>
      <c r="D17" s="12">
        <v>33.530934197579818</v>
      </c>
      <c r="E17" s="12">
        <v>28.100239694447566</v>
      </c>
      <c r="F17" s="75">
        <v>24.856221884406942</v>
      </c>
      <c r="G17" s="12">
        <v>26.210654998634837</v>
      </c>
      <c r="H17" s="12">
        <v>41.974667106520748</v>
      </c>
      <c r="I17" s="12">
        <v>43.67939109190177</v>
      </c>
      <c r="J17" s="75">
        <v>34.341586584740632</v>
      </c>
      <c r="K17" s="12">
        <v>34.312306679000137</v>
      </c>
      <c r="L17" s="12">
        <v>36.110538786744904</v>
      </c>
      <c r="M17" s="75">
        <v>38.489939980264957</v>
      </c>
    </row>
    <row r="18" spans="1:14" s="6" customFormat="1" ht="12.75" customHeight="1">
      <c r="A18" s="159">
        <f t="shared" ref="A18:A19" si="0">A17+1</f>
        <v>2013</v>
      </c>
      <c r="B18" s="76">
        <v>38.351162599221432</v>
      </c>
      <c r="C18" s="12">
        <v>37.193853040687031</v>
      </c>
      <c r="D18" s="12">
        <v>37.740664880414322</v>
      </c>
      <c r="E18" s="12">
        <v>31.391968402781835</v>
      </c>
      <c r="F18" s="75">
        <v>27.765580403223954</v>
      </c>
      <c r="G18" s="12">
        <v>28.537701928716981</v>
      </c>
      <c r="H18" s="12">
        <v>47.080205393085876</v>
      </c>
      <c r="I18" s="12">
        <v>48.4574519327331</v>
      </c>
      <c r="J18" s="75">
        <v>38.903098778865406</v>
      </c>
      <c r="K18" s="12">
        <v>36.911508772534226</v>
      </c>
      <c r="L18" s="12">
        <v>38.99042134089602</v>
      </c>
      <c r="M18" s="75">
        <v>40.987027251137597</v>
      </c>
    </row>
    <row r="19" spans="1:14" s="6" customFormat="1" ht="12.75" customHeight="1">
      <c r="A19" s="160">
        <f t="shared" si="0"/>
        <v>2014</v>
      </c>
      <c r="B19" s="102">
        <v>43.238850510719246</v>
      </c>
      <c r="C19" s="97">
        <v>42.292069216649089</v>
      </c>
      <c r="D19" s="97">
        <v>41.343005572682024</v>
      </c>
      <c r="E19" s="97">
        <v>35.105626565275919</v>
      </c>
      <c r="F19" s="99">
        <v>32.246359991939158</v>
      </c>
      <c r="G19" s="97">
        <v>29.430453074251613</v>
      </c>
      <c r="H19" s="97">
        <v>48.592221200470163</v>
      </c>
      <c r="I19" s="97">
        <v>50.299899368809278</v>
      </c>
      <c r="J19" s="99">
        <v>40.458706153850585</v>
      </c>
      <c r="K19" s="97">
        <v>36.797444843795269</v>
      </c>
      <c r="L19" s="97">
        <v>33.418898085914549</v>
      </c>
      <c r="M19" s="99">
        <v>36.11216132814485</v>
      </c>
    </row>
    <row r="20" spans="1:14" s="6" customFormat="1" ht="12.75" customHeight="1">
      <c r="A20" s="11"/>
      <c r="B20" s="77"/>
      <c r="C20" s="77"/>
      <c r="D20" s="77"/>
      <c r="E20" s="77"/>
      <c r="G20" s="9"/>
      <c r="H20" s="9"/>
      <c r="I20" s="9"/>
      <c r="J20" s="78"/>
      <c r="K20" s="9"/>
      <c r="L20" s="9"/>
      <c r="M20" s="9"/>
    </row>
    <row r="21" spans="1:14" s="6" customFormat="1" ht="12.75" customHeight="1">
      <c r="A21" s="27" t="s">
        <v>11</v>
      </c>
      <c r="C21" s="18"/>
      <c r="D21" s="18"/>
      <c r="E21" s="18"/>
      <c r="G21" s="18"/>
      <c r="H21" s="18"/>
      <c r="I21" s="18"/>
      <c r="J21" s="33"/>
      <c r="K21" s="9"/>
      <c r="L21" s="18"/>
      <c r="M21" s="9"/>
    </row>
    <row r="22" spans="1:14" s="6" customFormat="1" ht="12.75" customHeight="1">
      <c r="A22" s="158">
        <f>A10</f>
        <v>2011</v>
      </c>
      <c r="B22" s="101"/>
      <c r="C22" s="92"/>
      <c r="D22" s="92"/>
      <c r="E22" s="92"/>
      <c r="F22" s="93"/>
      <c r="G22" s="92"/>
      <c r="H22" s="92">
        <f t="shared" ref="H22:M25" si="1">H10*0.57+H16*0.43</f>
        <v>37.408326840933483</v>
      </c>
      <c r="I22" s="92">
        <f t="shared" si="1"/>
        <v>40.753799951973818</v>
      </c>
      <c r="J22" s="92">
        <f t="shared" si="1"/>
        <v>33.746955638174128</v>
      </c>
      <c r="K22" s="101">
        <f t="shared" si="1"/>
        <v>34.939012691058167</v>
      </c>
      <c r="L22" s="92">
        <f t="shared" si="1"/>
        <v>35.483423327836888</v>
      </c>
      <c r="M22" s="93">
        <f t="shared" si="1"/>
        <v>37.414094269728338</v>
      </c>
    </row>
    <row r="23" spans="1:14" s="6" customFormat="1" ht="12.75" customHeight="1">
      <c r="A23" s="159">
        <f>A11</f>
        <v>2012</v>
      </c>
      <c r="B23" s="76">
        <f t="shared" ref="B23:G25" si="2">B11*0.57+B17*0.43</f>
        <v>43.852411096986692</v>
      </c>
      <c r="C23" s="12">
        <f t="shared" si="2"/>
        <v>44.14525701976855</v>
      </c>
      <c r="D23" s="12">
        <f t="shared" si="2"/>
        <v>42.55403419757981</v>
      </c>
      <c r="E23" s="12">
        <f t="shared" si="2"/>
        <v>37.123339694447566</v>
      </c>
      <c r="F23" s="75">
        <f t="shared" si="2"/>
        <v>33.879321884406934</v>
      </c>
      <c r="G23" s="12">
        <f t="shared" si="2"/>
        <v>35.233754998634836</v>
      </c>
      <c r="H23" s="12">
        <f t="shared" si="1"/>
        <v>50.99776710652074</v>
      </c>
      <c r="I23" s="12">
        <f t="shared" si="1"/>
        <v>52.702491091901763</v>
      </c>
      <c r="J23" s="75">
        <f t="shared" si="1"/>
        <v>43.364686584740625</v>
      </c>
      <c r="K23" s="12">
        <f t="shared" si="1"/>
        <v>43.335406679000137</v>
      </c>
      <c r="L23" s="12">
        <f t="shared" si="1"/>
        <v>45.133638786744903</v>
      </c>
      <c r="M23" s="75">
        <f t="shared" si="1"/>
        <v>47.513039980264949</v>
      </c>
    </row>
    <row r="24" spans="1:14" s="6" customFormat="1" ht="12.75" customHeight="1">
      <c r="A24" s="159">
        <f>A12</f>
        <v>2013</v>
      </c>
      <c r="B24" s="76">
        <f t="shared" si="2"/>
        <v>47.533862599221429</v>
      </c>
      <c r="C24" s="12">
        <f t="shared" si="2"/>
        <v>46.376553040687028</v>
      </c>
      <c r="D24" s="12">
        <f t="shared" si="2"/>
        <v>46.923364880414319</v>
      </c>
      <c r="E24" s="12">
        <f t="shared" si="2"/>
        <v>40.574668402781832</v>
      </c>
      <c r="F24" s="75">
        <f t="shared" si="2"/>
        <v>36.948280403223947</v>
      </c>
      <c r="G24" s="12">
        <f t="shared" si="2"/>
        <v>37.720401928716981</v>
      </c>
      <c r="H24" s="12">
        <f t="shared" si="1"/>
        <v>56.262905393085873</v>
      </c>
      <c r="I24" s="12">
        <f t="shared" si="1"/>
        <v>57.64015193273309</v>
      </c>
      <c r="J24" s="75">
        <f t="shared" si="1"/>
        <v>48.085798778865403</v>
      </c>
      <c r="K24" s="12">
        <f t="shared" si="1"/>
        <v>46.094208772534223</v>
      </c>
      <c r="L24" s="12">
        <f t="shared" si="1"/>
        <v>48.173121340896017</v>
      </c>
      <c r="M24" s="75">
        <f t="shared" si="1"/>
        <v>50.169727251137594</v>
      </c>
    </row>
    <row r="25" spans="1:14" s="6" customFormat="1" ht="12.75" customHeight="1">
      <c r="A25" s="160">
        <f>A13</f>
        <v>2014</v>
      </c>
      <c r="B25" s="102">
        <f t="shared" si="2"/>
        <v>52.615350510719239</v>
      </c>
      <c r="C25" s="97">
        <f t="shared" si="2"/>
        <v>51.668569216649082</v>
      </c>
      <c r="D25" s="97">
        <f t="shared" si="2"/>
        <v>50.719505572682024</v>
      </c>
      <c r="E25" s="97">
        <f t="shared" si="2"/>
        <v>44.482126565275912</v>
      </c>
      <c r="F25" s="99">
        <f t="shared" si="2"/>
        <v>41.622859991939158</v>
      </c>
      <c r="G25" s="97">
        <f t="shared" si="2"/>
        <v>38.806953074251609</v>
      </c>
      <c r="H25" s="97">
        <f t="shared" si="1"/>
        <v>57.968721200470156</v>
      </c>
      <c r="I25" s="97">
        <f t="shared" si="1"/>
        <v>59.676399368809271</v>
      </c>
      <c r="J25" s="99">
        <f t="shared" si="1"/>
        <v>49.835206153850585</v>
      </c>
      <c r="K25" s="97">
        <f t="shared" si="1"/>
        <v>46.173944843795262</v>
      </c>
      <c r="L25" s="97">
        <f t="shared" si="1"/>
        <v>42.795398085914549</v>
      </c>
      <c r="M25" s="99">
        <f t="shared" si="1"/>
        <v>45.48866132814485</v>
      </c>
    </row>
    <row r="26" spans="1:14" s="6" customFormat="1" ht="12.75" customHeight="1">
      <c r="B26" s="79"/>
      <c r="C26" s="79"/>
      <c r="D26" s="79"/>
      <c r="K26" s="78"/>
    </row>
    <row r="27" spans="1:14" s="6" customFormat="1" ht="12.75" customHeight="1">
      <c r="A27" s="27" t="s">
        <v>75</v>
      </c>
      <c r="C27" s="79"/>
      <c r="D27" s="79"/>
      <c r="K27" s="78"/>
    </row>
    <row r="28" spans="1:14" s="6" customFormat="1" ht="12.75" customHeight="1">
      <c r="A28" s="73" t="s">
        <v>3</v>
      </c>
      <c r="C28" s="80" t="s">
        <v>66</v>
      </c>
      <c r="D28" s="8"/>
      <c r="E28" s="81"/>
      <c r="F28" s="9"/>
      <c r="G28" s="80" t="s">
        <v>67</v>
      </c>
      <c r="H28" s="8"/>
      <c r="I28" s="81"/>
      <c r="J28" s="9"/>
      <c r="K28" s="80" t="s">
        <v>76</v>
      </c>
      <c r="L28" s="8"/>
      <c r="M28" s="81"/>
    </row>
    <row r="29" spans="1:14" s="3" customFormat="1" ht="12.75" customHeight="1">
      <c r="A29" s="10"/>
      <c r="B29" s="9"/>
      <c r="C29" s="103" t="s">
        <v>93</v>
      </c>
      <c r="D29" s="104" t="s">
        <v>2</v>
      </c>
      <c r="E29" s="104" t="s">
        <v>11</v>
      </c>
      <c r="F29" s="35"/>
      <c r="G29" s="103" t="s">
        <v>93</v>
      </c>
      <c r="H29" s="104" t="s">
        <v>2</v>
      </c>
      <c r="I29" s="104" t="s">
        <v>11</v>
      </c>
      <c r="J29" s="35"/>
      <c r="K29" s="103" t="s">
        <v>93</v>
      </c>
      <c r="L29" s="104" t="s">
        <v>2</v>
      </c>
      <c r="M29" s="104" t="s">
        <v>11</v>
      </c>
      <c r="N29" s="41"/>
    </row>
    <row r="30" spans="1:14" s="3" customFormat="1" ht="12.75" customHeight="1">
      <c r="A30" s="72">
        <f>A10</f>
        <v>2011</v>
      </c>
      <c r="C30" s="232">
        <f>ROUND(AVERAGE(B10:F10,K10:M10),2)</f>
        <v>38.82</v>
      </c>
      <c r="D30" s="232">
        <f>ROUND(AVERAGE(B16:F16,K16:M16),2)</f>
        <v>32.14</v>
      </c>
      <c r="E30" s="232">
        <f>ROUND(AVERAGE(B22:F22,K22:M22),2)</f>
        <v>35.950000000000003</v>
      </c>
      <c r="G30" s="5">
        <f>ROUND(AVERAGE(G10:J10),2)</f>
        <v>40.18</v>
      </c>
      <c r="H30" s="5">
        <f>ROUND(AVERAGE(G16:J16),2)</f>
        <v>33.5</v>
      </c>
      <c r="I30" s="5">
        <f>ROUND(AVERAGE(G22:J22),2)</f>
        <v>37.299999999999997</v>
      </c>
      <c r="K30" s="232">
        <f>ROUND(AVERAGE(B10:M10),2)</f>
        <v>39.5</v>
      </c>
      <c r="L30" s="232">
        <f>ROUND(AVERAGE(B16:M16),2)</f>
        <v>32.82</v>
      </c>
      <c r="M30" s="232">
        <f>ROUND(AVERAGE(B22:M22),2)</f>
        <v>36.619999999999997</v>
      </c>
    </row>
    <row r="31" spans="1:14" s="3" customFormat="1" ht="12.75" customHeight="1">
      <c r="A31" s="72">
        <f>A11</f>
        <v>2012</v>
      </c>
      <c r="C31" s="232">
        <f>ROUND(AVERAGE(B11:F11,K11:M11),2)</f>
        <v>49</v>
      </c>
      <c r="D31" s="232">
        <f>ROUND(AVERAGE(B17:F17,K17:M17),2)</f>
        <v>33.17</v>
      </c>
      <c r="E31" s="232">
        <f>ROUND(AVERAGE(B23:F23,K23:M23),2)</f>
        <v>42.19</v>
      </c>
      <c r="G31" s="5">
        <f>ROUND(AVERAGE(G11:J11),2)</f>
        <v>52.38</v>
      </c>
      <c r="H31" s="5">
        <f>ROUND(AVERAGE(G17:J17),2)</f>
        <v>36.549999999999997</v>
      </c>
      <c r="I31" s="5">
        <f>ROUND(AVERAGE(G23:J23),2)</f>
        <v>45.57</v>
      </c>
      <c r="K31" s="232">
        <f>ROUND(AVERAGE(B11:M11),2)</f>
        <v>50.13</v>
      </c>
      <c r="L31" s="232">
        <f>ROUND(AVERAGE(B17:M17),2)</f>
        <v>34.299999999999997</v>
      </c>
      <c r="M31" s="232">
        <f>ROUND(AVERAGE(B23:M23),2)</f>
        <v>43.32</v>
      </c>
    </row>
    <row r="32" spans="1:14" s="3" customFormat="1" ht="12.75" customHeight="1">
      <c r="A32" s="72">
        <f>A12</f>
        <v>2013</v>
      </c>
      <c r="C32" s="232">
        <f>ROUND(AVERAGE(B12:F12,K12:M12),2)</f>
        <v>52.28</v>
      </c>
      <c r="D32" s="232">
        <f>ROUND(AVERAGE(B18:F18,K18:M18),2)</f>
        <v>36.17</v>
      </c>
      <c r="E32" s="232">
        <f>ROUND(AVERAGE(B24:F24,K24:M24),2)</f>
        <v>45.35</v>
      </c>
      <c r="G32" s="5">
        <f>ROUND(AVERAGE(G12:J12),2)</f>
        <v>56.85</v>
      </c>
      <c r="H32" s="5">
        <f>ROUND(AVERAGE(G18:J18),2)</f>
        <v>40.74</v>
      </c>
      <c r="I32" s="5">
        <f>ROUND(AVERAGE(G24:J24),2)</f>
        <v>49.93</v>
      </c>
      <c r="K32" s="232">
        <f>ROUND(AVERAGE(B12:M12),2)</f>
        <v>53.8</v>
      </c>
      <c r="L32" s="232">
        <f>ROUND(AVERAGE(B18:M18),2)</f>
        <v>37.69</v>
      </c>
      <c r="M32" s="232">
        <f>ROUND(AVERAGE(B24:M24),2)</f>
        <v>46.88</v>
      </c>
    </row>
    <row r="33" spans="1:16" s="3" customFormat="1" ht="12.75" customHeight="1">
      <c r="A33" s="72">
        <f>A13</f>
        <v>2014</v>
      </c>
      <c r="C33" s="232">
        <f>ROUND(AVERAGE(B13:F13,K13:M13),2)</f>
        <v>54.02</v>
      </c>
      <c r="D33" s="232">
        <f>ROUND(AVERAGE(B19:F19,K19:M19),2)</f>
        <v>37.57</v>
      </c>
      <c r="E33" s="232">
        <f>ROUND(AVERAGE(B25:F25,K25:M25),2)</f>
        <v>46.95</v>
      </c>
      <c r="G33" s="5">
        <f>ROUND(AVERAGE(G13:J13),2)</f>
        <v>58.65</v>
      </c>
      <c r="H33" s="5">
        <f>ROUND(AVERAGE(G19:J19),2)</f>
        <v>42.2</v>
      </c>
      <c r="I33" s="5">
        <f>ROUND(AVERAGE(G25:J25),2)</f>
        <v>51.57</v>
      </c>
      <c r="K33" s="232">
        <f>ROUND(AVERAGE(B13:M13),2)</f>
        <v>55.56</v>
      </c>
      <c r="L33" s="232">
        <f>ROUND(AVERAGE(B19:M19),2)</f>
        <v>39.11</v>
      </c>
      <c r="M33" s="232">
        <f>ROUND(AVERAGE(B25:M25),2)</f>
        <v>48.49</v>
      </c>
    </row>
    <row r="34" spans="1:16" s="3" customFormat="1" ht="12.75" customHeight="1">
      <c r="A34" s="233"/>
      <c r="K34" s="234"/>
    </row>
    <row r="35" spans="1:16" s="3" customFormat="1" ht="12.75" customHeight="1">
      <c r="A35" s="2" t="s">
        <v>95</v>
      </c>
      <c r="D35" s="232"/>
      <c r="E35" s="5"/>
      <c r="F35" s="5"/>
      <c r="G35" s="5"/>
      <c r="J35" s="5"/>
      <c r="K35" s="5"/>
    </row>
    <row r="36" spans="1:16" ht="12.75" customHeight="1">
      <c r="A36" s="2" t="s">
        <v>93</v>
      </c>
      <c r="B36" s="3" t="str">
        <f>"Off-Peak energy cost plus on-peak capacity cost from "&amp;'Tables 3 to 6'!$U$1&amp;"  Column "&amp;'Tables 3 to 6'!$X$8</f>
        <v>Off-Peak energy cost plus on-peak capacity cost from Table 6  Column (c)</v>
      </c>
      <c r="C36" s="3"/>
      <c r="D36" s="232"/>
      <c r="E36" s="5"/>
      <c r="F36" s="5"/>
      <c r="G36" s="5"/>
      <c r="H36" s="3"/>
      <c r="O36" s="3"/>
      <c r="P36" s="3"/>
    </row>
    <row r="37" spans="1:16" ht="12.75" customHeight="1">
      <c r="A37" s="2" t="s">
        <v>2</v>
      </c>
      <c r="B37" s="235" t="s">
        <v>168</v>
      </c>
      <c r="C37" s="3"/>
      <c r="D37" s="3"/>
      <c r="E37" s="3"/>
      <c r="F37" s="3"/>
      <c r="G37" s="3"/>
      <c r="O37" s="3"/>
      <c r="P37" s="3"/>
    </row>
    <row r="38" spans="1:16" ht="12.75" customHeight="1">
      <c r="A38" s="2" t="s">
        <v>11</v>
      </c>
      <c r="B38" s="2" t="s">
        <v>94</v>
      </c>
      <c r="C38" s="3"/>
      <c r="D38" s="3"/>
      <c r="E38" s="3"/>
      <c r="F38" s="3"/>
      <c r="G38" s="3"/>
      <c r="O38" s="3"/>
      <c r="P38" s="3"/>
    </row>
    <row r="59" ht="24.75" customHeight="1"/>
  </sheetData>
  <phoneticPr fontId="6" type="noConversion"/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1:AA50"/>
  <sheetViews>
    <sheetView topLeftCell="M1" zoomScaleNormal="100" zoomScaleSheetLayoutView="100" workbookViewId="0">
      <pane ySplit="10" topLeftCell="A11" activePane="bottomLeft" state="frozen"/>
      <selection activeCell="B8" sqref="B8"/>
      <selection pane="bottomLeft" activeCell="R23" sqref="R23"/>
    </sheetView>
  </sheetViews>
  <sheetFormatPr defaultRowHeight="12.75"/>
  <cols>
    <col min="1" max="1" width="1.6640625" style="6" customWidth="1"/>
    <col min="2" max="2" width="12.1640625" style="6" customWidth="1"/>
    <col min="3" max="6" width="20" style="6" customWidth="1"/>
    <col min="7" max="7" width="1.6640625" style="9" customWidth="1"/>
    <col min="8" max="8" width="12.1640625" style="6" customWidth="1"/>
    <col min="9" max="12" width="20" style="6" customWidth="1"/>
    <col min="13" max="13" width="1.6640625" style="9" customWidth="1"/>
    <col min="14" max="14" width="10.5" style="6" customWidth="1"/>
    <col min="15" max="19" width="16" style="6" customWidth="1"/>
    <col min="20" max="20" width="1.6640625" style="9" customWidth="1"/>
    <col min="21" max="21" width="10.5" style="6" customWidth="1"/>
    <col min="22" max="26" width="16" style="6" customWidth="1"/>
    <col min="27" max="16384" width="9.33203125" style="6"/>
  </cols>
  <sheetData>
    <row r="1" spans="2:26" s="17" customFormat="1" ht="15.75">
      <c r="B1" s="1" t="s">
        <v>36</v>
      </c>
      <c r="C1" s="1"/>
      <c r="D1" s="1"/>
      <c r="E1" s="1"/>
      <c r="F1" s="1"/>
      <c r="G1" s="22"/>
      <c r="H1" s="1" t="s">
        <v>37</v>
      </c>
      <c r="I1" s="1"/>
      <c r="J1" s="1"/>
      <c r="K1" s="1"/>
      <c r="L1" s="1"/>
      <c r="M1" s="23"/>
      <c r="N1" s="1" t="s">
        <v>38</v>
      </c>
      <c r="O1" s="19"/>
      <c r="P1" s="1"/>
      <c r="Q1" s="1"/>
      <c r="R1" s="1"/>
      <c r="S1" s="1"/>
      <c r="T1" s="23"/>
      <c r="U1" s="1" t="s">
        <v>39</v>
      </c>
      <c r="V1" s="19"/>
      <c r="W1" s="1"/>
      <c r="X1" s="1"/>
      <c r="Y1" s="1"/>
      <c r="Z1" s="19"/>
    </row>
    <row r="2" spans="2:26" s="20" customFormat="1" ht="15">
      <c r="B2" s="7" t="s">
        <v>17</v>
      </c>
      <c r="C2" s="7"/>
      <c r="D2" s="7"/>
      <c r="E2" s="7"/>
      <c r="F2" s="7"/>
      <c r="G2" s="23"/>
      <c r="H2" s="7" t="s">
        <v>18</v>
      </c>
      <c r="I2" s="7"/>
      <c r="J2" s="7"/>
      <c r="K2" s="7"/>
      <c r="L2" s="7"/>
      <c r="M2" s="23"/>
      <c r="N2" s="7" t="s">
        <v>21</v>
      </c>
      <c r="O2" s="7"/>
      <c r="P2" s="7"/>
      <c r="Q2" s="7"/>
      <c r="R2" s="7"/>
      <c r="S2" s="7"/>
      <c r="T2" s="23"/>
      <c r="U2" s="7" t="s">
        <v>33</v>
      </c>
      <c r="V2" s="7"/>
      <c r="W2" s="7"/>
      <c r="X2" s="7"/>
      <c r="Y2" s="7"/>
      <c r="Z2" s="7"/>
    </row>
    <row r="3" spans="2:26" s="2" customFormat="1">
      <c r="G3" s="35"/>
      <c r="M3" s="35"/>
      <c r="T3" s="35"/>
    </row>
    <row r="4" spans="2:26" s="2" customFormat="1">
      <c r="B4" s="37"/>
      <c r="C4" s="58" t="s">
        <v>131</v>
      </c>
      <c r="D4" s="46" t="s">
        <v>4</v>
      </c>
      <c r="E4" s="59"/>
      <c r="F4" s="4" t="s">
        <v>10</v>
      </c>
      <c r="G4" s="35"/>
      <c r="H4" s="240"/>
      <c r="I4" s="44"/>
      <c r="J4" s="44"/>
      <c r="K4" s="59" t="s">
        <v>10</v>
      </c>
      <c r="L4" s="44" t="s">
        <v>16</v>
      </c>
      <c r="M4" s="35"/>
      <c r="N4" s="37"/>
      <c r="O4" s="4" t="s">
        <v>28</v>
      </c>
      <c r="P4" s="46" t="s">
        <v>16</v>
      </c>
      <c r="Q4" s="44" t="s">
        <v>19</v>
      </c>
      <c r="R4" s="44"/>
      <c r="S4" s="44"/>
      <c r="T4" s="35"/>
      <c r="U4" s="37"/>
      <c r="V4" s="58" t="s">
        <v>28</v>
      </c>
      <c r="W4" s="4" t="s">
        <v>30</v>
      </c>
      <c r="X4" s="46" t="s">
        <v>16</v>
      </c>
      <c r="Y4" s="4" t="s">
        <v>1</v>
      </c>
      <c r="Z4" s="4" t="s">
        <v>2</v>
      </c>
    </row>
    <row r="5" spans="2:26" s="2" customFormat="1">
      <c r="B5" s="15" t="s">
        <v>3</v>
      </c>
      <c r="C5" s="60" t="s">
        <v>12</v>
      </c>
      <c r="D5" s="60" t="s">
        <v>12</v>
      </c>
      <c r="E5" s="16" t="s">
        <v>7</v>
      </c>
      <c r="F5" s="15" t="s">
        <v>8</v>
      </c>
      <c r="G5" s="35"/>
      <c r="H5" s="45" t="s">
        <v>3</v>
      </c>
      <c r="I5" s="15" t="s">
        <v>129</v>
      </c>
      <c r="J5" s="15" t="s">
        <v>14</v>
      </c>
      <c r="K5" s="16" t="s">
        <v>8</v>
      </c>
      <c r="L5" s="236" t="s">
        <v>15</v>
      </c>
      <c r="M5" s="35"/>
      <c r="N5" s="15" t="s">
        <v>3</v>
      </c>
      <c r="O5" s="15" t="s">
        <v>29</v>
      </c>
      <c r="P5" s="60" t="s">
        <v>15</v>
      </c>
      <c r="Q5" s="53" t="s">
        <v>20</v>
      </c>
      <c r="R5" s="36"/>
      <c r="S5" s="54"/>
      <c r="T5" s="35"/>
      <c r="U5" s="15" t="s">
        <v>3</v>
      </c>
      <c r="V5" s="45" t="s">
        <v>29</v>
      </c>
      <c r="W5" s="15" t="s">
        <v>31</v>
      </c>
      <c r="X5" s="60" t="s">
        <v>15</v>
      </c>
      <c r="Y5" s="15" t="str">
        <f>TEXT((0.57*8760),"0,000")&amp;" Hours"</f>
        <v>4,993 Hours</v>
      </c>
      <c r="Z5" s="15" t="str">
        <f>TEXT((0.43*8760),"0,000")&amp;" Hours"</f>
        <v>3,767 Hours</v>
      </c>
    </row>
    <row r="6" spans="2:26" s="2" customFormat="1">
      <c r="B6" s="38"/>
      <c r="C6" s="45" t="s">
        <v>5</v>
      </c>
      <c r="D6" s="60" t="s">
        <v>5</v>
      </c>
      <c r="E6" s="16" t="s">
        <v>8</v>
      </c>
      <c r="F6" s="245" t="str">
        <f>TEXT('Table 8'!$D$126,"0.0%")&amp;" CF"</f>
        <v>50.3% CF</v>
      </c>
      <c r="G6" s="41"/>
      <c r="H6" s="48"/>
      <c r="I6" s="40" t="s">
        <v>130</v>
      </c>
      <c r="J6" s="243"/>
      <c r="K6" s="241" t="str">
        <f>F6</f>
        <v>50.3% CF</v>
      </c>
      <c r="L6" s="236" t="s">
        <v>14</v>
      </c>
      <c r="M6" s="41"/>
      <c r="N6" s="38"/>
      <c r="O6" s="15" t="s">
        <v>9</v>
      </c>
      <c r="P6" s="60" t="s">
        <v>14</v>
      </c>
      <c r="Q6" s="61">
        <v>0.75</v>
      </c>
      <c r="R6" s="61">
        <v>0.85</v>
      </c>
      <c r="S6" s="61">
        <v>0.95</v>
      </c>
      <c r="T6" s="41"/>
      <c r="U6" s="38"/>
      <c r="V6" s="45" t="s">
        <v>9</v>
      </c>
      <c r="W6" s="15" t="s">
        <v>0</v>
      </c>
      <c r="X6" s="60" t="s">
        <v>14</v>
      </c>
      <c r="Y6" s="15"/>
      <c r="Z6" s="15"/>
    </row>
    <row r="7" spans="2:26" s="2" customFormat="1">
      <c r="B7" s="39"/>
      <c r="C7" s="62" t="s">
        <v>6</v>
      </c>
      <c r="D7" s="62" t="s">
        <v>6</v>
      </c>
      <c r="E7" s="62" t="s">
        <v>6</v>
      </c>
      <c r="F7" s="73" t="s">
        <v>140</v>
      </c>
      <c r="G7" s="41"/>
      <c r="H7" s="39"/>
      <c r="I7" s="242" t="s">
        <v>13</v>
      </c>
      <c r="J7" s="40" t="s">
        <v>140</v>
      </c>
      <c r="K7" s="162" t="s">
        <v>140</v>
      </c>
      <c r="L7" s="43" t="s">
        <v>140</v>
      </c>
      <c r="M7" s="41"/>
      <c r="N7" s="39"/>
      <c r="O7" s="62" t="s">
        <v>6</v>
      </c>
      <c r="P7" s="34" t="s">
        <v>140</v>
      </c>
      <c r="Q7" s="162" t="s">
        <v>140</v>
      </c>
      <c r="R7" s="162" t="s">
        <v>140</v>
      </c>
      <c r="S7" s="162" t="s">
        <v>140</v>
      </c>
      <c r="T7" s="41"/>
      <c r="U7" s="39"/>
      <c r="V7" s="63" t="s">
        <v>6</v>
      </c>
      <c r="W7" s="162" t="s">
        <v>140</v>
      </c>
      <c r="X7" s="34" t="s">
        <v>140</v>
      </c>
      <c r="Y7" s="162" t="s">
        <v>140</v>
      </c>
      <c r="Z7" s="162" t="s">
        <v>140</v>
      </c>
    </row>
    <row r="8" spans="2:26" s="2" customFormat="1">
      <c r="C8" s="41" t="s">
        <v>23</v>
      </c>
      <c r="D8" s="56" t="s">
        <v>24</v>
      </c>
      <c r="E8" s="41" t="s">
        <v>25</v>
      </c>
      <c r="F8" s="18" t="s">
        <v>26</v>
      </c>
      <c r="G8" s="3"/>
      <c r="I8" s="41" t="s">
        <v>23</v>
      </c>
      <c r="J8" s="41" t="s">
        <v>24</v>
      </c>
      <c r="K8" s="41" t="s">
        <v>25</v>
      </c>
      <c r="L8" s="56" t="s">
        <v>26</v>
      </c>
      <c r="M8" s="3"/>
      <c r="O8" s="41" t="s">
        <v>23</v>
      </c>
      <c r="P8" s="56" t="s">
        <v>24</v>
      </c>
      <c r="Q8" s="41" t="s">
        <v>25</v>
      </c>
      <c r="R8" s="41" t="s">
        <v>26</v>
      </c>
      <c r="S8" s="41" t="s">
        <v>27</v>
      </c>
      <c r="T8" s="3"/>
      <c r="V8" s="41" t="s">
        <v>23</v>
      </c>
      <c r="W8" s="56" t="s">
        <v>24</v>
      </c>
      <c r="X8" s="41" t="s">
        <v>25</v>
      </c>
      <c r="Y8" s="41" t="s">
        <v>26</v>
      </c>
      <c r="Z8" s="41" t="s">
        <v>27</v>
      </c>
    </row>
    <row r="9" spans="2:26" s="2" customFormat="1">
      <c r="C9" s="41"/>
      <c r="D9" s="41"/>
      <c r="E9" s="14" t="str">
        <f>"("&amp;C8&amp;" - "&amp;D8&amp;") x 50%)"</f>
        <v>((a) - (b)) x 50%)</v>
      </c>
      <c r="F9" s="14" t="str">
        <f>E8&amp;"/(8.760 x "&amp;TEXT('Table 8'!$D$126,"0.0%")&amp;")"</f>
        <v>(c)/(8.760 x 50.3%)</v>
      </c>
      <c r="G9" s="3"/>
      <c r="I9" s="41"/>
      <c r="K9" s="41"/>
      <c r="L9" s="24" t="str">
        <f>J8&amp;" + "&amp;K8</f>
        <v>(b) + (c)</v>
      </c>
      <c r="M9" s="3"/>
      <c r="O9" s="25"/>
      <c r="P9" s="41"/>
      <c r="Q9" s="26" t="str">
        <f>" "&amp;$P$8&amp;"+("&amp;$O$8&amp;"/8.76 x "&amp;$Q$6&amp;")"</f>
        <v xml:space="preserve"> (b)+((a)/8.76 x 0.75)</v>
      </c>
      <c r="R9" s="26" t="str">
        <f>" "&amp;$P$8&amp;"+("&amp;$O$8&amp;"/8.76 x "&amp;$R$6&amp;")"</f>
        <v xml:space="preserve"> (b)+((a)/8.76 x 0.85)</v>
      </c>
      <c r="S9" s="26" t="str">
        <f>" "&amp;$P$8&amp;"+("&amp;$O$8&amp;"/8.76 x "&amp;$S$6&amp;")"</f>
        <v xml:space="preserve"> (b)+((a)/8.76 x 0.95)</v>
      </c>
      <c r="T9" s="3"/>
      <c r="V9" s="25"/>
      <c r="W9" s="14" t="str">
        <f>" "&amp;V8&amp;" /(8.76 x "&amp;TEXT('Table 8'!D127,"0.0%")&amp;" x 57%)"</f>
        <v xml:space="preserve"> (a) /(8.76 x 88.2% x 57%)</v>
      </c>
      <c r="X9" s="41"/>
      <c r="Y9" s="14" t="str">
        <f>W8&amp;" + "&amp;X8</f>
        <v>(b) + (c)</v>
      </c>
      <c r="Z9" s="14" t="str">
        <f>W8</f>
        <v>(b)</v>
      </c>
    </row>
    <row r="10" spans="2:26" s="2" customFormat="1">
      <c r="C10" s="64"/>
      <c r="D10" s="64"/>
      <c r="F10" s="6"/>
      <c r="G10" s="3"/>
      <c r="M10" s="3"/>
      <c r="T10" s="3"/>
    </row>
    <row r="11" spans="2:26" s="9" customFormat="1">
      <c r="B11" s="27" t="s">
        <v>70</v>
      </c>
      <c r="C11" s="12"/>
      <c r="D11" s="161" t="s">
        <v>91</v>
      </c>
      <c r="E11" s="230"/>
      <c r="F11" s="12"/>
      <c r="G11" s="5"/>
      <c r="H11" s="27" t="s">
        <v>70</v>
      </c>
      <c r="I11" s="13"/>
      <c r="K11" s="13"/>
      <c r="L11" s="13"/>
      <c r="M11" s="12"/>
      <c r="N11" s="27" t="s">
        <v>70</v>
      </c>
      <c r="O11" s="12"/>
      <c r="P11" s="13"/>
      <c r="Q11" s="13"/>
      <c r="R11" s="13"/>
      <c r="S11" s="13"/>
      <c r="T11" s="12"/>
      <c r="U11" s="27" t="s">
        <v>70</v>
      </c>
      <c r="V11" s="12"/>
      <c r="W11" s="13"/>
      <c r="X11" s="13"/>
      <c r="Y11" s="13"/>
      <c r="Z11" s="13"/>
    </row>
    <row r="12" spans="2:26" s="9" customFormat="1">
      <c r="B12" s="88">
        <v>2011</v>
      </c>
      <c r="C12" s="92"/>
      <c r="D12" s="92">
        <f>'Table 8'!H11*D47/12</f>
        <v>29.399999999999995</v>
      </c>
      <c r="E12" s="92"/>
      <c r="F12" s="93"/>
      <c r="G12" s="12"/>
      <c r="H12" s="88">
        <f>$B12</f>
        <v>2011</v>
      </c>
      <c r="I12" s="94"/>
      <c r="J12" s="94"/>
      <c r="K12" s="94"/>
      <c r="L12" s="237">
        <f>'Table 2'!L30</f>
        <v>32.82</v>
      </c>
      <c r="M12" s="12"/>
      <c r="N12" s="88">
        <f>$B12</f>
        <v>2011</v>
      </c>
      <c r="O12" s="92">
        <f>D12</f>
        <v>29.399999999999995</v>
      </c>
      <c r="P12" s="94">
        <f>L12</f>
        <v>32.82</v>
      </c>
      <c r="Q12" s="94">
        <f>ROUND($P12+$O12/(8.76*Q$6),2)</f>
        <v>37.29</v>
      </c>
      <c r="R12" s="94">
        <f t="shared" ref="R12:S15" si="0">ROUND($P12+$O12/(8.76*R$6),2)</f>
        <v>36.770000000000003</v>
      </c>
      <c r="S12" s="95">
        <f t="shared" si="0"/>
        <v>36.35</v>
      </c>
      <c r="T12" s="12"/>
      <c r="U12" s="88">
        <f>$B12</f>
        <v>2011</v>
      </c>
      <c r="V12" s="92">
        <f>D12</f>
        <v>29.399999999999995</v>
      </c>
      <c r="W12" s="94">
        <f>ROUND(V12/(8.76*'Table 8'!$D$127*0.57),2)</f>
        <v>6.68</v>
      </c>
      <c r="X12" s="94">
        <f>L12</f>
        <v>32.82</v>
      </c>
      <c r="Y12" s="94">
        <f>W12+X12</f>
        <v>39.5</v>
      </c>
      <c r="Z12" s="95">
        <f>X12</f>
        <v>32.82</v>
      </c>
    </row>
    <row r="13" spans="2:26" s="9" customFormat="1">
      <c r="B13" s="89">
        <f>B12+1</f>
        <v>2012</v>
      </c>
      <c r="C13" s="12"/>
      <c r="D13" s="12">
        <f>'Table 8'!H12*D48/12</f>
        <v>69.702500000000001</v>
      </c>
      <c r="E13" s="28"/>
      <c r="F13" s="75"/>
      <c r="G13" s="12"/>
      <c r="H13" s="89">
        <f>$B13</f>
        <v>2012</v>
      </c>
      <c r="I13" s="13"/>
      <c r="J13" s="13"/>
      <c r="K13" s="13"/>
      <c r="L13" s="238">
        <f>'Table 2'!L31</f>
        <v>34.299999999999997</v>
      </c>
      <c r="M13" s="12"/>
      <c r="N13" s="89">
        <f>$B13</f>
        <v>2012</v>
      </c>
      <c r="O13" s="12">
        <f>D13</f>
        <v>69.702500000000001</v>
      </c>
      <c r="P13" s="13">
        <f>L13</f>
        <v>34.299999999999997</v>
      </c>
      <c r="Q13" s="13">
        <f>ROUND($P13+$O13/(8.76*Q$6),2)</f>
        <v>44.91</v>
      </c>
      <c r="R13" s="13">
        <f t="shared" si="0"/>
        <v>43.66</v>
      </c>
      <c r="S13" s="96">
        <f t="shared" si="0"/>
        <v>42.68</v>
      </c>
      <c r="T13" s="12"/>
      <c r="U13" s="89">
        <f>$B13</f>
        <v>2012</v>
      </c>
      <c r="V13" s="12">
        <f>D13</f>
        <v>69.702500000000001</v>
      </c>
      <c r="W13" s="13">
        <f>ROUND(V13/(8.76*'Table 8'!$D$127*0.57),2)</f>
        <v>15.83</v>
      </c>
      <c r="X13" s="13">
        <f>L13</f>
        <v>34.299999999999997</v>
      </c>
      <c r="Y13" s="13">
        <f>W13+X13</f>
        <v>50.129999999999995</v>
      </c>
      <c r="Z13" s="96">
        <f>X13</f>
        <v>34.299999999999997</v>
      </c>
    </row>
    <row r="14" spans="2:26" s="9" customFormat="1">
      <c r="B14" s="89">
        <f>B13+1</f>
        <v>2013</v>
      </c>
      <c r="C14" s="12"/>
      <c r="D14" s="12">
        <f>'Table 8'!H13*D49/12</f>
        <v>70.950833333333335</v>
      </c>
      <c r="E14" s="28"/>
      <c r="F14" s="75"/>
      <c r="G14" s="12"/>
      <c r="H14" s="89">
        <f>$B14</f>
        <v>2013</v>
      </c>
      <c r="I14" s="13"/>
      <c r="J14" s="13"/>
      <c r="K14" s="13"/>
      <c r="L14" s="238">
        <f>'Table 2'!L32</f>
        <v>37.69</v>
      </c>
      <c r="M14" s="12"/>
      <c r="N14" s="89">
        <f>$B14</f>
        <v>2013</v>
      </c>
      <c r="O14" s="12">
        <f>D14</f>
        <v>70.950833333333335</v>
      </c>
      <c r="P14" s="13">
        <f>L14</f>
        <v>37.69</v>
      </c>
      <c r="Q14" s="13">
        <f>ROUND($P14+$O14/(8.76*Q$6),2)</f>
        <v>48.49</v>
      </c>
      <c r="R14" s="13">
        <f t="shared" si="0"/>
        <v>47.22</v>
      </c>
      <c r="S14" s="96">
        <f t="shared" si="0"/>
        <v>46.22</v>
      </c>
      <c r="T14" s="12"/>
      <c r="U14" s="89">
        <f>$B14</f>
        <v>2013</v>
      </c>
      <c r="V14" s="12">
        <f>D14</f>
        <v>70.950833333333335</v>
      </c>
      <c r="W14" s="13">
        <f>ROUND(V14/(8.76*'Table 8'!$D$127*0.57),2)</f>
        <v>16.11</v>
      </c>
      <c r="X14" s="13">
        <f>L14</f>
        <v>37.69</v>
      </c>
      <c r="Y14" s="13">
        <f>W14+X14</f>
        <v>53.8</v>
      </c>
      <c r="Z14" s="96">
        <f>X14</f>
        <v>37.69</v>
      </c>
    </row>
    <row r="15" spans="2:26">
      <c r="B15" s="91">
        <f>B14+1</f>
        <v>2014</v>
      </c>
      <c r="C15" s="97"/>
      <c r="D15" s="97">
        <f>'Table 8'!H14*D50/12</f>
        <v>72.438333333333333</v>
      </c>
      <c r="E15" s="97"/>
      <c r="F15" s="99"/>
      <c r="G15" s="12"/>
      <c r="H15" s="91">
        <f>$B15</f>
        <v>2014</v>
      </c>
      <c r="I15" s="98"/>
      <c r="J15" s="98"/>
      <c r="K15" s="98"/>
      <c r="L15" s="239">
        <f>'Table 2'!L33</f>
        <v>39.11</v>
      </c>
      <c r="M15" s="12"/>
      <c r="N15" s="91">
        <f>$B15</f>
        <v>2014</v>
      </c>
      <c r="O15" s="97">
        <f>D15</f>
        <v>72.438333333333333</v>
      </c>
      <c r="P15" s="98">
        <f>L15</f>
        <v>39.11</v>
      </c>
      <c r="Q15" s="98">
        <f>ROUND($P15+$O15/(8.76*Q$6),2)</f>
        <v>50.14</v>
      </c>
      <c r="R15" s="98">
        <f t="shared" si="0"/>
        <v>48.84</v>
      </c>
      <c r="S15" s="100">
        <f t="shared" si="0"/>
        <v>47.81</v>
      </c>
      <c r="T15" s="12"/>
      <c r="U15" s="91">
        <f>$B15</f>
        <v>2014</v>
      </c>
      <c r="V15" s="97">
        <f>D15</f>
        <v>72.438333333333333</v>
      </c>
      <c r="W15" s="98">
        <f>ROUND(V15/(8.76*'Table 8'!$D$127*0.57),2)</f>
        <v>16.45</v>
      </c>
      <c r="X15" s="98">
        <f>L15</f>
        <v>39.11</v>
      </c>
      <c r="Y15" s="98">
        <f>W15+X15</f>
        <v>55.56</v>
      </c>
      <c r="Z15" s="100">
        <f>X15</f>
        <v>39.11</v>
      </c>
    </row>
    <row r="16" spans="2:26" s="2" customFormat="1">
      <c r="B16" s="72"/>
      <c r="C16" s="105"/>
      <c r="D16" s="105"/>
      <c r="E16" s="105"/>
      <c r="F16" s="246"/>
      <c r="G16" s="5"/>
      <c r="H16" s="72"/>
      <c r="I16" s="42"/>
      <c r="J16" s="42"/>
      <c r="K16" s="42"/>
      <c r="L16" s="42"/>
      <c r="M16" s="5"/>
      <c r="N16" s="72"/>
      <c r="O16" s="5"/>
      <c r="P16" s="42"/>
      <c r="Q16" s="42"/>
      <c r="R16" s="42"/>
      <c r="S16" s="42"/>
      <c r="T16" s="5"/>
      <c r="U16" s="72"/>
      <c r="V16" s="5"/>
      <c r="W16" s="42"/>
      <c r="X16" s="42"/>
      <c r="Y16" s="42"/>
      <c r="Z16" s="42"/>
    </row>
    <row r="17" spans="2:27">
      <c r="B17" s="107" t="s">
        <v>96</v>
      </c>
      <c r="C17" s="12"/>
      <c r="D17" s="161" t="s">
        <v>92</v>
      </c>
      <c r="E17" s="5"/>
      <c r="F17" s="12"/>
      <c r="G17" s="5"/>
      <c r="H17" s="107" t="s">
        <v>96</v>
      </c>
      <c r="I17" s="13"/>
      <c r="J17" s="106" t="str">
        <f>$I$8&amp;" x "&amp;TEXT('Table 8'!$K$113/1000,"0.000")</f>
        <v>(a) x 7.050</v>
      </c>
      <c r="K17" s="42"/>
      <c r="L17" s="42"/>
      <c r="M17" s="5"/>
      <c r="N17" s="107" t="s">
        <v>96</v>
      </c>
      <c r="O17" s="12"/>
      <c r="P17" s="13"/>
      <c r="Q17" s="13"/>
      <c r="R17" s="13"/>
      <c r="S17" s="13"/>
      <c r="T17" s="12"/>
      <c r="U17" s="107" t="s">
        <v>96</v>
      </c>
      <c r="V17" s="12"/>
      <c r="W17" s="13"/>
      <c r="X17" s="13"/>
      <c r="Y17" s="13"/>
      <c r="Z17" s="13"/>
    </row>
    <row r="18" spans="2:27">
      <c r="B18" s="88">
        <f>B15+1</f>
        <v>2015</v>
      </c>
      <c r="C18" s="92">
        <f>'Table 8'!H66</f>
        <v>142.37</v>
      </c>
      <c r="D18" s="92">
        <f>'Table 8'!H15</f>
        <v>126.66</v>
      </c>
      <c r="E18" s="92">
        <f t="shared" ref="E18" si="1">ROUND((C18-D18)*0.5,2)</f>
        <v>7.86</v>
      </c>
      <c r="F18" s="93">
        <f>ROUND(E18/(8.76*'Table 8'!$D$126),2)</f>
        <v>1.78</v>
      </c>
      <c r="G18" s="12"/>
      <c r="H18" s="88">
        <f t="shared" ref="H18:H38" si="2">$B18</f>
        <v>2015</v>
      </c>
      <c r="I18" s="94">
        <f>'Table 8'!I66</f>
        <v>5.79</v>
      </c>
      <c r="J18" s="94">
        <f>I18*'Table 8'!$K$113/1000</f>
        <v>40.819499999999998</v>
      </c>
      <c r="K18" s="94">
        <f t="shared" ref="K18" si="3">F18</f>
        <v>1.78</v>
      </c>
      <c r="L18" s="237">
        <f t="shared" ref="L18" si="4">J18+K18</f>
        <v>42.599499999999999</v>
      </c>
      <c r="M18" s="12"/>
      <c r="N18" s="88">
        <f t="shared" ref="N18:N38" si="5">$B18</f>
        <v>2015</v>
      </c>
      <c r="O18" s="92">
        <f t="shared" ref="O18" si="6">D18+E18</f>
        <v>134.52000000000001</v>
      </c>
      <c r="P18" s="94">
        <f t="shared" ref="P18" si="7">L18</f>
        <v>42.599499999999999</v>
      </c>
      <c r="Q18" s="94">
        <f t="shared" ref="Q18:S38" si="8">ROUND($P18+$O18/(8.76*Q$6),2)</f>
        <v>63.07</v>
      </c>
      <c r="R18" s="94">
        <f t="shared" si="8"/>
        <v>60.67</v>
      </c>
      <c r="S18" s="95">
        <f t="shared" si="8"/>
        <v>58.76</v>
      </c>
      <c r="T18" s="12"/>
      <c r="U18" s="88">
        <f t="shared" ref="U18:U38" si="9">$B18</f>
        <v>2015</v>
      </c>
      <c r="V18" s="92">
        <f t="shared" ref="V18" si="10">D18+E18</f>
        <v>134.52000000000001</v>
      </c>
      <c r="W18" s="94">
        <f>ROUND(V18/(8.76*'Table 8'!$D$127*0.57),2)</f>
        <v>30.54</v>
      </c>
      <c r="X18" s="94">
        <f t="shared" ref="X18" si="11">L18</f>
        <v>42.599499999999999</v>
      </c>
      <c r="Y18" s="94">
        <f t="shared" ref="Y18" si="12">W18+X18</f>
        <v>73.139499999999998</v>
      </c>
      <c r="Z18" s="95">
        <f t="shared" ref="Z18" si="13">X18</f>
        <v>42.599499999999999</v>
      </c>
      <c r="AA18" s="9"/>
    </row>
    <row r="19" spans="2:27">
      <c r="B19" s="89">
        <f t="shared" ref="B19:B38" si="14">B18+1</f>
        <v>2016</v>
      </c>
      <c r="C19" s="12">
        <f>'Table 8'!H67</f>
        <v>145.19</v>
      </c>
      <c r="D19" s="12">
        <f>'Table 8'!H16</f>
        <v>129.19</v>
      </c>
      <c r="E19" s="12">
        <f t="shared" ref="E19:E38" si="15">ROUND((C19-D19)*0.5,2)</f>
        <v>8</v>
      </c>
      <c r="F19" s="75">
        <f>ROUND(E19/(8.76*'Table 8'!$D$126),2)</f>
        <v>1.82</v>
      </c>
      <c r="G19" s="12"/>
      <c r="H19" s="89">
        <f t="shared" si="2"/>
        <v>2016</v>
      </c>
      <c r="I19" s="13">
        <f>'Table 8'!I67</f>
        <v>6.11</v>
      </c>
      <c r="J19" s="13">
        <f>I19*'Table 8'!$K$113/1000</f>
        <v>43.075499999999998</v>
      </c>
      <c r="K19" s="13">
        <f t="shared" ref="K19:K38" si="16">F19</f>
        <v>1.82</v>
      </c>
      <c r="L19" s="238">
        <f t="shared" ref="L19:L38" si="17">J19+K19</f>
        <v>44.895499999999998</v>
      </c>
      <c r="M19" s="12"/>
      <c r="N19" s="89">
        <f t="shared" si="5"/>
        <v>2016</v>
      </c>
      <c r="O19" s="12">
        <f t="shared" ref="O19:O38" si="18">D19+E19</f>
        <v>137.19</v>
      </c>
      <c r="P19" s="13">
        <f t="shared" ref="P19:P38" si="19">L19</f>
        <v>44.895499999999998</v>
      </c>
      <c r="Q19" s="13">
        <f t="shared" si="8"/>
        <v>65.78</v>
      </c>
      <c r="R19" s="13">
        <f t="shared" si="8"/>
        <v>63.32</v>
      </c>
      <c r="S19" s="96">
        <f t="shared" si="8"/>
        <v>61.38</v>
      </c>
      <c r="T19" s="12"/>
      <c r="U19" s="89">
        <f t="shared" si="9"/>
        <v>2016</v>
      </c>
      <c r="V19" s="12">
        <f t="shared" ref="V19:V38" si="20">D19+E19</f>
        <v>137.19</v>
      </c>
      <c r="W19" s="13">
        <f>ROUND(V19/(8.76*'Table 8'!$D$127*0.57),2)</f>
        <v>31.15</v>
      </c>
      <c r="X19" s="13">
        <f t="shared" ref="X19:X38" si="21">L19</f>
        <v>44.895499999999998</v>
      </c>
      <c r="Y19" s="13">
        <f t="shared" ref="Y19:Y38" si="22">W19+X19</f>
        <v>76.045500000000004</v>
      </c>
      <c r="Z19" s="96">
        <f t="shared" ref="Z19:Z38" si="23">X19</f>
        <v>44.895499999999998</v>
      </c>
    </row>
    <row r="20" spans="2:27">
      <c r="B20" s="89">
        <f t="shared" si="14"/>
        <v>2017</v>
      </c>
      <c r="C20" s="12">
        <f>'Table 8'!H68</f>
        <v>148.1</v>
      </c>
      <c r="D20" s="12">
        <f>'Table 8'!H17</f>
        <v>131.78</v>
      </c>
      <c r="E20" s="12">
        <f t="shared" si="15"/>
        <v>8.16</v>
      </c>
      <c r="F20" s="75">
        <f>ROUND(E20/(8.76*'Table 8'!$D$126),2)</f>
        <v>1.85</v>
      </c>
      <c r="G20" s="12"/>
      <c r="H20" s="89">
        <f t="shared" si="2"/>
        <v>2017</v>
      </c>
      <c r="I20" s="13">
        <f>'Table 8'!I68</f>
        <v>6.54</v>
      </c>
      <c r="J20" s="13">
        <f>I20*'Table 8'!$K$113/1000</f>
        <v>46.106999999999999</v>
      </c>
      <c r="K20" s="13">
        <f t="shared" si="16"/>
        <v>1.85</v>
      </c>
      <c r="L20" s="238">
        <f t="shared" si="17"/>
        <v>47.957000000000001</v>
      </c>
      <c r="M20" s="12"/>
      <c r="N20" s="89">
        <f t="shared" si="5"/>
        <v>2017</v>
      </c>
      <c r="O20" s="12">
        <f t="shared" si="18"/>
        <v>139.94</v>
      </c>
      <c r="P20" s="13">
        <f t="shared" si="19"/>
        <v>47.957000000000001</v>
      </c>
      <c r="Q20" s="13">
        <f t="shared" si="8"/>
        <v>69.260000000000005</v>
      </c>
      <c r="R20" s="13">
        <f t="shared" si="8"/>
        <v>66.75</v>
      </c>
      <c r="S20" s="96">
        <f t="shared" si="8"/>
        <v>64.77</v>
      </c>
      <c r="T20" s="12"/>
      <c r="U20" s="89">
        <f t="shared" si="9"/>
        <v>2017</v>
      </c>
      <c r="V20" s="12">
        <f t="shared" si="20"/>
        <v>139.94</v>
      </c>
      <c r="W20" s="13">
        <f>ROUND(V20/(8.76*'Table 8'!$D$127*0.57),2)</f>
        <v>31.78</v>
      </c>
      <c r="X20" s="13">
        <f t="shared" si="21"/>
        <v>47.957000000000001</v>
      </c>
      <c r="Y20" s="13">
        <f t="shared" si="22"/>
        <v>79.736999999999995</v>
      </c>
      <c r="Z20" s="96">
        <f t="shared" si="23"/>
        <v>47.957000000000001</v>
      </c>
    </row>
    <row r="21" spans="2:27">
      <c r="B21" s="89">
        <f t="shared" si="14"/>
        <v>2018</v>
      </c>
      <c r="C21" s="12">
        <f>'Table 8'!H69</f>
        <v>150.9</v>
      </c>
      <c r="D21" s="12">
        <f>'Table 8'!H18</f>
        <v>134.29</v>
      </c>
      <c r="E21" s="12">
        <f t="shared" si="15"/>
        <v>8.31</v>
      </c>
      <c r="F21" s="75">
        <f>ROUND(E21/(8.76*'Table 8'!$D$126),2)</f>
        <v>1.89</v>
      </c>
      <c r="G21" s="12"/>
      <c r="H21" s="89">
        <f t="shared" si="2"/>
        <v>2018</v>
      </c>
      <c r="I21" s="13">
        <f>'Table 8'!I69</f>
        <v>6.96</v>
      </c>
      <c r="J21" s="13">
        <f>I21*'Table 8'!$K$113/1000</f>
        <v>49.067999999999998</v>
      </c>
      <c r="K21" s="13">
        <f t="shared" si="16"/>
        <v>1.89</v>
      </c>
      <c r="L21" s="238">
        <f t="shared" si="17"/>
        <v>50.957999999999998</v>
      </c>
      <c r="M21" s="12"/>
      <c r="N21" s="89">
        <f t="shared" si="5"/>
        <v>2018</v>
      </c>
      <c r="O21" s="12">
        <f t="shared" si="18"/>
        <v>142.6</v>
      </c>
      <c r="P21" s="13">
        <f t="shared" si="19"/>
        <v>50.957999999999998</v>
      </c>
      <c r="Q21" s="13">
        <f t="shared" si="8"/>
        <v>72.66</v>
      </c>
      <c r="R21" s="13">
        <f t="shared" si="8"/>
        <v>70.11</v>
      </c>
      <c r="S21" s="96">
        <f t="shared" si="8"/>
        <v>68.09</v>
      </c>
      <c r="T21" s="12"/>
      <c r="U21" s="89">
        <f t="shared" si="9"/>
        <v>2018</v>
      </c>
      <c r="V21" s="12">
        <f t="shared" si="20"/>
        <v>142.6</v>
      </c>
      <c r="W21" s="13">
        <f>ROUND(V21/(8.76*'Table 8'!$D$127*0.57),2)</f>
        <v>32.380000000000003</v>
      </c>
      <c r="X21" s="13">
        <f t="shared" si="21"/>
        <v>50.957999999999998</v>
      </c>
      <c r="Y21" s="13">
        <f t="shared" si="22"/>
        <v>83.337999999999994</v>
      </c>
      <c r="Z21" s="96">
        <f t="shared" si="23"/>
        <v>50.957999999999998</v>
      </c>
    </row>
    <row r="22" spans="2:27">
      <c r="B22" s="89">
        <f t="shared" si="14"/>
        <v>2019</v>
      </c>
      <c r="C22" s="12">
        <f>'Table 8'!H70</f>
        <v>153.63</v>
      </c>
      <c r="D22" s="12">
        <f>'Table 8'!H19</f>
        <v>136.71</v>
      </c>
      <c r="E22" s="12">
        <f t="shared" si="15"/>
        <v>8.4600000000000009</v>
      </c>
      <c r="F22" s="75">
        <f>ROUND(E22/(8.76*'Table 8'!$D$126),2)</f>
        <v>1.92</v>
      </c>
      <c r="G22" s="12"/>
      <c r="H22" s="89">
        <f t="shared" si="2"/>
        <v>2019</v>
      </c>
      <c r="I22" s="13">
        <f>'Table 8'!I70</f>
        <v>7.28</v>
      </c>
      <c r="J22" s="13">
        <f>I22*'Table 8'!$K$113/1000</f>
        <v>51.323999999999998</v>
      </c>
      <c r="K22" s="13">
        <f t="shared" si="16"/>
        <v>1.92</v>
      </c>
      <c r="L22" s="238">
        <f t="shared" si="17"/>
        <v>53.244</v>
      </c>
      <c r="M22" s="12"/>
      <c r="N22" s="89">
        <f t="shared" si="5"/>
        <v>2019</v>
      </c>
      <c r="O22" s="12">
        <f t="shared" si="18"/>
        <v>145.17000000000002</v>
      </c>
      <c r="P22" s="13">
        <f t="shared" si="19"/>
        <v>53.244</v>
      </c>
      <c r="Q22" s="13">
        <f t="shared" si="8"/>
        <v>75.34</v>
      </c>
      <c r="R22" s="13">
        <f t="shared" si="8"/>
        <v>72.739999999999995</v>
      </c>
      <c r="S22" s="96">
        <f t="shared" si="8"/>
        <v>70.69</v>
      </c>
      <c r="T22" s="12"/>
      <c r="U22" s="89">
        <f t="shared" si="9"/>
        <v>2019</v>
      </c>
      <c r="V22" s="12">
        <f t="shared" si="20"/>
        <v>145.17000000000002</v>
      </c>
      <c r="W22" s="13">
        <f>ROUND(V22/(8.76*'Table 8'!$D$127*0.57),2)</f>
        <v>32.96</v>
      </c>
      <c r="X22" s="13">
        <f t="shared" si="21"/>
        <v>53.244</v>
      </c>
      <c r="Y22" s="13">
        <f t="shared" si="22"/>
        <v>86.204000000000008</v>
      </c>
      <c r="Z22" s="96">
        <f t="shared" si="23"/>
        <v>53.244</v>
      </c>
    </row>
    <row r="23" spans="2:27">
      <c r="B23" s="89">
        <f t="shared" si="14"/>
        <v>2020</v>
      </c>
      <c r="C23" s="12">
        <f>'Table 8'!H71</f>
        <v>156.4</v>
      </c>
      <c r="D23" s="12">
        <f>'Table 8'!H20</f>
        <v>139.16999999999999</v>
      </c>
      <c r="E23" s="12">
        <f t="shared" si="15"/>
        <v>8.6199999999999992</v>
      </c>
      <c r="F23" s="75">
        <f>ROUND(E23/(8.76*'Table 8'!$D$126),2)</f>
        <v>1.96</v>
      </c>
      <c r="G23" s="12"/>
      <c r="H23" s="89">
        <f t="shared" si="2"/>
        <v>2020</v>
      </c>
      <c r="I23" s="13">
        <f>'Table 8'!I71</f>
        <v>7.37</v>
      </c>
      <c r="J23" s="13">
        <f>I23*'Table 8'!$K$113/1000</f>
        <v>51.958500000000001</v>
      </c>
      <c r="K23" s="13">
        <f t="shared" si="16"/>
        <v>1.96</v>
      </c>
      <c r="L23" s="238">
        <f t="shared" si="17"/>
        <v>53.918500000000002</v>
      </c>
      <c r="M23" s="12"/>
      <c r="N23" s="89">
        <f t="shared" si="5"/>
        <v>2020</v>
      </c>
      <c r="O23" s="12">
        <f t="shared" si="18"/>
        <v>147.79</v>
      </c>
      <c r="P23" s="13">
        <f t="shared" si="19"/>
        <v>53.918500000000002</v>
      </c>
      <c r="Q23" s="13">
        <f t="shared" si="8"/>
        <v>76.41</v>
      </c>
      <c r="R23" s="13">
        <f t="shared" si="8"/>
        <v>73.77</v>
      </c>
      <c r="S23" s="96">
        <f t="shared" si="8"/>
        <v>71.680000000000007</v>
      </c>
      <c r="T23" s="12"/>
      <c r="U23" s="89">
        <f t="shared" si="9"/>
        <v>2020</v>
      </c>
      <c r="V23" s="12">
        <f t="shared" si="20"/>
        <v>147.79</v>
      </c>
      <c r="W23" s="13">
        <f>ROUND(V23/(8.76*'Table 8'!$D$127*0.57),2)</f>
        <v>33.56</v>
      </c>
      <c r="X23" s="13">
        <f t="shared" si="21"/>
        <v>53.918500000000002</v>
      </c>
      <c r="Y23" s="13">
        <f t="shared" si="22"/>
        <v>87.478499999999997</v>
      </c>
      <c r="Z23" s="96">
        <f t="shared" si="23"/>
        <v>53.918500000000002</v>
      </c>
    </row>
    <row r="24" spans="2:27">
      <c r="B24" s="89">
        <f t="shared" si="14"/>
        <v>2021</v>
      </c>
      <c r="C24" s="12">
        <f>'Table 8'!H72</f>
        <v>159.19999999999999</v>
      </c>
      <c r="D24" s="12">
        <f>'Table 8'!H21</f>
        <v>141.68</v>
      </c>
      <c r="E24" s="12">
        <f t="shared" si="15"/>
        <v>8.76</v>
      </c>
      <c r="F24" s="75">
        <f>ROUND(E24/(8.76*'Table 8'!$D$126),2)</f>
        <v>1.99</v>
      </c>
      <c r="G24" s="12"/>
      <c r="H24" s="89">
        <f t="shared" si="2"/>
        <v>2021</v>
      </c>
      <c r="I24" s="13">
        <f>'Table 8'!I72</f>
        <v>7.47</v>
      </c>
      <c r="J24" s="13">
        <f>I24*'Table 8'!$K$113/1000</f>
        <v>52.663499999999999</v>
      </c>
      <c r="K24" s="13">
        <f t="shared" si="16"/>
        <v>1.99</v>
      </c>
      <c r="L24" s="238">
        <f t="shared" si="17"/>
        <v>54.653500000000001</v>
      </c>
      <c r="M24" s="12"/>
      <c r="N24" s="89">
        <f t="shared" si="5"/>
        <v>2021</v>
      </c>
      <c r="O24" s="12">
        <f t="shared" si="18"/>
        <v>150.44</v>
      </c>
      <c r="P24" s="13">
        <f t="shared" si="19"/>
        <v>54.653500000000001</v>
      </c>
      <c r="Q24" s="13">
        <f t="shared" si="8"/>
        <v>77.55</v>
      </c>
      <c r="R24" s="13">
        <f t="shared" si="8"/>
        <v>74.86</v>
      </c>
      <c r="S24" s="96">
        <f t="shared" si="8"/>
        <v>72.73</v>
      </c>
      <c r="T24" s="12"/>
      <c r="U24" s="89">
        <f t="shared" si="9"/>
        <v>2021</v>
      </c>
      <c r="V24" s="12">
        <f t="shared" si="20"/>
        <v>150.44</v>
      </c>
      <c r="W24" s="13">
        <f>ROUND(V24/(8.76*'Table 8'!$D$127*0.57),2)</f>
        <v>34.159999999999997</v>
      </c>
      <c r="X24" s="13">
        <f t="shared" si="21"/>
        <v>54.653500000000001</v>
      </c>
      <c r="Y24" s="13">
        <f t="shared" si="22"/>
        <v>88.813500000000005</v>
      </c>
      <c r="Z24" s="96">
        <f t="shared" si="23"/>
        <v>54.653500000000001</v>
      </c>
    </row>
    <row r="25" spans="2:27">
      <c r="B25" s="89">
        <f t="shared" si="14"/>
        <v>2022</v>
      </c>
      <c r="C25" s="12">
        <f>'Table 8'!H73</f>
        <v>162.08000000000001</v>
      </c>
      <c r="D25" s="12">
        <f>'Table 8'!H22</f>
        <v>144.22</v>
      </c>
      <c r="E25" s="12">
        <f t="shared" si="15"/>
        <v>8.93</v>
      </c>
      <c r="F25" s="75">
        <f>ROUND(E25/(8.76*'Table 8'!$D$126),2)</f>
        <v>2.0299999999999998</v>
      </c>
      <c r="G25" s="12"/>
      <c r="H25" s="89">
        <f t="shared" si="2"/>
        <v>2022</v>
      </c>
      <c r="I25" s="13">
        <f>'Table 8'!I73</f>
        <v>7.69</v>
      </c>
      <c r="J25" s="13">
        <f>I25*'Table 8'!$K$113/1000</f>
        <v>54.214500000000001</v>
      </c>
      <c r="K25" s="13">
        <f t="shared" si="16"/>
        <v>2.0299999999999998</v>
      </c>
      <c r="L25" s="238">
        <f t="shared" si="17"/>
        <v>56.244500000000002</v>
      </c>
      <c r="M25" s="12"/>
      <c r="N25" s="89">
        <f t="shared" si="5"/>
        <v>2022</v>
      </c>
      <c r="O25" s="12">
        <f t="shared" si="18"/>
        <v>153.15</v>
      </c>
      <c r="P25" s="13">
        <f t="shared" si="19"/>
        <v>56.244500000000002</v>
      </c>
      <c r="Q25" s="13">
        <f t="shared" si="8"/>
        <v>79.56</v>
      </c>
      <c r="R25" s="13">
        <f t="shared" si="8"/>
        <v>76.81</v>
      </c>
      <c r="S25" s="96">
        <f t="shared" si="8"/>
        <v>74.650000000000006</v>
      </c>
      <c r="T25" s="12"/>
      <c r="U25" s="89">
        <f t="shared" si="9"/>
        <v>2022</v>
      </c>
      <c r="V25" s="12">
        <f t="shared" si="20"/>
        <v>153.15</v>
      </c>
      <c r="W25" s="13">
        <f>ROUND(V25/(8.76*'Table 8'!$D$127*0.57),2)</f>
        <v>34.78</v>
      </c>
      <c r="X25" s="13">
        <f t="shared" si="21"/>
        <v>56.244500000000002</v>
      </c>
      <c r="Y25" s="13">
        <f t="shared" si="22"/>
        <v>91.024500000000003</v>
      </c>
      <c r="Z25" s="96">
        <f t="shared" si="23"/>
        <v>56.244500000000002</v>
      </c>
    </row>
    <row r="26" spans="2:27">
      <c r="B26" s="89">
        <f t="shared" si="14"/>
        <v>2023</v>
      </c>
      <c r="C26" s="12">
        <f>'Table 8'!H74</f>
        <v>165.01</v>
      </c>
      <c r="D26" s="12">
        <f>'Table 8'!H23</f>
        <v>146.82</v>
      </c>
      <c r="E26" s="12">
        <f t="shared" si="15"/>
        <v>9.1</v>
      </c>
      <c r="F26" s="75">
        <f>ROUND(E26/(8.76*'Table 8'!$D$126),2)</f>
        <v>2.0699999999999998</v>
      </c>
      <c r="G26" s="12"/>
      <c r="H26" s="89">
        <f t="shared" si="2"/>
        <v>2023</v>
      </c>
      <c r="I26" s="13">
        <f>'Table 8'!I74</f>
        <v>8.16</v>
      </c>
      <c r="J26" s="13">
        <f>I26*'Table 8'!$K$113/1000</f>
        <v>57.527999999999999</v>
      </c>
      <c r="K26" s="13">
        <f t="shared" si="16"/>
        <v>2.0699999999999998</v>
      </c>
      <c r="L26" s="238">
        <f t="shared" si="17"/>
        <v>59.597999999999999</v>
      </c>
      <c r="M26" s="12"/>
      <c r="N26" s="89">
        <f t="shared" si="5"/>
        <v>2023</v>
      </c>
      <c r="O26" s="12">
        <f t="shared" si="18"/>
        <v>155.91999999999999</v>
      </c>
      <c r="P26" s="13">
        <f t="shared" si="19"/>
        <v>59.597999999999999</v>
      </c>
      <c r="Q26" s="13">
        <f t="shared" si="8"/>
        <v>83.33</v>
      </c>
      <c r="R26" s="13">
        <f t="shared" si="8"/>
        <v>80.540000000000006</v>
      </c>
      <c r="S26" s="96">
        <f t="shared" si="8"/>
        <v>78.33</v>
      </c>
      <c r="T26" s="12"/>
      <c r="U26" s="89">
        <f t="shared" si="9"/>
        <v>2023</v>
      </c>
      <c r="V26" s="12">
        <f t="shared" si="20"/>
        <v>155.91999999999999</v>
      </c>
      <c r="W26" s="13">
        <f>ROUND(V26/(8.76*'Table 8'!$D$127*0.57),2)</f>
        <v>35.4</v>
      </c>
      <c r="X26" s="13">
        <f t="shared" si="21"/>
        <v>59.597999999999999</v>
      </c>
      <c r="Y26" s="13">
        <f t="shared" si="22"/>
        <v>94.99799999999999</v>
      </c>
      <c r="Z26" s="96">
        <f t="shared" si="23"/>
        <v>59.597999999999999</v>
      </c>
    </row>
    <row r="27" spans="2:27">
      <c r="B27" s="89">
        <f t="shared" si="14"/>
        <v>2024</v>
      </c>
      <c r="C27" s="12">
        <f>'Table 8'!H75</f>
        <v>167.96</v>
      </c>
      <c r="D27" s="12">
        <f>'Table 8'!H24</f>
        <v>149.46</v>
      </c>
      <c r="E27" s="12">
        <f t="shared" si="15"/>
        <v>9.25</v>
      </c>
      <c r="F27" s="75">
        <f>ROUND(E27/(8.76*'Table 8'!$D$126),2)</f>
        <v>2.1</v>
      </c>
      <c r="G27" s="12"/>
      <c r="H27" s="89">
        <f t="shared" si="2"/>
        <v>2024</v>
      </c>
      <c r="I27" s="13">
        <f>'Table 8'!I75</f>
        <v>8.68</v>
      </c>
      <c r="J27" s="13">
        <f>I27*'Table 8'!$K$113/1000</f>
        <v>61.194000000000003</v>
      </c>
      <c r="K27" s="13">
        <f t="shared" si="16"/>
        <v>2.1</v>
      </c>
      <c r="L27" s="238">
        <f t="shared" si="17"/>
        <v>63.294000000000004</v>
      </c>
      <c r="M27" s="12"/>
      <c r="N27" s="89">
        <f t="shared" si="5"/>
        <v>2024</v>
      </c>
      <c r="O27" s="12">
        <f t="shared" si="18"/>
        <v>158.71</v>
      </c>
      <c r="P27" s="13">
        <f t="shared" si="19"/>
        <v>63.294000000000004</v>
      </c>
      <c r="Q27" s="13">
        <f t="shared" si="8"/>
        <v>87.45</v>
      </c>
      <c r="R27" s="13">
        <f t="shared" si="8"/>
        <v>84.61</v>
      </c>
      <c r="S27" s="96">
        <f t="shared" si="8"/>
        <v>82.37</v>
      </c>
      <c r="T27" s="12"/>
      <c r="U27" s="89">
        <f t="shared" si="9"/>
        <v>2024</v>
      </c>
      <c r="V27" s="12">
        <f t="shared" si="20"/>
        <v>158.71</v>
      </c>
      <c r="W27" s="13">
        <f>ROUND(V27/(8.76*'Table 8'!$D$127*0.57),2)</f>
        <v>36.04</v>
      </c>
      <c r="X27" s="13">
        <f t="shared" si="21"/>
        <v>63.294000000000004</v>
      </c>
      <c r="Y27" s="13">
        <f t="shared" si="22"/>
        <v>99.334000000000003</v>
      </c>
      <c r="Z27" s="96">
        <f t="shared" si="23"/>
        <v>63.294000000000004</v>
      </c>
    </row>
    <row r="28" spans="2:27">
      <c r="B28" s="89">
        <f t="shared" si="14"/>
        <v>2025</v>
      </c>
      <c r="C28" s="12">
        <f>'Table 8'!H76</f>
        <v>171.17</v>
      </c>
      <c r="D28" s="12">
        <f>'Table 8'!H25</f>
        <v>152.30000000000001</v>
      </c>
      <c r="E28" s="12">
        <f t="shared" si="15"/>
        <v>9.43</v>
      </c>
      <c r="F28" s="75">
        <f>ROUND(E28/(8.76*'Table 8'!$D$126),2)</f>
        <v>2.14</v>
      </c>
      <c r="G28" s="12"/>
      <c r="H28" s="89">
        <f t="shared" si="2"/>
        <v>2025</v>
      </c>
      <c r="I28" s="13">
        <f>'Table 8'!I76</f>
        <v>8.4499999999999993</v>
      </c>
      <c r="J28" s="13">
        <f>I28*'Table 8'!$K$113/1000</f>
        <v>59.572499999999991</v>
      </c>
      <c r="K28" s="13">
        <f t="shared" si="16"/>
        <v>2.14</v>
      </c>
      <c r="L28" s="238">
        <f t="shared" si="17"/>
        <v>61.712499999999991</v>
      </c>
      <c r="M28" s="12"/>
      <c r="N28" s="89">
        <f t="shared" si="5"/>
        <v>2025</v>
      </c>
      <c r="O28" s="12">
        <f t="shared" si="18"/>
        <v>161.73000000000002</v>
      </c>
      <c r="P28" s="13">
        <f t="shared" si="19"/>
        <v>61.712499999999991</v>
      </c>
      <c r="Q28" s="13">
        <f t="shared" si="8"/>
        <v>86.33</v>
      </c>
      <c r="R28" s="13">
        <f t="shared" si="8"/>
        <v>83.43</v>
      </c>
      <c r="S28" s="96">
        <f t="shared" si="8"/>
        <v>81.150000000000006</v>
      </c>
      <c r="T28" s="12"/>
      <c r="U28" s="89">
        <f t="shared" si="9"/>
        <v>2025</v>
      </c>
      <c r="V28" s="12">
        <f t="shared" si="20"/>
        <v>161.73000000000002</v>
      </c>
      <c r="W28" s="13">
        <f>ROUND(V28/(8.76*'Table 8'!$D$127*0.57),2)</f>
        <v>36.72</v>
      </c>
      <c r="X28" s="13">
        <f t="shared" si="21"/>
        <v>61.712499999999991</v>
      </c>
      <c r="Y28" s="13">
        <f t="shared" si="22"/>
        <v>98.43249999999999</v>
      </c>
      <c r="Z28" s="96">
        <f t="shared" si="23"/>
        <v>61.712499999999991</v>
      </c>
    </row>
    <row r="29" spans="2:27">
      <c r="B29" s="89">
        <f t="shared" si="14"/>
        <v>2026</v>
      </c>
      <c r="C29" s="12">
        <f>'Table 8'!H77</f>
        <v>174.42</v>
      </c>
      <c r="D29" s="12">
        <f>'Table 8'!H26</f>
        <v>155.19999999999999</v>
      </c>
      <c r="E29" s="12">
        <f t="shared" si="15"/>
        <v>9.61</v>
      </c>
      <c r="F29" s="75">
        <f>ROUND(E29/(8.76*'Table 8'!$D$126),2)</f>
        <v>2.1800000000000002</v>
      </c>
      <c r="G29" s="12"/>
      <c r="H29" s="89">
        <f t="shared" si="2"/>
        <v>2026</v>
      </c>
      <c r="I29" s="13">
        <f>'Table 8'!I77</f>
        <v>7.65</v>
      </c>
      <c r="J29" s="13">
        <f>I29*'Table 8'!$K$113/1000</f>
        <v>53.932499999999997</v>
      </c>
      <c r="K29" s="13">
        <f t="shared" si="16"/>
        <v>2.1800000000000002</v>
      </c>
      <c r="L29" s="238">
        <f t="shared" si="17"/>
        <v>56.112499999999997</v>
      </c>
      <c r="M29" s="12"/>
      <c r="N29" s="89">
        <f t="shared" si="5"/>
        <v>2026</v>
      </c>
      <c r="O29" s="12">
        <f t="shared" si="18"/>
        <v>164.81</v>
      </c>
      <c r="P29" s="13">
        <f t="shared" si="19"/>
        <v>56.112499999999997</v>
      </c>
      <c r="Q29" s="13">
        <f t="shared" si="8"/>
        <v>81.2</v>
      </c>
      <c r="R29" s="13">
        <f t="shared" si="8"/>
        <v>78.25</v>
      </c>
      <c r="S29" s="96">
        <f t="shared" si="8"/>
        <v>75.92</v>
      </c>
      <c r="T29" s="12"/>
      <c r="U29" s="89">
        <f t="shared" si="9"/>
        <v>2026</v>
      </c>
      <c r="V29" s="12">
        <f t="shared" si="20"/>
        <v>164.81</v>
      </c>
      <c r="W29" s="13">
        <f>ROUND(V29/(8.76*'Table 8'!$D$127*0.57),2)</f>
        <v>37.42</v>
      </c>
      <c r="X29" s="13">
        <f t="shared" si="21"/>
        <v>56.112499999999997</v>
      </c>
      <c r="Y29" s="13">
        <f t="shared" si="22"/>
        <v>93.532499999999999</v>
      </c>
      <c r="Z29" s="96">
        <f t="shared" si="23"/>
        <v>56.112499999999997</v>
      </c>
    </row>
    <row r="30" spans="2:27">
      <c r="B30" s="89">
        <f t="shared" si="14"/>
        <v>2027</v>
      </c>
      <c r="C30" s="12">
        <f>'Table 8'!H78</f>
        <v>177.72</v>
      </c>
      <c r="D30" s="12">
        <f>'Table 8'!H27</f>
        <v>158.15</v>
      </c>
      <c r="E30" s="12">
        <f t="shared" si="15"/>
        <v>9.7899999999999991</v>
      </c>
      <c r="F30" s="75">
        <f>ROUND(E30/(8.76*'Table 8'!$D$126),2)</f>
        <v>2.2200000000000002</v>
      </c>
      <c r="G30" s="12"/>
      <c r="H30" s="89">
        <f t="shared" si="2"/>
        <v>2027</v>
      </c>
      <c r="I30" s="13">
        <f>'Table 8'!I78</f>
        <v>7.11</v>
      </c>
      <c r="J30" s="13">
        <f>I30*'Table 8'!$K$113/1000</f>
        <v>50.125500000000002</v>
      </c>
      <c r="K30" s="13">
        <f t="shared" si="16"/>
        <v>2.2200000000000002</v>
      </c>
      <c r="L30" s="238">
        <f t="shared" si="17"/>
        <v>52.345500000000001</v>
      </c>
      <c r="M30" s="12"/>
      <c r="N30" s="89">
        <f t="shared" si="5"/>
        <v>2027</v>
      </c>
      <c r="O30" s="12">
        <f t="shared" si="18"/>
        <v>167.94</v>
      </c>
      <c r="P30" s="13">
        <f t="shared" si="19"/>
        <v>52.345500000000001</v>
      </c>
      <c r="Q30" s="13">
        <f t="shared" si="8"/>
        <v>77.91</v>
      </c>
      <c r="R30" s="13">
        <f t="shared" si="8"/>
        <v>74.900000000000006</v>
      </c>
      <c r="S30" s="96">
        <f t="shared" si="8"/>
        <v>72.53</v>
      </c>
      <c r="T30" s="12"/>
      <c r="U30" s="89">
        <f t="shared" si="9"/>
        <v>2027</v>
      </c>
      <c r="V30" s="12">
        <f t="shared" si="20"/>
        <v>167.94</v>
      </c>
      <c r="W30" s="13">
        <f>ROUND(V30/(8.76*'Table 8'!$D$127*0.57),2)</f>
        <v>38.130000000000003</v>
      </c>
      <c r="X30" s="13">
        <f t="shared" si="21"/>
        <v>52.345500000000001</v>
      </c>
      <c r="Y30" s="13">
        <f t="shared" si="22"/>
        <v>90.475500000000011</v>
      </c>
      <c r="Z30" s="96">
        <f t="shared" si="23"/>
        <v>52.345500000000001</v>
      </c>
    </row>
    <row r="31" spans="2:27">
      <c r="B31" s="89">
        <f t="shared" si="14"/>
        <v>2028</v>
      </c>
      <c r="C31" s="12">
        <f>'Table 8'!H79</f>
        <v>181.28</v>
      </c>
      <c r="D31" s="12">
        <f>'Table 8'!H28</f>
        <v>161.31</v>
      </c>
      <c r="E31" s="12">
        <f t="shared" si="15"/>
        <v>9.99</v>
      </c>
      <c r="F31" s="75">
        <f>ROUND(E31/(8.76*'Table 8'!$D$126),2)</f>
        <v>2.27</v>
      </c>
      <c r="G31" s="12"/>
      <c r="H31" s="89">
        <f t="shared" si="2"/>
        <v>2028</v>
      </c>
      <c r="I31" s="13">
        <f>'Table 8'!I79</f>
        <v>8.0500000000000007</v>
      </c>
      <c r="J31" s="13">
        <f>I31*'Table 8'!$K$113/1000</f>
        <v>56.752500000000005</v>
      </c>
      <c r="K31" s="13">
        <f t="shared" si="16"/>
        <v>2.27</v>
      </c>
      <c r="L31" s="238">
        <f t="shared" si="17"/>
        <v>59.022500000000008</v>
      </c>
      <c r="M31" s="12"/>
      <c r="N31" s="89">
        <f t="shared" si="5"/>
        <v>2028</v>
      </c>
      <c r="O31" s="12">
        <f t="shared" si="18"/>
        <v>171.3</v>
      </c>
      <c r="P31" s="13">
        <f t="shared" si="19"/>
        <v>59.022500000000008</v>
      </c>
      <c r="Q31" s="13">
        <f t="shared" si="8"/>
        <v>85.1</v>
      </c>
      <c r="R31" s="13">
        <f t="shared" si="8"/>
        <v>82.03</v>
      </c>
      <c r="S31" s="96">
        <f t="shared" si="8"/>
        <v>79.61</v>
      </c>
      <c r="T31" s="12"/>
      <c r="U31" s="89">
        <f t="shared" si="9"/>
        <v>2028</v>
      </c>
      <c r="V31" s="12">
        <f t="shared" si="20"/>
        <v>171.3</v>
      </c>
      <c r="W31" s="13">
        <f>ROUND(V31/(8.76*'Table 8'!$D$127*0.57),2)</f>
        <v>38.9</v>
      </c>
      <c r="X31" s="13">
        <f t="shared" si="21"/>
        <v>59.022500000000008</v>
      </c>
      <c r="Y31" s="13">
        <f t="shared" si="22"/>
        <v>97.922500000000014</v>
      </c>
      <c r="Z31" s="96">
        <f t="shared" si="23"/>
        <v>59.022500000000008</v>
      </c>
    </row>
    <row r="32" spans="2:27">
      <c r="B32" s="89">
        <f t="shared" si="14"/>
        <v>2029</v>
      </c>
      <c r="C32" s="12">
        <f>'Table 8'!H80</f>
        <v>184.9</v>
      </c>
      <c r="D32" s="12">
        <f>'Table 8'!H29</f>
        <v>164.55</v>
      </c>
      <c r="E32" s="12">
        <f t="shared" si="15"/>
        <v>10.18</v>
      </c>
      <c r="F32" s="75">
        <f>ROUND(E32/(8.76*'Table 8'!$D$126),2)</f>
        <v>2.31</v>
      </c>
      <c r="G32" s="12"/>
      <c r="H32" s="89">
        <f t="shared" si="2"/>
        <v>2029</v>
      </c>
      <c r="I32" s="13">
        <f>'Table 8'!I80</f>
        <v>8.31</v>
      </c>
      <c r="J32" s="13">
        <f>I32*'Table 8'!$K$113/1000</f>
        <v>58.585500000000003</v>
      </c>
      <c r="K32" s="13">
        <f t="shared" si="16"/>
        <v>2.31</v>
      </c>
      <c r="L32" s="238">
        <f t="shared" si="17"/>
        <v>60.895500000000006</v>
      </c>
      <c r="M32" s="12"/>
      <c r="N32" s="89">
        <f t="shared" si="5"/>
        <v>2029</v>
      </c>
      <c r="O32" s="12">
        <f t="shared" si="18"/>
        <v>174.73000000000002</v>
      </c>
      <c r="P32" s="13">
        <f t="shared" si="19"/>
        <v>60.895500000000006</v>
      </c>
      <c r="Q32" s="13">
        <f t="shared" si="8"/>
        <v>87.49</v>
      </c>
      <c r="R32" s="13">
        <f t="shared" si="8"/>
        <v>84.36</v>
      </c>
      <c r="S32" s="96">
        <f t="shared" si="8"/>
        <v>81.89</v>
      </c>
      <c r="T32" s="12"/>
      <c r="U32" s="89">
        <f t="shared" si="9"/>
        <v>2029</v>
      </c>
      <c r="V32" s="12">
        <f t="shared" si="20"/>
        <v>174.73000000000002</v>
      </c>
      <c r="W32" s="13">
        <f>ROUND(V32/(8.76*'Table 8'!$D$127*0.57),2)</f>
        <v>39.68</v>
      </c>
      <c r="X32" s="13">
        <f t="shared" si="21"/>
        <v>60.895500000000006</v>
      </c>
      <c r="Y32" s="13">
        <f t="shared" si="22"/>
        <v>100.57550000000001</v>
      </c>
      <c r="Z32" s="96">
        <f t="shared" si="23"/>
        <v>60.895500000000006</v>
      </c>
    </row>
    <row r="33" spans="2:26">
      <c r="B33" s="89">
        <f t="shared" si="14"/>
        <v>2030</v>
      </c>
      <c r="C33" s="12">
        <f>'Table 8'!H81</f>
        <v>188.43</v>
      </c>
      <c r="D33" s="12">
        <f>'Table 8'!H30</f>
        <v>167.67</v>
      </c>
      <c r="E33" s="12">
        <f t="shared" si="15"/>
        <v>10.38</v>
      </c>
      <c r="F33" s="75">
        <f>ROUND(E33/(8.76*'Table 8'!$D$126),2)</f>
        <v>2.36</v>
      </c>
      <c r="G33" s="12"/>
      <c r="H33" s="89">
        <f t="shared" si="2"/>
        <v>2030</v>
      </c>
      <c r="I33" s="13">
        <f>'Table 8'!I81</f>
        <v>8.4499999999999993</v>
      </c>
      <c r="J33" s="13">
        <f>I33*'Table 8'!$K$113/1000</f>
        <v>59.572499999999991</v>
      </c>
      <c r="K33" s="13">
        <f t="shared" si="16"/>
        <v>2.36</v>
      </c>
      <c r="L33" s="238">
        <f t="shared" si="17"/>
        <v>61.93249999999999</v>
      </c>
      <c r="M33" s="12"/>
      <c r="N33" s="89">
        <f t="shared" si="5"/>
        <v>2030</v>
      </c>
      <c r="O33" s="12">
        <f t="shared" si="18"/>
        <v>178.04999999999998</v>
      </c>
      <c r="P33" s="13">
        <f t="shared" si="19"/>
        <v>61.93249999999999</v>
      </c>
      <c r="Q33" s="13">
        <f t="shared" si="8"/>
        <v>89.03</v>
      </c>
      <c r="R33" s="13">
        <f t="shared" si="8"/>
        <v>85.84</v>
      </c>
      <c r="S33" s="96">
        <f t="shared" si="8"/>
        <v>83.33</v>
      </c>
      <c r="T33" s="12"/>
      <c r="U33" s="89">
        <f t="shared" si="9"/>
        <v>2030</v>
      </c>
      <c r="V33" s="12">
        <f t="shared" si="20"/>
        <v>178.04999999999998</v>
      </c>
      <c r="W33" s="13">
        <f>ROUND(V33/(8.76*'Table 8'!$D$127*0.57),2)</f>
        <v>40.43</v>
      </c>
      <c r="X33" s="13">
        <f t="shared" si="21"/>
        <v>61.93249999999999</v>
      </c>
      <c r="Y33" s="13">
        <f t="shared" si="22"/>
        <v>102.36249999999998</v>
      </c>
      <c r="Z33" s="96">
        <f t="shared" si="23"/>
        <v>61.93249999999999</v>
      </c>
    </row>
    <row r="34" spans="2:26">
      <c r="B34" s="89">
        <f t="shared" si="14"/>
        <v>2031</v>
      </c>
      <c r="C34" s="12">
        <f>'Table 8'!H82</f>
        <v>192.01</v>
      </c>
      <c r="D34" s="12">
        <f>'Table 8'!H31</f>
        <v>170.85</v>
      </c>
      <c r="E34" s="12">
        <f t="shared" si="15"/>
        <v>10.58</v>
      </c>
      <c r="F34" s="75">
        <f>ROUND(E34/(8.76*'Table 8'!$D$126),2)</f>
        <v>2.4</v>
      </c>
      <c r="G34" s="12"/>
      <c r="H34" s="89">
        <f t="shared" si="2"/>
        <v>2031</v>
      </c>
      <c r="I34" s="13">
        <f>'Table 8'!I82</f>
        <v>8.61</v>
      </c>
      <c r="J34" s="13">
        <f>I34*'Table 8'!$K$113/1000</f>
        <v>60.700499999999991</v>
      </c>
      <c r="K34" s="13">
        <f t="shared" si="16"/>
        <v>2.4</v>
      </c>
      <c r="L34" s="238">
        <f t="shared" si="17"/>
        <v>63.10049999999999</v>
      </c>
      <c r="M34" s="12"/>
      <c r="N34" s="89">
        <f t="shared" si="5"/>
        <v>2031</v>
      </c>
      <c r="O34" s="12">
        <f t="shared" si="18"/>
        <v>181.43</v>
      </c>
      <c r="P34" s="13">
        <f t="shared" si="19"/>
        <v>63.10049999999999</v>
      </c>
      <c r="Q34" s="13">
        <f t="shared" si="8"/>
        <v>90.72</v>
      </c>
      <c r="R34" s="13">
        <f t="shared" si="8"/>
        <v>87.47</v>
      </c>
      <c r="S34" s="96">
        <f t="shared" si="8"/>
        <v>84.9</v>
      </c>
      <c r="T34" s="12"/>
      <c r="U34" s="89">
        <f t="shared" si="9"/>
        <v>2031</v>
      </c>
      <c r="V34" s="12">
        <f t="shared" si="20"/>
        <v>181.43</v>
      </c>
      <c r="W34" s="13">
        <f>ROUND(V34/(8.76*'Table 8'!$D$127*0.57),2)</f>
        <v>41.2</v>
      </c>
      <c r="X34" s="13">
        <f t="shared" si="21"/>
        <v>63.10049999999999</v>
      </c>
      <c r="Y34" s="13">
        <f t="shared" si="22"/>
        <v>104.3005</v>
      </c>
      <c r="Z34" s="96">
        <f t="shared" si="23"/>
        <v>63.10049999999999</v>
      </c>
    </row>
    <row r="35" spans="2:26">
      <c r="B35" s="89">
        <f t="shared" si="14"/>
        <v>2032</v>
      </c>
      <c r="C35" s="12">
        <f>'Table 8'!H83</f>
        <v>195.64</v>
      </c>
      <c r="D35" s="12">
        <f>'Table 8'!H32</f>
        <v>174.1</v>
      </c>
      <c r="E35" s="12">
        <f t="shared" si="15"/>
        <v>10.77</v>
      </c>
      <c r="F35" s="75">
        <f>ROUND(E35/(8.76*'Table 8'!$D$126),2)</f>
        <v>2.44</v>
      </c>
      <c r="G35" s="12"/>
      <c r="H35" s="89">
        <f t="shared" si="2"/>
        <v>2032</v>
      </c>
      <c r="I35" s="13">
        <f>'Table 8'!I83</f>
        <v>8.7799999999999994</v>
      </c>
      <c r="J35" s="13">
        <f>I35*'Table 8'!$K$113/1000</f>
        <v>61.898999999999994</v>
      </c>
      <c r="K35" s="13">
        <f t="shared" si="16"/>
        <v>2.44</v>
      </c>
      <c r="L35" s="238">
        <f t="shared" si="17"/>
        <v>64.338999999999999</v>
      </c>
      <c r="M35" s="12"/>
      <c r="N35" s="89">
        <f t="shared" si="5"/>
        <v>2032</v>
      </c>
      <c r="O35" s="12">
        <f t="shared" si="18"/>
        <v>184.87</v>
      </c>
      <c r="P35" s="13">
        <f t="shared" si="19"/>
        <v>64.338999999999999</v>
      </c>
      <c r="Q35" s="13">
        <f t="shared" si="8"/>
        <v>92.48</v>
      </c>
      <c r="R35" s="13">
        <f t="shared" si="8"/>
        <v>89.17</v>
      </c>
      <c r="S35" s="96">
        <f t="shared" si="8"/>
        <v>86.55</v>
      </c>
      <c r="T35" s="12"/>
      <c r="U35" s="89">
        <f t="shared" si="9"/>
        <v>2032</v>
      </c>
      <c r="V35" s="12">
        <f t="shared" si="20"/>
        <v>184.87</v>
      </c>
      <c r="W35" s="13">
        <f>ROUND(V35/(8.76*'Table 8'!$D$127*0.57),2)</f>
        <v>41.98</v>
      </c>
      <c r="X35" s="13">
        <f t="shared" si="21"/>
        <v>64.338999999999999</v>
      </c>
      <c r="Y35" s="13">
        <f t="shared" si="22"/>
        <v>106.31899999999999</v>
      </c>
      <c r="Z35" s="96">
        <f t="shared" si="23"/>
        <v>64.338999999999999</v>
      </c>
    </row>
    <row r="36" spans="2:26">
      <c r="B36" s="89">
        <f t="shared" si="14"/>
        <v>2033</v>
      </c>
      <c r="C36" s="12">
        <f>'Table 8'!H84</f>
        <v>199.36</v>
      </c>
      <c r="D36" s="12">
        <f>'Table 8'!H33</f>
        <v>177.42</v>
      </c>
      <c r="E36" s="12">
        <f t="shared" si="15"/>
        <v>10.97</v>
      </c>
      <c r="F36" s="75">
        <f>ROUND(E36/(8.76*'Table 8'!$D$126),2)</f>
        <v>2.4900000000000002</v>
      </c>
      <c r="G36" s="12"/>
      <c r="H36" s="89">
        <f t="shared" si="2"/>
        <v>2033</v>
      </c>
      <c r="I36" s="13">
        <f>'Table 8'!I84</f>
        <v>8.94</v>
      </c>
      <c r="J36" s="13">
        <f>I36*'Table 8'!$K$113/1000</f>
        <v>63.027000000000001</v>
      </c>
      <c r="K36" s="13">
        <f t="shared" si="16"/>
        <v>2.4900000000000002</v>
      </c>
      <c r="L36" s="238">
        <f t="shared" si="17"/>
        <v>65.516999999999996</v>
      </c>
      <c r="M36" s="12"/>
      <c r="N36" s="89">
        <f t="shared" si="5"/>
        <v>2033</v>
      </c>
      <c r="O36" s="12">
        <f t="shared" si="18"/>
        <v>188.39</v>
      </c>
      <c r="P36" s="13">
        <f t="shared" si="19"/>
        <v>65.516999999999996</v>
      </c>
      <c r="Q36" s="13">
        <f t="shared" si="8"/>
        <v>94.19</v>
      </c>
      <c r="R36" s="13">
        <f t="shared" si="8"/>
        <v>90.82</v>
      </c>
      <c r="S36" s="96">
        <f t="shared" si="8"/>
        <v>88.15</v>
      </c>
      <c r="T36" s="12"/>
      <c r="U36" s="89">
        <f t="shared" si="9"/>
        <v>2033</v>
      </c>
      <c r="V36" s="12">
        <f t="shared" si="20"/>
        <v>188.39</v>
      </c>
      <c r="W36" s="13">
        <f>ROUND(V36/(8.76*'Table 8'!$D$127*0.57),2)</f>
        <v>42.78</v>
      </c>
      <c r="X36" s="13">
        <f t="shared" si="21"/>
        <v>65.516999999999996</v>
      </c>
      <c r="Y36" s="13">
        <f t="shared" si="22"/>
        <v>108.297</v>
      </c>
      <c r="Z36" s="96">
        <f t="shared" si="23"/>
        <v>65.516999999999996</v>
      </c>
    </row>
    <row r="37" spans="2:26">
      <c r="B37" s="89">
        <f t="shared" si="14"/>
        <v>2034</v>
      </c>
      <c r="C37" s="12">
        <f>'Table 8'!H85</f>
        <v>203.15</v>
      </c>
      <c r="D37" s="12">
        <f>'Table 8'!H34</f>
        <v>180.78</v>
      </c>
      <c r="E37" s="12">
        <f t="shared" si="15"/>
        <v>11.19</v>
      </c>
      <c r="F37" s="75">
        <f>ROUND(E37/(8.76*'Table 8'!$D$126),2)</f>
        <v>2.54</v>
      </c>
      <c r="G37" s="12"/>
      <c r="H37" s="89">
        <f t="shared" si="2"/>
        <v>2034</v>
      </c>
      <c r="I37" s="13">
        <f>'Table 8'!I85</f>
        <v>9.11</v>
      </c>
      <c r="J37" s="13">
        <f>I37*'Table 8'!$K$113/1000</f>
        <v>64.225499999999997</v>
      </c>
      <c r="K37" s="13">
        <f t="shared" si="16"/>
        <v>2.54</v>
      </c>
      <c r="L37" s="238">
        <f t="shared" si="17"/>
        <v>66.765500000000003</v>
      </c>
      <c r="M37" s="12"/>
      <c r="N37" s="89">
        <f t="shared" si="5"/>
        <v>2034</v>
      </c>
      <c r="O37" s="12">
        <f t="shared" si="18"/>
        <v>191.97</v>
      </c>
      <c r="P37" s="13">
        <f t="shared" si="19"/>
        <v>66.765500000000003</v>
      </c>
      <c r="Q37" s="13">
        <f t="shared" si="8"/>
        <v>95.98</v>
      </c>
      <c r="R37" s="13">
        <f t="shared" si="8"/>
        <v>92.55</v>
      </c>
      <c r="S37" s="96">
        <f t="shared" si="8"/>
        <v>89.83</v>
      </c>
      <c r="T37" s="12"/>
      <c r="U37" s="89">
        <f t="shared" si="9"/>
        <v>2034</v>
      </c>
      <c r="V37" s="12">
        <f t="shared" si="20"/>
        <v>191.97</v>
      </c>
      <c r="W37" s="13">
        <f>ROUND(V37/(8.76*'Table 8'!$D$127*0.57),2)</f>
        <v>43.59</v>
      </c>
      <c r="X37" s="13">
        <f t="shared" si="21"/>
        <v>66.765500000000003</v>
      </c>
      <c r="Y37" s="13">
        <f t="shared" si="22"/>
        <v>110.35550000000001</v>
      </c>
      <c r="Z37" s="96">
        <f t="shared" si="23"/>
        <v>66.765500000000003</v>
      </c>
    </row>
    <row r="38" spans="2:26">
      <c r="B38" s="91">
        <f t="shared" si="14"/>
        <v>2035</v>
      </c>
      <c r="C38" s="97">
        <f>'Table 8'!H86</f>
        <v>206.79</v>
      </c>
      <c r="D38" s="97">
        <f>'Table 8'!H35</f>
        <v>184.04</v>
      </c>
      <c r="E38" s="97">
        <f t="shared" si="15"/>
        <v>11.38</v>
      </c>
      <c r="F38" s="99">
        <f>ROUND(E38/(8.76*'Table 8'!$D$126),2)</f>
        <v>2.58</v>
      </c>
      <c r="G38" s="12"/>
      <c r="H38" s="91">
        <f t="shared" si="2"/>
        <v>2035</v>
      </c>
      <c r="I38" s="98">
        <f>'Table 8'!I86</f>
        <v>9.2799999999999994</v>
      </c>
      <c r="J38" s="98">
        <f>I38*'Table 8'!$K$113/1000</f>
        <v>65.423999999999992</v>
      </c>
      <c r="K38" s="98">
        <f t="shared" si="16"/>
        <v>2.58</v>
      </c>
      <c r="L38" s="239">
        <f t="shared" si="17"/>
        <v>68.003999999999991</v>
      </c>
      <c r="M38" s="12"/>
      <c r="N38" s="91">
        <f t="shared" si="5"/>
        <v>2035</v>
      </c>
      <c r="O38" s="97">
        <f t="shared" si="18"/>
        <v>195.42</v>
      </c>
      <c r="P38" s="98">
        <f t="shared" si="19"/>
        <v>68.003999999999991</v>
      </c>
      <c r="Q38" s="98">
        <f t="shared" si="8"/>
        <v>97.75</v>
      </c>
      <c r="R38" s="98">
        <f t="shared" si="8"/>
        <v>94.25</v>
      </c>
      <c r="S38" s="100">
        <f t="shared" si="8"/>
        <v>91.49</v>
      </c>
      <c r="T38" s="12"/>
      <c r="U38" s="91">
        <f t="shared" si="9"/>
        <v>2035</v>
      </c>
      <c r="V38" s="97">
        <f t="shared" si="20"/>
        <v>195.42</v>
      </c>
      <c r="W38" s="98">
        <f>ROUND(V38/(8.76*'Table 8'!$D$127*0.57),2)</f>
        <v>44.37</v>
      </c>
      <c r="X38" s="98">
        <f t="shared" si="21"/>
        <v>68.003999999999991</v>
      </c>
      <c r="Y38" s="98">
        <f t="shared" si="22"/>
        <v>112.374</v>
      </c>
      <c r="Z38" s="100">
        <f t="shared" si="23"/>
        <v>68.003999999999991</v>
      </c>
    </row>
    <row r="40" spans="2:26">
      <c r="B40" s="6" t="s">
        <v>22</v>
      </c>
      <c r="H40" s="6" t="s">
        <v>22</v>
      </c>
      <c r="N40" s="6" t="s">
        <v>22</v>
      </c>
      <c r="U40" s="6" t="s">
        <v>22</v>
      </c>
    </row>
    <row r="41" spans="2:26">
      <c r="B41" s="82" t="str">
        <f>C8</f>
        <v>(a)</v>
      </c>
      <c r="C41" s="6" t="str">
        <f>"  "&amp;'Table 8'!$B$1&amp;"  Column "&amp;'Table 8'!$H$7</f>
        <v xml:space="preserve">  Table 8  Column (f)</v>
      </c>
      <c r="H41" s="82" t="str">
        <f>I8</f>
        <v>(a)</v>
      </c>
      <c r="I41" s="6" t="str">
        <f>"  "&amp;'Table 8'!$B$1&amp;"  Column "&amp;'Table 8'!$I$58</f>
        <v xml:space="preserve">  Table 8  Column (g)</v>
      </c>
      <c r="N41" s="83" t="str">
        <f>O8</f>
        <v>(a)</v>
      </c>
      <c r="O41" s="9" t="str">
        <f>"  "&amp;$B$1&amp;"  Column "&amp;$D$8&amp;" + "&amp;$B$1&amp;"  Column "&amp;$E$8</f>
        <v xml:space="preserve">  Table 3  Column (b) + Table 3  Column (c)</v>
      </c>
      <c r="P41" s="9"/>
      <c r="Q41" s="9"/>
      <c r="U41" s="83" t="str">
        <f>V8</f>
        <v>(a)</v>
      </c>
      <c r="V41" s="9" t="str">
        <f>"  "&amp;$B$1&amp;"  Column "&amp;$D$8&amp;" + "&amp;$B$1&amp;"  Column "&amp;$E$8</f>
        <v xml:space="preserve">  Table 3  Column (b) + Table 3  Column (c)</v>
      </c>
      <c r="X41" s="9"/>
    </row>
    <row r="42" spans="2:26">
      <c r="B42" s="82" t="str">
        <f>D8</f>
        <v>(b)</v>
      </c>
      <c r="C42" s="6" t="str">
        <f>C41</f>
        <v xml:space="preserve">  Table 8  Column (f)</v>
      </c>
      <c r="H42" s="82" t="str">
        <f>J8</f>
        <v>(b)</v>
      </c>
      <c r="I42" s="6" t="str">
        <f>"  "&amp;'Table 8'!$B$1&amp;"  Column "&amp;'Table 8'!K58&amp;" Heat rate "&amp;TEXT('Table 8'!$K$113/1000,"?.000")&amp;" MMBtu/MWh"</f>
        <v xml:space="preserve">  Table 8  Column (i) Heat rate 7.050 MMBtu/MWh</v>
      </c>
      <c r="N42" s="82" t="str">
        <f>P8</f>
        <v>(b)</v>
      </c>
      <c r="O42" s="6" t="str">
        <f>"  "&amp;$H$1&amp;"  Column "&amp;$L$8</f>
        <v xml:space="preserve">  Table 4  Column (d)</v>
      </c>
      <c r="U42" s="82" t="str">
        <f>W8</f>
        <v>(b)</v>
      </c>
      <c r="V42" s="6" t="str">
        <f>"  "&amp;'Table 8'!B1&amp;"   "&amp;TEXT('Table 8'!$D$127,"0.0%")&amp;" is the on-peak capacity factor of the Proxy Resource"</f>
        <v xml:space="preserve">  Table 8   88.2% is the on-peak capacity factor of the Proxy Resource</v>
      </c>
    </row>
    <row r="43" spans="2:26">
      <c r="B43" s="82" t="str">
        <f>E8</f>
        <v>(c)</v>
      </c>
      <c r="C43" s="84" t="s">
        <v>83</v>
      </c>
      <c r="H43" s="82" t="str">
        <f>K8</f>
        <v>(c)</v>
      </c>
      <c r="I43" s="6" t="str">
        <f>"  "&amp;$B$1&amp;"  Column "&amp;$F$8</f>
        <v xml:space="preserve">  Table 3  Column (d)</v>
      </c>
      <c r="N43" s="21"/>
      <c r="O43" s="85"/>
      <c r="U43" s="82" t="str">
        <f>X8</f>
        <v>(c)</v>
      </c>
      <c r="V43" s="6" t="str">
        <f>"  "&amp;$H$1&amp;"  Column "&amp;$L$8</f>
        <v xml:space="preserve">  Table 4  Column (d)</v>
      </c>
    </row>
    <row r="44" spans="2:26">
      <c r="B44" s="82" t="str">
        <f>F8</f>
        <v>(d)</v>
      </c>
      <c r="C44" s="84" t="str">
        <f>"   "&amp;TEXT('Table 8'!$D$126,"0.0%")&amp;" CCCT Energy Weighted Capacity Factor - "&amp;'Table 8'!$B$1&amp;" page 3"</f>
        <v xml:space="preserve">   50.3% CCCT Energy Weighted Capacity Factor - Table 8 page 3</v>
      </c>
      <c r="H44" s="21" t="str">
        <f>L8</f>
        <v>(d)</v>
      </c>
      <c r="I44" s="6" t="str">
        <f>"  For "&amp;H12&amp;"-"&amp;MAX(H14:H17)&amp;" - "&amp;'Table 2'!A1</f>
        <v xml:space="preserve">  For 2011-2014 - Table 2</v>
      </c>
      <c r="N44" s="82"/>
      <c r="O44" s="85"/>
      <c r="U44" s="82"/>
    </row>
    <row r="45" spans="2:26">
      <c r="B45" s="82"/>
      <c r="C45" s="84"/>
      <c r="H45" s="21"/>
      <c r="N45" s="82"/>
      <c r="O45" s="85"/>
      <c r="U45" s="82"/>
    </row>
    <row r="46" spans="2:26">
      <c r="B46" s="86"/>
      <c r="C46" s="87" t="s">
        <v>90</v>
      </c>
      <c r="D46" s="163"/>
      <c r="G46" s="6"/>
      <c r="M46" s="6"/>
      <c r="T46" s="6"/>
    </row>
    <row r="47" spans="2:26">
      <c r="C47" s="88">
        <f>B12</f>
        <v>2011</v>
      </c>
      <c r="D47" s="164">
        <v>3</v>
      </c>
    </row>
    <row r="48" spans="2:26">
      <c r="C48" s="89">
        <f>B13</f>
        <v>2012</v>
      </c>
      <c r="D48" s="165">
        <v>7</v>
      </c>
    </row>
    <row r="49" spans="3:19">
      <c r="C49" s="89">
        <f>B14</f>
        <v>2013</v>
      </c>
      <c r="D49" s="165">
        <v>7</v>
      </c>
      <c r="Q49" s="90"/>
      <c r="R49" s="90"/>
      <c r="S49" s="90"/>
    </row>
    <row r="50" spans="3:19">
      <c r="C50" s="91">
        <f>B15</f>
        <v>2014</v>
      </c>
      <c r="D50" s="166">
        <v>7</v>
      </c>
    </row>
  </sheetData>
  <phoneticPr fontId="6" type="noConversion"/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  <colBreaks count="3" manualBreakCount="3">
    <brk id="6" max="49" man="1"/>
    <brk id="12" max="49" man="1"/>
    <brk id="19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M55"/>
  <sheetViews>
    <sheetView zoomScaleNormal="100" zoomScaleSheetLayoutView="85" workbookViewId="0">
      <pane xSplit="1" ySplit="7" topLeftCell="B8" activePane="bottomRight" state="frozen"/>
      <selection activeCell="N130" sqref="N130"/>
      <selection pane="topRight" activeCell="N130" sqref="N130"/>
      <selection pane="bottomLeft" activeCell="N130" sqref="N130"/>
      <selection pane="bottomRight" activeCell="D50" sqref="D50"/>
    </sheetView>
  </sheetViews>
  <sheetFormatPr defaultRowHeight="12.75"/>
  <cols>
    <col min="1" max="1" width="13.6640625" style="2" customWidth="1"/>
    <col min="2" max="2" width="13.1640625" style="2" customWidth="1"/>
    <col min="3" max="3" width="6" style="2" customWidth="1"/>
    <col min="4" max="5" width="25.5" style="2" customWidth="1"/>
    <col min="6" max="6" width="9.33203125" style="2"/>
    <col min="7" max="7" width="9.33203125" style="2" hidden="1" customWidth="1"/>
    <col min="8" max="16384" width="9.33203125" style="2"/>
  </cols>
  <sheetData>
    <row r="1" spans="1:5" s="17" customFormat="1" ht="15.75">
      <c r="A1" s="1" t="s">
        <v>40</v>
      </c>
      <c r="B1" s="19"/>
      <c r="C1" s="19"/>
      <c r="D1" s="19"/>
      <c r="E1" s="19"/>
    </row>
    <row r="2" spans="1:5" s="20" customFormat="1" ht="15">
      <c r="A2" s="7" t="s">
        <v>74</v>
      </c>
      <c r="B2" s="7"/>
      <c r="C2" s="7"/>
      <c r="D2" s="7"/>
      <c r="E2" s="7"/>
    </row>
    <row r="4" spans="1:5">
      <c r="A4" s="37"/>
      <c r="B4" s="44" t="s">
        <v>135</v>
      </c>
      <c r="C4" s="44"/>
      <c r="D4" s="43"/>
      <c r="E4" s="43"/>
    </row>
    <row r="5" spans="1:5">
      <c r="A5" s="45" t="s">
        <v>3</v>
      </c>
      <c r="B5" s="46" t="s">
        <v>73</v>
      </c>
      <c r="C5" s="47"/>
      <c r="D5" s="16" t="s">
        <v>71</v>
      </c>
      <c r="E5" s="15" t="s">
        <v>32</v>
      </c>
    </row>
    <row r="6" spans="1:5">
      <c r="A6" s="48"/>
      <c r="B6" s="49" t="s">
        <v>133</v>
      </c>
      <c r="C6" s="50"/>
      <c r="D6" s="51" t="s">
        <v>72</v>
      </c>
      <c r="E6" s="15"/>
    </row>
    <row r="7" spans="1:5">
      <c r="A7" s="52"/>
      <c r="B7" s="53" t="s">
        <v>140</v>
      </c>
      <c r="C7" s="54"/>
      <c r="D7" s="55" t="s">
        <v>140</v>
      </c>
      <c r="E7" s="40" t="s">
        <v>140</v>
      </c>
    </row>
    <row r="8" spans="1:5">
      <c r="B8" s="56" t="s">
        <v>23</v>
      </c>
      <c r="C8" s="56"/>
      <c r="D8" s="41" t="s">
        <v>24</v>
      </c>
      <c r="E8" s="41" t="s">
        <v>25</v>
      </c>
    </row>
    <row r="9" spans="1:5">
      <c r="B9" s="41"/>
      <c r="C9" s="41"/>
      <c r="D9" s="41"/>
      <c r="E9" s="14" t="str">
        <f>B8&amp;" - "&amp;D8</f>
        <v>(a) - (b)</v>
      </c>
    </row>
    <row r="10" spans="1:5">
      <c r="B10" s="41"/>
      <c r="C10" s="41"/>
      <c r="D10" s="41"/>
      <c r="E10" s="14"/>
    </row>
    <row r="11" spans="1:5">
      <c r="A11" s="71">
        <f>'Tables 3 to 6'!B12</f>
        <v>2011</v>
      </c>
      <c r="B11" s="57">
        <f>ROUND('Tables 3 to 6'!$R12,2)</f>
        <v>36.770000000000003</v>
      </c>
      <c r="C11" s="42"/>
      <c r="D11" s="42">
        <v>39.4</v>
      </c>
      <c r="E11" s="42">
        <f t="shared" ref="E11:E34" si="0">B11-D11</f>
        <v>-2.6299999999999955</v>
      </c>
    </row>
    <row r="12" spans="1:5" s="3" customFormat="1">
      <c r="A12" s="71">
        <f>A11+1</f>
        <v>2012</v>
      </c>
      <c r="B12" s="57">
        <f>ROUND('Tables 3 to 6'!$R13,2)</f>
        <v>43.66</v>
      </c>
      <c r="C12" s="42"/>
      <c r="D12" s="42">
        <v>46.95</v>
      </c>
      <c r="E12" s="42">
        <f t="shared" si="0"/>
        <v>-3.2900000000000063</v>
      </c>
    </row>
    <row r="13" spans="1:5">
      <c r="A13" s="71">
        <f t="shared" ref="A13:A35" si="1">A12+1</f>
        <v>2013</v>
      </c>
      <c r="B13" s="57">
        <f>ROUND('Tables 3 to 6'!$R14,2)</f>
        <v>47.22</v>
      </c>
      <c r="C13" s="42"/>
      <c r="D13" s="42">
        <v>64.16</v>
      </c>
      <c r="E13" s="42">
        <f t="shared" si="0"/>
        <v>-16.939999999999998</v>
      </c>
    </row>
    <row r="14" spans="1:5">
      <c r="A14" s="71">
        <f t="shared" si="1"/>
        <v>2014</v>
      </c>
      <c r="B14" s="57">
        <f>ROUND('Tables 3 to 6'!$R15,2)</f>
        <v>48.84</v>
      </c>
      <c r="C14" s="42"/>
      <c r="D14" s="42">
        <v>66.66</v>
      </c>
      <c r="E14" s="42">
        <f t="shared" ref="E14" si="2">B14-D14</f>
        <v>-17.819999999999993</v>
      </c>
    </row>
    <row r="15" spans="1:5">
      <c r="A15" s="71">
        <f t="shared" si="1"/>
        <v>2015</v>
      </c>
      <c r="B15" s="57">
        <f>ROUND('Tables 3 to 6'!$R18,2)</f>
        <v>60.67</v>
      </c>
      <c r="C15" s="42"/>
      <c r="D15" s="42">
        <v>69.290000000000006</v>
      </c>
      <c r="E15" s="42">
        <f t="shared" si="0"/>
        <v>-8.6200000000000045</v>
      </c>
    </row>
    <row r="16" spans="1:5">
      <c r="A16" s="71">
        <f t="shared" si="1"/>
        <v>2016</v>
      </c>
      <c r="B16" s="57">
        <f>ROUND('Tables 3 to 6'!$R19,2)</f>
        <v>63.32</v>
      </c>
      <c r="C16" s="42"/>
      <c r="D16" s="42">
        <v>73.08</v>
      </c>
      <c r="E16" s="42">
        <f t="shared" si="0"/>
        <v>-9.759999999999998</v>
      </c>
    </row>
    <row r="17" spans="1:5">
      <c r="A17" s="71">
        <f t="shared" si="1"/>
        <v>2017</v>
      </c>
      <c r="B17" s="57">
        <f>ROUND('Tables 3 to 6'!$R20,2)</f>
        <v>66.75</v>
      </c>
      <c r="C17" s="42"/>
      <c r="D17" s="42">
        <v>76.73</v>
      </c>
      <c r="E17" s="42">
        <f t="shared" si="0"/>
        <v>-9.980000000000004</v>
      </c>
    </row>
    <row r="18" spans="1:5">
      <c r="A18" s="71">
        <f t="shared" si="1"/>
        <v>2018</v>
      </c>
      <c r="B18" s="57">
        <f>ROUND('Tables 3 to 6'!$R21,2)</f>
        <v>70.11</v>
      </c>
      <c r="C18" s="42"/>
      <c r="D18" s="42">
        <v>79.239999999999995</v>
      </c>
      <c r="E18" s="42">
        <f t="shared" si="0"/>
        <v>-9.1299999999999955</v>
      </c>
    </row>
    <row r="19" spans="1:5">
      <c r="A19" s="71">
        <f t="shared" si="1"/>
        <v>2019</v>
      </c>
      <c r="B19" s="57">
        <f>ROUND('Tables 3 to 6'!$R22,2)</f>
        <v>72.739999999999995</v>
      </c>
      <c r="C19" s="42"/>
      <c r="D19" s="42">
        <v>78.39</v>
      </c>
      <c r="E19" s="42">
        <f t="shared" si="0"/>
        <v>-5.6500000000000057</v>
      </c>
    </row>
    <row r="20" spans="1:5">
      <c r="A20" s="71">
        <f t="shared" si="1"/>
        <v>2020</v>
      </c>
      <c r="B20" s="57">
        <f>ROUND('Tables 3 to 6'!$R23,2)</f>
        <v>73.77</v>
      </c>
      <c r="C20" s="42"/>
      <c r="D20" s="42">
        <v>79.260000000000005</v>
      </c>
      <c r="E20" s="42">
        <f t="shared" si="0"/>
        <v>-5.4900000000000091</v>
      </c>
    </row>
    <row r="21" spans="1:5">
      <c r="A21" s="71">
        <f t="shared" si="1"/>
        <v>2021</v>
      </c>
      <c r="B21" s="57">
        <f>ROUND('Tables 3 to 6'!$R24,2)</f>
        <v>74.86</v>
      </c>
      <c r="C21" s="42"/>
      <c r="D21" s="42">
        <v>82.87</v>
      </c>
      <c r="E21" s="42">
        <f t="shared" si="0"/>
        <v>-8.0100000000000051</v>
      </c>
    </row>
    <row r="22" spans="1:5">
      <c r="A22" s="71">
        <f t="shared" si="1"/>
        <v>2022</v>
      </c>
      <c r="B22" s="57">
        <f>ROUND('Tables 3 to 6'!$R25,2)</f>
        <v>76.81</v>
      </c>
      <c r="C22" s="42"/>
      <c r="D22" s="42">
        <v>87.2</v>
      </c>
      <c r="E22" s="42">
        <f t="shared" si="0"/>
        <v>-10.39</v>
      </c>
    </row>
    <row r="23" spans="1:5">
      <c r="A23" s="71">
        <f t="shared" si="1"/>
        <v>2023</v>
      </c>
      <c r="B23" s="57">
        <f>ROUND('Tables 3 to 6'!$R26,2)</f>
        <v>80.540000000000006</v>
      </c>
      <c r="C23" s="42"/>
      <c r="D23" s="42">
        <v>84.38</v>
      </c>
      <c r="E23" s="42">
        <f t="shared" si="0"/>
        <v>-3.8399999999999892</v>
      </c>
    </row>
    <row r="24" spans="1:5">
      <c r="A24" s="71">
        <f t="shared" si="1"/>
        <v>2024</v>
      </c>
      <c r="B24" s="57">
        <f>ROUND('Tables 3 to 6'!$R27,2)</f>
        <v>84.61</v>
      </c>
      <c r="C24" s="42"/>
      <c r="D24" s="42">
        <v>83.36</v>
      </c>
      <c r="E24" s="42">
        <f t="shared" si="0"/>
        <v>1.25</v>
      </c>
    </row>
    <row r="25" spans="1:5">
      <c r="A25" s="71">
        <f t="shared" si="1"/>
        <v>2025</v>
      </c>
      <c r="B25" s="57">
        <f>ROUND('Tables 3 to 6'!$R28,2)</f>
        <v>83.43</v>
      </c>
      <c r="C25" s="42"/>
      <c r="D25" s="42">
        <v>86.93</v>
      </c>
      <c r="E25" s="42">
        <f t="shared" si="0"/>
        <v>-3.5</v>
      </c>
    </row>
    <row r="26" spans="1:5">
      <c r="A26" s="71">
        <f t="shared" si="1"/>
        <v>2026</v>
      </c>
      <c r="B26" s="57">
        <f>ROUND('Tables 3 to 6'!$R29,2)</f>
        <v>78.25</v>
      </c>
      <c r="C26" s="42"/>
      <c r="D26" s="42">
        <v>89.22</v>
      </c>
      <c r="E26" s="42">
        <f t="shared" si="0"/>
        <v>-10.969999999999999</v>
      </c>
    </row>
    <row r="27" spans="1:5">
      <c r="A27" s="71">
        <f t="shared" si="1"/>
        <v>2027</v>
      </c>
      <c r="B27" s="57">
        <f>ROUND('Tables 3 to 6'!$R30,2)</f>
        <v>74.900000000000006</v>
      </c>
      <c r="C27" s="42"/>
      <c r="D27" s="42">
        <v>88.65</v>
      </c>
      <c r="E27" s="42">
        <f t="shared" si="0"/>
        <v>-13.75</v>
      </c>
    </row>
    <row r="28" spans="1:5">
      <c r="A28" s="71">
        <f t="shared" si="1"/>
        <v>2028</v>
      </c>
      <c r="B28" s="57">
        <f>ROUND('Tables 3 to 6'!$R31,2)</f>
        <v>82.03</v>
      </c>
      <c r="C28" s="42"/>
      <c r="D28" s="42">
        <v>91.02</v>
      </c>
      <c r="E28" s="42">
        <f t="shared" si="0"/>
        <v>-8.9899999999999949</v>
      </c>
    </row>
    <row r="29" spans="1:5">
      <c r="A29" s="71">
        <f t="shared" si="1"/>
        <v>2029</v>
      </c>
      <c r="B29" s="57">
        <f>ROUND('Tables 3 to 6'!$R32,2)</f>
        <v>84.36</v>
      </c>
      <c r="C29" s="42"/>
      <c r="D29" s="42">
        <v>93.85</v>
      </c>
      <c r="E29" s="42">
        <f t="shared" si="0"/>
        <v>-9.4899999999999949</v>
      </c>
    </row>
    <row r="30" spans="1:5">
      <c r="A30" s="71">
        <f t="shared" si="1"/>
        <v>2030</v>
      </c>
      <c r="B30" s="57">
        <f>ROUND('Tables 3 to 6'!$R33,2)</f>
        <v>85.84</v>
      </c>
      <c r="C30" s="42"/>
      <c r="D30" s="42">
        <v>96.02</v>
      </c>
      <c r="E30" s="42">
        <f t="shared" si="0"/>
        <v>-10.179999999999993</v>
      </c>
    </row>
    <row r="31" spans="1:5">
      <c r="A31" s="71">
        <f t="shared" si="1"/>
        <v>2031</v>
      </c>
      <c r="B31" s="57">
        <f>ROUND('Tables 3 to 6'!$R34,2)</f>
        <v>87.47</v>
      </c>
      <c r="C31" s="42"/>
      <c r="D31" s="42">
        <v>97.71</v>
      </c>
      <c r="E31" s="42">
        <f t="shared" si="0"/>
        <v>-10.239999999999995</v>
      </c>
    </row>
    <row r="32" spans="1:5">
      <c r="A32" s="71">
        <f t="shared" si="1"/>
        <v>2032</v>
      </c>
      <c r="B32" s="57">
        <f>ROUND('Tables 3 to 6'!$R35,2)</f>
        <v>89.17</v>
      </c>
      <c r="C32" s="42"/>
      <c r="D32" s="42">
        <v>99.48</v>
      </c>
      <c r="E32" s="42">
        <f t="shared" si="0"/>
        <v>-10.310000000000002</v>
      </c>
    </row>
    <row r="33" spans="1:13" s="176" customFormat="1">
      <c r="A33" s="71">
        <f t="shared" si="1"/>
        <v>2033</v>
      </c>
      <c r="B33" s="57">
        <f>ROUND('Tables 3 to 6'!$R36,2)</f>
        <v>90.82</v>
      </c>
      <c r="C33" s="42"/>
      <c r="D33" s="42">
        <v>101.26</v>
      </c>
      <c r="E33" s="42">
        <f t="shared" si="0"/>
        <v>-10.440000000000012</v>
      </c>
    </row>
    <row r="34" spans="1:13" s="176" customFormat="1">
      <c r="A34" s="221">
        <f t="shared" si="1"/>
        <v>2034</v>
      </c>
      <c r="B34" s="57">
        <f>ROUND('Tables 3 to 6'!$R37,2)</f>
        <v>92.55</v>
      </c>
      <c r="C34" s="220"/>
      <c r="D34" s="42">
        <v>103.04</v>
      </c>
      <c r="E34" s="42">
        <f t="shared" si="0"/>
        <v>-10.490000000000009</v>
      </c>
    </row>
    <row r="35" spans="1:13" s="176" customFormat="1">
      <c r="A35" s="221">
        <f t="shared" si="1"/>
        <v>2035</v>
      </c>
      <c r="B35" s="57">
        <f>ROUND('Tables 3 to 6'!$R38,2)</f>
        <v>94.25</v>
      </c>
      <c r="C35" s="220"/>
      <c r="E35" s="220"/>
    </row>
    <row r="37" spans="1:13" s="176" customFormat="1">
      <c r="A37" s="222" t="str">
        <f>"20 Year ("&amp;A11&amp;" to "&amp;A30&amp;") Levelized Prices (Nominal) @ "&amp;TEXT($G$38,"?.00%")&amp;" Discount Rate (2)"</f>
        <v>20 Year (2011 to 2030) Levelized Prices (Nominal) @ 7.15% Discount Rate (2)</v>
      </c>
      <c r="F37" s="223"/>
      <c r="G37" s="176" t="s">
        <v>137</v>
      </c>
    </row>
    <row r="38" spans="1:13" s="176" customFormat="1">
      <c r="A38" s="224" t="s">
        <v>46</v>
      </c>
      <c r="B38" s="225">
        <f>-PMT($G$38,COUNT(B11:B30),NPV($G$38,B11:B30))</f>
        <v>64.012882898115834</v>
      </c>
      <c r="C38" s="225"/>
      <c r="D38" s="225">
        <f>-PMT($G$38,COUNT(D11:D30),NPV($G$38,D11:D30))</f>
        <v>72.470288099838143</v>
      </c>
      <c r="E38" s="42">
        <f>B38-D38</f>
        <v>-8.4574052017223096</v>
      </c>
      <c r="F38" s="225"/>
      <c r="G38" s="287">
        <v>7.1499999999999994E-2</v>
      </c>
    </row>
    <row r="39" spans="1:13" s="176" customFormat="1">
      <c r="B39" s="226"/>
      <c r="C39" s="226"/>
      <c r="D39" s="226"/>
      <c r="E39" s="226"/>
      <c r="F39" s="226"/>
      <c r="G39" s="226"/>
    </row>
    <row r="40" spans="1:13" s="176" customFormat="1">
      <c r="A40" s="176" t="s">
        <v>22</v>
      </c>
    </row>
    <row r="41" spans="1:13" s="176" customFormat="1">
      <c r="A41" s="224" t="str">
        <f>B8</f>
        <v>(a)</v>
      </c>
      <c r="B41" s="176" t="str">
        <f>"  "&amp;'Tables 3 to 6'!$N$1&amp;"  Column "&amp;'Tables 3 to 6'!$R$8</f>
        <v xml:space="preserve">  Table 5  Column (d)</v>
      </c>
    </row>
    <row r="42" spans="1:13" s="176" customFormat="1">
      <c r="A42" s="224" t="str">
        <f>D8</f>
        <v>(b)</v>
      </c>
      <c r="B42" s="176" t="s">
        <v>163</v>
      </c>
    </row>
    <row r="43" spans="1:13" s="176" customFormat="1">
      <c r="A43" s="227"/>
      <c r="B43" s="228"/>
      <c r="D43" s="226"/>
      <c r="E43" s="226"/>
      <c r="F43" s="226"/>
      <c r="G43" s="226"/>
      <c r="H43" s="226"/>
      <c r="I43" s="226"/>
      <c r="J43" s="229"/>
      <c r="K43" s="229"/>
      <c r="L43" s="229"/>
      <c r="M43" s="229"/>
    </row>
    <row r="44" spans="1:13" s="176" customFormat="1">
      <c r="A44" s="224" t="s">
        <v>132</v>
      </c>
      <c r="B44" s="176" t="s">
        <v>136</v>
      </c>
    </row>
    <row r="45" spans="1:13" s="176" customFormat="1">
      <c r="B45" s="176" t="s">
        <v>134</v>
      </c>
    </row>
    <row r="46" spans="1:13">
      <c r="A46" s="176"/>
      <c r="B46" s="176" t="s">
        <v>169</v>
      </c>
      <c r="C46" s="176"/>
      <c r="D46" s="176"/>
      <c r="E46" s="176"/>
    </row>
    <row r="55" ht="24.75" customHeight="1"/>
  </sheetData>
  <phoneticPr fontId="6" type="noConversion"/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O147"/>
  <sheetViews>
    <sheetView zoomScaleNormal="100" zoomScaleSheetLayoutView="100" workbookViewId="0">
      <pane xSplit="2" ySplit="7" topLeftCell="C122" activePane="bottomRight" state="frozen"/>
      <selection activeCell="B8" sqref="B8"/>
      <selection pane="topRight" activeCell="B8" sqref="B8"/>
      <selection pane="bottomLeft" activeCell="B8" sqref="B8"/>
      <selection pane="bottomRight" activeCell="D37" sqref="D37"/>
    </sheetView>
  </sheetViews>
  <sheetFormatPr defaultRowHeight="12.75"/>
  <cols>
    <col min="1" max="1" width="1.33203125" style="108" customWidth="1"/>
    <col min="2" max="2" width="6.5" style="108" customWidth="1"/>
    <col min="3" max="3" width="9.83203125" style="108" customWidth="1"/>
    <col min="4" max="4" width="12.1640625" style="108" customWidth="1"/>
    <col min="5" max="5" width="9.1640625" style="108" customWidth="1"/>
    <col min="6" max="6" width="9.83203125" style="108" bestFit="1" customWidth="1"/>
    <col min="7" max="8" width="10.1640625" style="108" customWidth="1"/>
    <col min="9" max="9" width="9" style="108" customWidth="1"/>
    <col min="10" max="10" width="10.33203125" style="108" customWidth="1"/>
    <col min="11" max="11" width="10.5" style="108" customWidth="1"/>
    <col min="12" max="13" width="9.33203125" style="108"/>
    <col min="14" max="15" width="0" style="108" hidden="1" customWidth="1"/>
    <col min="16" max="16384" width="9.33203125" style="108"/>
  </cols>
  <sheetData>
    <row r="1" spans="1:12" s="177" customFormat="1" ht="15.75">
      <c r="A1" s="179"/>
      <c r="B1" s="109" t="s">
        <v>110</v>
      </c>
      <c r="C1" s="178"/>
      <c r="D1" s="178"/>
      <c r="E1" s="178"/>
      <c r="F1" s="178"/>
      <c r="G1" s="178"/>
      <c r="H1" s="178"/>
      <c r="I1" s="178"/>
      <c r="J1" s="178"/>
      <c r="K1" s="109"/>
    </row>
    <row r="2" spans="1:12" s="177" customFormat="1" ht="15.75">
      <c r="B2" s="109" t="s">
        <v>111</v>
      </c>
      <c r="C2" s="178"/>
      <c r="D2" s="178"/>
      <c r="E2" s="178"/>
      <c r="F2" s="178"/>
      <c r="G2" s="178"/>
      <c r="H2" s="178"/>
      <c r="I2" s="178"/>
      <c r="J2" s="178"/>
      <c r="K2" s="178"/>
    </row>
    <row r="3" spans="1:12" s="177" customFormat="1" ht="15.75">
      <c r="B3" s="109"/>
      <c r="C3" s="178"/>
      <c r="D3" s="178"/>
      <c r="E3" s="178"/>
      <c r="F3" s="178"/>
      <c r="G3" s="178"/>
      <c r="H3" s="178"/>
      <c r="I3" s="178"/>
      <c r="J3" s="178"/>
      <c r="K3" s="181" t="s">
        <v>112</v>
      </c>
    </row>
    <row r="4" spans="1:12" s="177" customFormat="1" ht="5.25" customHeight="1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3"/>
    </row>
    <row r="5" spans="1:12" ht="51.75" customHeight="1">
      <c r="A5" s="184"/>
      <c r="B5" s="112" t="s">
        <v>3</v>
      </c>
      <c r="C5" s="113" t="s">
        <v>48</v>
      </c>
      <c r="D5" s="113" t="s">
        <v>49</v>
      </c>
      <c r="E5" s="113" t="s">
        <v>50</v>
      </c>
      <c r="F5" s="113" t="s">
        <v>51</v>
      </c>
      <c r="G5" s="113" t="s">
        <v>52</v>
      </c>
      <c r="H5" s="113" t="s">
        <v>53</v>
      </c>
      <c r="I5" s="110"/>
      <c r="J5" s="110"/>
      <c r="K5" s="110"/>
      <c r="L5" s="111"/>
    </row>
    <row r="6" spans="1:12" s="179" customFormat="1" ht="18.75" customHeight="1">
      <c r="A6" s="108"/>
      <c r="B6" s="114"/>
      <c r="C6" s="115" t="s">
        <v>44</v>
      </c>
      <c r="D6" s="116" t="s">
        <v>45</v>
      </c>
      <c r="E6" s="116" t="s">
        <v>45</v>
      </c>
      <c r="F6" s="116" t="s">
        <v>46</v>
      </c>
      <c r="G6" s="116" t="s">
        <v>45</v>
      </c>
      <c r="H6" s="116" t="s">
        <v>45</v>
      </c>
      <c r="I6" s="185"/>
      <c r="J6" s="185"/>
      <c r="K6" s="185"/>
      <c r="L6" s="186"/>
    </row>
    <row r="7" spans="1:12" s="177" customFormat="1">
      <c r="A7" s="179"/>
      <c r="B7" s="179"/>
      <c r="C7" s="117" t="s">
        <v>23</v>
      </c>
      <c r="D7" s="117" t="s">
        <v>24</v>
      </c>
      <c r="E7" s="117" t="s">
        <v>25</v>
      </c>
      <c r="F7" s="117" t="s">
        <v>26</v>
      </c>
      <c r="G7" s="117" t="s">
        <v>27</v>
      </c>
      <c r="H7" s="117" t="s">
        <v>34</v>
      </c>
      <c r="I7" s="182"/>
      <c r="J7" s="182"/>
      <c r="K7" s="182"/>
    </row>
    <row r="8" spans="1:12" s="177" customFormat="1" ht="6" customHeight="1">
      <c r="I8" s="182"/>
      <c r="J8" s="182"/>
      <c r="K8" s="182"/>
    </row>
    <row r="9" spans="1:12" s="179" customFormat="1" ht="15.75">
      <c r="A9" s="177"/>
      <c r="B9" s="118" t="str">
        <f>C42</f>
        <v>SCCT Frame (2 Frame "F" - Utah) - East Side Resource (4500')</v>
      </c>
      <c r="C9" s="186"/>
      <c r="E9" s="186"/>
      <c r="F9" s="186"/>
      <c r="G9" s="186"/>
      <c r="H9" s="186"/>
      <c r="I9" s="185"/>
      <c r="J9" s="185"/>
      <c r="K9" s="185"/>
      <c r="L9" s="186"/>
    </row>
    <row r="10" spans="1:12" s="179" customFormat="1">
      <c r="B10" s="187">
        <v>2010</v>
      </c>
      <c r="C10" s="188">
        <f>C44</f>
        <v>991</v>
      </c>
      <c r="D10" s="189">
        <f>ROUND(C10*C49,2)</f>
        <v>83.34</v>
      </c>
      <c r="E10" s="189">
        <f>C45</f>
        <v>5.91</v>
      </c>
      <c r="F10" s="189">
        <f>C46</f>
        <v>14.16</v>
      </c>
      <c r="G10" s="190">
        <f t="shared" ref="G10:G34" si="0">ROUND(F10*(8.76*$C$50)+E10,2)</f>
        <v>31.96</v>
      </c>
      <c r="H10" s="190">
        <f t="shared" ref="H10:H34" si="1">ROUND(D10+G10,2)</f>
        <v>115.3</v>
      </c>
      <c r="I10" s="185"/>
      <c r="J10" s="185"/>
      <c r="K10" s="185"/>
    </row>
    <row r="11" spans="1:12" s="179" customFormat="1">
      <c r="B11" s="187">
        <f t="shared" ref="B11:B34" si="2">B10+1</f>
        <v>2011</v>
      </c>
      <c r="C11" s="191"/>
      <c r="D11" s="189">
        <f>ROUND(D10*(1+$D$132),2)</f>
        <v>85.01</v>
      </c>
      <c r="E11" s="189">
        <f>ROUND(E10*(1+$D$132),2)</f>
        <v>6.03</v>
      </c>
      <c r="F11" s="189">
        <f>ROUND(F10*(1+$D$132),2)</f>
        <v>14.44</v>
      </c>
      <c r="G11" s="190">
        <f t="shared" ref="G11:G24" si="3">ROUND(F11*(8.76*$C$50)+E11,2)</f>
        <v>32.590000000000003</v>
      </c>
      <c r="H11" s="190">
        <f t="shared" si="1"/>
        <v>117.6</v>
      </c>
      <c r="I11" s="185"/>
      <c r="J11" s="185"/>
      <c r="K11" s="185"/>
    </row>
    <row r="12" spans="1:12" s="179" customFormat="1">
      <c r="B12" s="187">
        <f t="shared" si="2"/>
        <v>2012</v>
      </c>
      <c r="C12" s="191"/>
      <c r="D12" s="190">
        <f>ROUND(D11*(1+$D$133),2)</f>
        <v>86.37</v>
      </c>
      <c r="E12" s="190">
        <f>ROUND(E11*(1+$D$133),2)</f>
        <v>6.13</v>
      </c>
      <c r="F12" s="190">
        <f>ROUND(F11*(1+$D$133),2)</f>
        <v>14.67</v>
      </c>
      <c r="G12" s="190">
        <f t="shared" si="3"/>
        <v>33.119999999999997</v>
      </c>
      <c r="H12" s="190">
        <f t="shared" si="1"/>
        <v>119.49</v>
      </c>
      <c r="I12" s="192"/>
      <c r="J12" s="192"/>
      <c r="K12" s="193"/>
    </row>
    <row r="13" spans="1:12" s="179" customFormat="1">
      <c r="B13" s="187">
        <f t="shared" si="2"/>
        <v>2013</v>
      </c>
      <c r="C13" s="191"/>
      <c r="D13" s="190">
        <f>ROUND(D12*(1+$D$134),2)</f>
        <v>87.92</v>
      </c>
      <c r="E13" s="190">
        <f>ROUND(E12*(1+$D$134),2)</f>
        <v>6.24</v>
      </c>
      <c r="F13" s="190">
        <f>ROUND(F12*(1+$D$134),2)</f>
        <v>14.93</v>
      </c>
      <c r="G13" s="190">
        <f t="shared" si="3"/>
        <v>33.71</v>
      </c>
      <c r="H13" s="190">
        <f t="shared" si="1"/>
        <v>121.63</v>
      </c>
      <c r="I13" s="192"/>
      <c r="J13" s="192"/>
      <c r="K13" s="193"/>
    </row>
    <row r="14" spans="1:12" s="179" customFormat="1">
      <c r="B14" s="187">
        <f t="shared" si="2"/>
        <v>2014</v>
      </c>
      <c r="C14" s="191"/>
      <c r="D14" s="190">
        <f>ROUND(D13*(1+$D$135),2)</f>
        <v>89.77</v>
      </c>
      <c r="E14" s="190">
        <f>ROUND(E13*(1+$D$135),2)</f>
        <v>6.37</v>
      </c>
      <c r="F14" s="190">
        <f>ROUND(F13*(1+$D$135),2)</f>
        <v>15.24</v>
      </c>
      <c r="G14" s="190">
        <f t="shared" si="3"/>
        <v>34.409999999999997</v>
      </c>
      <c r="H14" s="190">
        <f t="shared" si="1"/>
        <v>124.18</v>
      </c>
      <c r="I14" s="192"/>
      <c r="J14" s="192"/>
      <c r="K14" s="193"/>
    </row>
    <row r="15" spans="1:12" s="179" customFormat="1">
      <c r="B15" s="187">
        <f t="shared" si="2"/>
        <v>2015</v>
      </c>
      <c r="C15" s="191"/>
      <c r="D15" s="190">
        <f>ROUND(D14*(1+$D$136),2)</f>
        <v>91.57</v>
      </c>
      <c r="E15" s="190">
        <f>ROUND(E14*(1+$D$136),2)</f>
        <v>6.5</v>
      </c>
      <c r="F15" s="190">
        <f>ROUND(F14*(1+$D$136),2)</f>
        <v>15.54</v>
      </c>
      <c r="G15" s="190">
        <f t="shared" si="3"/>
        <v>35.090000000000003</v>
      </c>
      <c r="H15" s="190">
        <f t="shared" si="1"/>
        <v>126.66</v>
      </c>
      <c r="I15" s="192"/>
      <c r="J15" s="192"/>
      <c r="K15" s="193"/>
    </row>
    <row r="16" spans="1:12" s="179" customFormat="1">
      <c r="B16" s="187">
        <f t="shared" si="2"/>
        <v>2016</v>
      </c>
      <c r="C16" s="191"/>
      <c r="D16" s="190">
        <f>ROUND(D15*(1+$D$137),2)</f>
        <v>93.4</v>
      </c>
      <c r="E16" s="190">
        <f>ROUND(E15*(1+$D$137),2)</f>
        <v>6.63</v>
      </c>
      <c r="F16" s="190">
        <f>ROUND(F15*(1+$D$137),2)</f>
        <v>15.85</v>
      </c>
      <c r="G16" s="190">
        <f t="shared" si="3"/>
        <v>35.79</v>
      </c>
      <c r="H16" s="190">
        <f t="shared" si="1"/>
        <v>129.19</v>
      </c>
      <c r="I16" s="192"/>
      <c r="J16" s="192"/>
      <c r="K16" s="193"/>
    </row>
    <row r="17" spans="2:11" s="179" customFormat="1">
      <c r="B17" s="187">
        <f t="shared" si="2"/>
        <v>2017</v>
      </c>
      <c r="C17" s="191"/>
      <c r="D17" s="197">
        <f>ROUND(D16*(1+$D$138),2)</f>
        <v>95.27</v>
      </c>
      <c r="E17" s="197">
        <f>ROUND(E16*(1+$D$138),2)</f>
        <v>6.76</v>
      </c>
      <c r="F17" s="197">
        <f>ROUND(F16*(1+$D$138),2)</f>
        <v>16.170000000000002</v>
      </c>
      <c r="G17" s="190">
        <f t="shared" si="3"/>
        <v>36.51</v>
      </c>
      <c r="H17" s="190">
        <f t="shared" si="1"/>
        <v>131.78</v>
      </c>
      <c r="I17" s="192"/>
      <c r="J17" s="192"/>
      <c r="K17" s="193"/>
    </row>
    <row r="18" spans="2:11" s="179" customFormat="1">
      <c r="B18" s="187">
        <f t="shared" si="2"/>
        <v>2018</v>
      </c>
      <c r="C18" s="191"/>
      <c r="D18" s="197">
        <f>ROUND(D17*(1+$D$139),2)</f>
        <v>97.08</v>
      </c>
      <c r="E18" s="197">
        <f>ROUND(E17*(1+$D$139),2)</f>
        <v>6.89</v>
      </c>
      <c r="F18" s="197">
        <f>ROUND(F17*(1+$D$139),2)</f>
        <v>16.48</v>
      </c>
      <c r="G18" s="190">
        <f t="shared" si="3"/>
        <v>37.21</v>
      </c>
      <c r="H18" s="190">
        <f t="shared" si="1"/>
        <v>134.29</v>
      </c>
      <c r="I18" s="192"/>
      <c r="J18" s="192"/>
      <c r="K18" s="193"/>
    </row>
    <row r="19" spans="2:11" s="179" customFormat="1">
      <c r="B19" s="187">
        <f t="shared" si="2"/>
        <v>2019</v>
      </c>
      <c r="C19" s="191"/>
      <c r="D19" s="197">
        <f>ROUND(D18*(1+$G$131),2)</f>
        <v>98.83</v>
      </c>
      <c r="E19" s="197">
        <f>ROUND(E18*(1+$G$131),2)</f>
        <v>7.01</v>
      </c>
      <c r="F19" s="197">
        <f>ROUND(F18*(1+$G$131),2)</f>
        <v>16.78</v>
      </c>
      <c r="G19" s="190">
        <f t="shared" si="3"/>
        <v>37.880000000000003</v>
      </c>
      <c r="H19" s="190">
        <f t="shared" si="1"/>
        <v>136.71</v>
      </c>
      <c r="I19" s="192"/>
      <c r="J19" s="192"/>
      <c r="K19" s="193"/>
    </row>
    <row r="20" spans="2:11" s="179" customFormat="1">
      <c r="B20" s="187">
        <f t="shared" si="2"/>
        <v>2020</v>
      </c>
      <c r="C20" s="191"/>
      <c r="D20" s="197">
        <f>ROUND(D19*(1+$G$132),2)</f>
        <v>100.61</v>
      </c>
      <c r="E20" s="197">
        <f>ROUND(E19*(1+$G$132),2)</f>
        <v>7.14</v>
      </c>
      <c r="F20" s="197">
        <f>ROUND(F19*(1+$G$132),2)</f>
        <v>17.079999999999998</v>
      </c>
      <c r="G20" s="190">
        <f t="shared" si="3"/>
        <v>38.56</v>
      </c>
      <c r="H20" s="190">
        <f t="shared" si="1"/>
        <v>139.16999999999999</v>
      </c>
      <c r="I20" s="192"/>
      <c r="J20" s="192"/>
      <c r="K20" s="193"/>
    </row>
    <row r="21" spans="2:11" s="179" customFormat="1">
      <c r="B21" s="187">
        <f t="shared" si="2"/>
        <v>2021</v>
      </c>
      <c r="C21" s="191"/>
      <c r="D21" s="197">
        <f>ROUND(D20*(1+$G$133),2)</f>
        <v>102.42</v>
      </c>
      <c r="E21" s="197">
        <f>ROUND(E20*(1+$G$133),2)</f>
        <v>7.27</v>
      </c>
      <c r="F21" s="197">
        <f>ROUND(F20*(1+$G$133),2)</f>
        <v>17.39</v>
      </c>
      <c r="G21" s="190">
        <f t="shared" si="3"/>
        <v>39.26</v>
      </c>
      <c r="H21" s="190">
        <f t="shared" si="1"/>
        <v>141.68</v>
      </c>
      <c r="I21" s="192"/>
      <c r="J21" s="192"/>
      <c r="K21" s="193"/>
    </row>
    <row r="22" spans="2:11" s="179" customFormat="1">
      <c r="B22" s="187">
        <f t="shared" si="2"/>
        <v>2022</v>
      </c>
      <c r="C22" s="191"/>
      <c r="D22" s="197">
        <f>ROUND(D21*(1+$G$134),2)</f>
        <v>104.26</v>
      </c>
      <c r="E22" s="197">
        <f>ROUND(E21*(1+$G$134),2)</f>
        <v>7.4</v>
      </c>
      <c r="F22" s="197">
        <f>ROUND(F21*(1+$G$134),2)</f>
        <v>17.7</v>
      </c>
      <c r="G22" s="190">
        <f t="shared" si="3"/>
        <v>39.96</v>
      </c>
      <c r="H22" s="190">
        <f t="shared" si="1"/>
        <v>144.22</v>
      </c>
      <c r="I22" s="192"/>
      <c r="J22" s="192"/>
      <c r="K22" s="193"/>
    </row>
    <row r="23" spans="2:11" s="179" customFormat="1">
      <c r="B23" s="187">
        <f t="shared" si="2"/>
        <v>2023</v>
      </c>
      <c r="C23" s="191"/>
      <c r="D23" s="197">
        <f>ROUND(D22*(1+$G$135),2)</f>
        <v>106.14</v>
      </c>
      <c r="E23" s="197">
        <f>ROUND(E22*(1+$G$135),2)</f>
        <v>7.53</v>
      </c>
      <c r="F23" s="197">
        <f>ROUND(F22*(1+$G$135),2)</f>
        <v>18.02</v>
      </c>
      <c r="G23" s="190">
        <f t="shared" si="3"/>
        <v>40.68</v>
      </c>
      <c r="H23" s="190">
        <f t="shared" si="1"/>
        <v>146.82</v>
      </c>
      <c r="I23" s="192"/>
      <c r="J23" s="192"/>
      <c r="K23" s="193"/>
    </row>
    <row r="24" spans="2:11" s="179" customFormat="1">
      <c r="B24" s="187">
        <f t="shared" si="2"/>
        <v>2024</v>
      </c>
      <c r="C24" s="191"/>
      <c r="D24" s="197">
        <f>ROUND(D23*(1+$G$136),2)</f>
        <v>108.05</v>
      </c>
      <c r="E24" s="197">
        <f>ROUND(E23*(1+$G$136),2)</f>
        <v>7.67</v>
      </c>
      <c r="F24" s="197">
        <f>ROUND(F23*(1+$G$136),2)</f>
        <v>18.34</v>
      </c>
      <c r="G24" s="190">
        <f t="shared" si="3"/>
        <v>41.41</v>
      </c>
      <c r="H24" s="190">
        <f t="shared" si="1"/>
        <v>149.46</v>
      </c>
      <c r="I24" s="192"/>
      <c r="J24" s="192"/>
      <c r="K24" s="193"/>
    </row>
    <row r="25" spans="2:11" s="179" customFormat="1">
      <c r="B25" s="187">
        <f t="shared" si="2"/>
        <v>2025</v>
      </c>
      <c r="C25" s="191"/>
      <c r="D25" s="197">
        <f>ROUND(D24*(1+$G$137),2)</f>
        <v>110.1</v>
      </c>
      <c r="E25" s="197">
        <f>ROUND(E24*(1+$G$137),2)</f>
        <v>7.82</v>
      </c>
      <c r="F25" s="197">
        <f>ROUND(F24*(1+$G$137),2)</f>
        <v>18.690000000000001</v>
      </c>
      <c r="G25" s="190">
        <f t="shared" si="0"/>
        <v>42.2</v>
      </c>
      <c r="H25" s="190">
        <f t="shared" si="1"/>
        <v>152.30000000000001</v>
      </c>
      <c r="I25" s="192"/>
      <c r="J25" s="192"/>
      <c r="K25" s="193"/>
    </row>
    <row r="26" spans="2:11" s="179" customFormat="1">
      <c r="B26" s="187">
        <f t="shared" si="2"/>
        <v>2026</v>
      </c>
      <c r="C26" s="191"/>
      <c r="D26" s="197">
        <f>ROUND(D25*(1+$G$138),2)</f>
        <v>112.19</v>
      </c>
      <c r="E26" s="197">
        <f>ROUND(E25*(1+$G$138),2)</f>
        <v>7.97</v>
      </c>
      <c r="F26" s="197">
        <f>ROUND(F25*(1+$G$138),2)</f>
        <v>19.05</v>
      </c>
      <c r="G26" s="190">
        <f t="shared" si="0"/>
        <v>43.01</v>
      </c>
      <c r="H26" s="190">
        <f t="shared" si="1"/>
        <v>155.19999999999999</v>
      </c>
      <c r="I26" s="192"/>
      <c r="J26" s="192"/>
      <c r="K26" s="193"/>
    </row>
    <row r="27" spans="2:11" s="179" customFormat="1">
      <c r="B27" s="187">
        <f t="shared" si="2"/>
        <v>2027</v>
      </c>
      <c r="C27" s="191"/>
      <c r="D27" s="197">
        <f>ROUND(D26*(1+$G$139),2)</f>
        <v>114.32</v>
      </c>
      <c r="E27" s="197">
        <f>ROUND(E26*(1+$G$139),2)</f>
        <v>8.1199999999999992</v>
      </c>
      <c r="F27" s="197">
        <f>ROUND(F26*(1+$G$139),2)</f>
        <v>19.41</v>
      </c>
      <c r="G27" s="190">
        <f t="shared" si="0"/>
        <v>43.83</v>
      </c>
      <c r="H27" s="190">
        <f t="shared" si="1"/>
        <v>158.15</v>
      </c>
      <c r="I27" s="192"/>
      <c r="J27" s="192"/>
      <c r="K27" s="193"/>
    </row>
    <row r="28" spans="2:11" s="179" customFormat="1">
      <c r="B28" s="187">
        <f t="shared" si="2"/>
        <v>2028</v>
      </c>
      <c r="C28" s="191"/>
      <c r="D28" s="197">
        <f>ROUND(D27*(1+$J$131),2)</f>
        <v>116.61</v>
      </c>
      <c r="E28" s="197">
        <f>ROUND(E27*(1+$J$131),2)</f>
        <v>8.2799999999999994</v>
      </c>
      <c r="F28" s="197">
        <f>ROUND(F27*(1+$J$131),2)</f>
        <v>19.8</v>
      </c>
      <c r="G28" s="190">
        <f t="shared" si="0"/>
        <v>44.7</v>
      </c>
      <c r="H28" s="190">
        <f t="shared" si="1"/>
        <v>161.31</v>
      </c>
      <c r="I28" s="192"/>
      <c r="J28" s="192"/>
      <c r="K28" s="193"/>
    </row>
    <row r="29" spans="2:11" s="179" customFormat="1">
      <c r="B29" s="187">
        <f t="shared" si="2"/>
        <v>2029</v>
      </c>
      <c r="C29" s="191"/>
      <c r="D29" s="197">
        <f>ROUND(D28*(1+$J$132),2)</f>
        <v>118.94</v>
      </c>
      <c r="E29" s="197">
        <f>ROUND(E28*(1+$J$132),2)</f>
        <v>8.4499999999999993</v>
      </c>
      <c r="F29" s="197">
        <f>ROUND(F28*(1+$J$132),2)</f>
        <v>20.2</v>
      </c>
      <c r="G29" s="190">
        <f t="shared" si="0"/>
        <v>45.61</v>
      </c>
      <c r="H29" s="190">
        <f t="shared" si="1"/>
        <v>164.55</v>
      </c>
      <c r="I29" s="192"/>
      <c r="J29" s="192"/>
      <c r="K29" s="193"/>
    </row>
    <row r="30" spans="2:11" s="179" customFormat="1">
      <c r="B30" s="187">
        <f t="shared" si="2"/>
        <v>2030</v>
      </c>
      <c r="C30" s="191"/>
      <c r="D30" s="197">
        <f>ROUND(D29*(1+$J$133),2)</f>
        <v>121.2</v>
      </c>
      <c r="E30" s="197">
        <f>ROUND(E29*(1+$J$133),2)</f>
        <v>8.61</v>
      </c>
      <c r="F30" s="197">
        <f>ROUND(F29*(1+$J$133),2)</f>
        <v>20.58</v>
      </c>
      <c r="G30" s="190">
        <f t="shared" si="0"/>
        <v>46.47</v>
      </c>
      <c r="H30" s="190">
        <f t="shared" si="1"/>
        <v>167.67</v>
      </c>
      <c r="I30" s="192"/>
      <c r="J30" s="192"/>
      <c r="K30" s="193"/>
    </row>
    <row r="31" spans="2:11" s="179" customFormat="1">
      <c r="B31" s="187">
        <f t="shared" si="2"/>
        <v>2031</v>
      </c>
      <c r="C31" s="191"/>
      <c r="D31" s="197">
        <f>ROUND(D30*(1+$J$134),2)</f>
        <v>123.5</v>
      </c>
      <c r="E31" s="197">
        <f>ROUND(E30*(1+$J$134),2)</f>
        <v>8.77</v>
      </c>
      <c r="F31" s="197">
        <f>ROUND(F30*(1+$J$134),2)</f>
        <v>20.97</v>
      </c>
      <c r="G31" s="190">
        <f t="shared" si="0"/>
        <v>47.35</v>
      </c>
      <c r="H31" s="190">
        <f t="shared" si="1"/>
        <v>170.85</v>
      </c>
      <c r="I31" s="192"/>
      <c r="J31" s="192"/>
      <c r="K31" s="193"/>
    </row>
    <row r="32" spans="2:11" s="179" customFormat="1">
      <c r="B32" s="187">
        <f t="shared" si="2"/>
        <v>2032</v>
      </c>
      <c r="C32" s="191"/>
      <c r="D32" s="197">
        <f>ROUND(D31*(1+$J$135),2)</f>
        <v>125.85</v>
      </c>
      <c r="E32" s="197">
        <f>ROUND(E31*(1+$J$135),2)</f>
        <v>8.94</v>
      </c>
      <c r="F32" s="197">
        <f>ROUND(F31*(1+$J$135),2)</f>
        <v>21.37</v>
      </c>
      <c r="G32" s="190">
        <f t="shared" si="0"/>
        <v>48.25</v>
      </c>
      <c r="H32" s="190">
        <f t="shared" si="1"/>
        <v>174.1</v>
      </c>
      <c r="I32" s="192"/>
      <c r="J32" s="192"/>
      <c r="K32" s="193"/>
    </row>
    <row r="33" spans="2:12" s="179" customFormat="1">
      <c r="B33" s="187">
        <f t="shared" si="2"/>
        <v>2033</v>
      </c>
      <c r="C33" s="191"/>
      <c r="D33" s="197">
        <f>ROUND(D32*(1+$J$136),2)</f>
        <v>128.24</v>
      </c>
      <c r="E33" s="197">
        <f>ROUND(E32*(1+$J$136),2)</f>
        <v>9.11</v>
      </c>
      <c r="F33" s="197">
        <f>ROUND(F32*(1+$J$136),2)</f>
        <v>21.78</v>
      </c>
      <c r="G33" s="190">
        <f t="shared" si="0"/>
        <v>49.18</v>
      </c>
      <c r="H33" s="190">
        <f t="shared" si="1"/>
        <v>177.42</v>
      </c>
      <c r="I33" s="192"/>
      <c r="J33" s="192"/>
      <c r="K33" s="193"/>
    </row>
    <row r="34" spans="2:12" s="179" customFormat="1">
      <c r="B34" s="187">
        <f t="shared" si="2"/>
        <v>2034</v>
      </c>
      <c r="C34" s="191"/>
      <c r="D34" s="197">
        <f>ROUND(D33*(1+$J$137),2)</f>
        <v>130.68</v>
      </c>
      <c r="E34" s="197">
        <f>ROUND(E33*(1+$J$137),2)</f>
        <v>9.2799999999999994</v>
      </c>
      <c r="F34" s="197">
        <f>ROUND(F33*(1+$J$137),2)</f>
        <v>22.19</v>
      </c>
      <c r="G34" s="190">
        <f t="shared" si="0"/>
        <v>50.1</v>
      </c>
      <c r="H34" s="190">
        <f t="shared" si="1"/>
        <v>180.78</v>
      </c>
      <c r="I34" s="192"/>
      <c r="J34" s="192"/>
      <c r="K34" s="193"/>
    </row>
    <row r="35" spans="2:12" s="179" customFormat="1">
      <c r="B35" s="187">
        <f>B34+1</f>
        <v>2035</v>
      </c>
      <c r="C35" s="191"/>
      <c r="D35" s="197">
        <f>ROUND(D34*(1+$J$138),2)</f>
        <v>133.03</v>
      </c>
      <c r="E35" s="197">
        <f>ROUND(E34*(1+$J$138),2)</f>
        <v>9.4499999999999993</v>
      </c>
      <c r="F35" s="197">
        <f>ROUND(F34*(1+$J$138),2)</f>
        <v>22.59</v>
      </c>
      <c r="G35" s="190">
        <f>ROUND(F35*(8.76*$C$50)+E35,2)</f>
        <v>51.01</v>
      </c>
      <c r="H35" s="190">
        <f>ROUND(D35+G35,2)</f>
        <v>184.04</v>
      </c>
      <c r="I35" s="192"/>
      <c r="J35" s="192"/>
      <c r="K35" s="193"/>
    </row>
    <row r="36" spans="2:12" s="179" customFormat="1" ht="6" customHeight="1">
      <c r="B36" s="194"/>
      <c r="C36" s="195"/>
      <c r="D36" s="196"/>
      <c r="E36" s="197"/>
      <c r="F36" s="197"/>
      <c r="G36" s="197"/>
      <c r="H36" s="197"/>
      <c r="I36" s="192"/>
      <c r="J36" s="192"/>
      <c r="K36" s="198"/>
    </row>
    <row r="37" spans="2:12" s="179" customFormat="1">
      <c r="B37" s="199" t="str">
        <f>B94</f>
        <v>Source: (a)(c)(d)</v>
      </c>
      <c r="C37" s="199"/>
      <c r="D37" s="199" t="str">
        <f>D94</f>
        <v>Plant Costs 2011 IRP Update - [Table 6.1 &amp; 6.3]</v>
      </c>
      <c r="E37" s="199"/>
      <c r="F37" s="199"/>
      <c r="G37" s="199"/>
      <c r="H37" s="199"/>
      <c r="I37" s="199"/>
      <c r="J37" s="199"/>
      <c r="K37" s="199"/>
      <c r="L37" s="199"/>
    </row>
    <row r="38" spans="2:12" s="179" customFormat="1">
      <c r="B38" s="199"/>
      <c r="C38" s="200" t="str">
        <f>D7</f>
        <v>(b)</v>
      </c>
      <c r="D38" s="201" t="str">
        <f>"= "&amp;C7&amp;" x "&amp;C49&amp;D49</f>
        <v>= (a) x 0.0841  Payment Factor</v>
      </c>
      <c r="E38" s="199"/>
      <c r="F38" s="199"/>
      <c r="G38" s="199"/>
      <c r="H38" s="199"/>
      <c r="I38" s="199"/>
      <c r="J38" s="199"/>
      <c r="K38" s="199"/>
      <c r="L38" s="199"/>
    </row>
    <row r="39" spans="2:12" s="179" customFormat="1">
      <c r="B39" s="199"/>
      <c r="C39" s="200" t="str">
        <f>G7</f>
        <v>(e)</v>
      </c>
      <c r="D39" s="201" t="str">
        <f>"= "&amp;$F$7&amp;" x  (8.76 x "&amp;TEXT(C50,"?%")&amp;" ) + "&amp;$E$7</f>
        <v>= (d) x  (8.76 x 21% ) + (c)</v>
      </c>
      <c r="E39" s="199"/>
      <c r="F39" s="199"/>
      <c r="G39" s="199"/>
      <c r="H39" s="199"/>
      <c r="I39" s="199"/>
      <c r="J39" s="199"/>
      <c r="K39" s="199"/>
      <c r="L39" s="199"/>
    </row>
    <row r="40" spans="2:12" s="179" customFormat="1">
      <c r="B40" s="199"/>
      <c r="C40" s="200" t="str">
        <f>H7</f>
        <v>(f)</v>
      </c>
      <c r="D40" s="201" t="str">
        <f>"= "&amp;D7&amp;" + "&amp;G7</f>
        <v>= (b) + (e)</v>
      </c>
      <c r="E40" s="199"/>
      <c r="F40" s="199"/>
      <c r="G40" s="199"/>
      <c r="H40" s="199"/>
      <c r="I40" s="199"/>
      <c r="J40" s="199"/>
      <c r="K40" s="199"/>
      <c r="L40" s="199"/>
    </row>
    <row r="41" spans="2:12" s="179" customFormat="1" ht="6" customHeight="1" thickBot="1">
      <c r="B41" s="199"/>
      <c r="C41" s="200"/>
      <c r="D41" s="201"/>
      <c r="E41" s="199"/>
      <c r="F41" s="199"/>
      <c r="G41" s="199"/>
      <c r="H41" s="199"/>
      <c r="I41" s="199"/>
      <c r="J41" s="199"/>
      <c r="K41" s="199"/>
      <c r="L41" s="199"/>
    </row>
    <row r="42" spans="2:12" ht="13.5" thickBot="1">
      <c r="B42" s="199"/>
      <c r="C42" s="121" t="s">
        <v>141</v>
      </c>
      <c r="D42" s="122"/>
      <c r="E42" s="123"/>
      <c r="F42" s="122"/>
      <c r="G42" s="122"/>
      <c r="H42" s="122"/>
      <c r="I42" s="122"/>
      <c r="J42" s="124"/>
      <c r="K42" s="125"/>
    </row>
    <row r="43" spans="2:12">
      <c r="B43" s="65"/>
      <c r="C43" s="65">
        <v>362</v>
      </c>
      <c r="D43" s="108" t="s">
        <v>113</v>
      </c>
      <c r="E43" s="65"/>
      <c r="J43" s="65"/>
      <c r="K43" s="65"/>
    </row>
    <row r="44" spans="2:12" s="177" customFormat="1">
      <c r="B44" s="65"/>
      <c r="C44" s="74">
        <v>991</v>
      </c>
      <c r="D44" s="108" t="s">
        <v>114</v>
      </c>
      <c r="E44" s="66"/>
      <c r="F44" s="69"/>
      <c r="G44" s="70"/>
      <c r="H44" s="202"/>
      <c r="I44" s="202"/>
      <c r="J44" s="202"/>
      <c r="K44" s="202"/>
    </row>
    <row r="45" spans="2:12" s="177" customFormat="1">
      <c r="B45" s="202"/>
      <c r="C45" s="203">
        <v>5.91</v>
      </c>
      <c r="D45" s="177" t="s">
        <v>115</v>
      </c>
      <c r="E45" s="204"/>
      <c r="F45" s="69"/>
      <c r="G45" s="70"/>
      <c r="H45" s="202"/>
      <c r="I45" s="202"/>
      <c r="J45" s="202"/>
      <c r="K45" s="202"/>
    </row>
    <row r="46" spans="2:12" s="177" customFormat="1">
      <c r="B46" s="202"/>
      <c r="C46" s="244">
        <f>C47+C48</f>
        <v>14.16</v>
      </c>
      <c r="D46" s="260" t="s">
        <v>157</v>
      </c>
      <c r="E46" s="204"/>
      <c r="F46" s="69"/>
      <c r="G46" s="70"/>
      <c r="H46" s="202"/>
      <c r="I46" s="202"/>
      <c r="J46" s="202"/>
      <c r="K46" s="202"/>
    </row>
    <row r="47" spans="2:12" s="177" customFormat="1">
      <c r="B47" s="202"/>
      <c r="C47" s="244">
        <v>7.16</v>
      </c>
      <c r="D47" s="268" t="s">
        <v>158</v>
      </c>
      <c r="E47" s="204"/>
      <c r="F47" s="69"/>
      <c r="G47" s="70"/>
      <c r="H47" s="202"/>
      <c r="I47" s="202"/>
      <c r="J47" s="202"/>
      <c r="K47" s="202"/>
    </row>
    <row r="48" spans="2:12" s="177" customFormat="1">
      <c r="B48" s="202"/>
      <c r="C48" s="244">
        <v>7</v>
      </c>
      <c r="D48" s="108" t="s">
        <v>142</v>
      </c>
      <c r="E48" s="204"/>
      <c r="F48" s="69"/>
      <c r="G48" s="70"/>
      <c r="H48" s="202"/>
      <c r="I48" s="202"/>
      <c r="J48" s="202"/>
      <c r="K48" s="202"/>
    </row>
    <row r="49" spans="2:12" s="177" customFormat="1">
      <c r="B49" s="202"/>
      <c r="C49" s="261">
        <v>8.4099999999999994E-2</v>
      </c>
      <c r="D49" s="177" t="s">
        <v>116</v>
      </c>
      <c r="E49" s="202"/>
      <c r="F49" s="202"/>
      <c r="G49" s="202"/>
      <c r="H49" s="202"/>
      <c r="I49" s="202"/>
      <c r="J49" s="202"/>
      <c r="K49" s="202"/>
    </row>
    <row r="50" spans="2:12" s="177" customFormat="1">
      <c r="B50" s="202"/>
      <c r="C50" s="205">
        <v>0.21</v>
      </c>
      <c r="D50" s="177" t="s">
        <v>117</v>
      </c>
      <c r="E50" s="202"/>
      <c r="F50" s="202"/>
      <c r="G50" s="202"/>
      <c r="H50" s="202"/>
      <c r="I50" s="202"/>
      <c r="J50" s="202"/>
      <c r="K50" s="202"/>
    </row>
    <row r="51" spans="2:12" s="177" customFormat="1" ht="3.75" customHeight="1">
      <c r="B51" s="202"/>
      <c r="C51" s="202"/>
      <c r="D51" s="206"/>
      <c r="E51" s="207"/>
      <c r="F51" s="208"/>
      <c r="G51" s="202"/>
      <c r="H51" s="202"/>
      <c r="I51" s="202"/>
      <c r="J51" s="202"/>
      <c r="K51" s="202"/>
    </row>
    <row r="52" spans="2:12" s="177" customFormat="1" ht="15.75">
      <c r="B52" s="109" t="str">
        <f>$B$1</f>
        <v>Table 8</v>
      </c>
      <c r="C52" s="178"/>
      <c r="D52" s="178"/>
      <c r="E52" s="178"/>
      <c r="F52" s="178"/>
      <c r="G52" s="178"/>
      <c r="H52" s="178"/>
      <c r="I52" s="178"/>
      <c r="J52" s="178"/>
      <c r="K52" s="109"/>
    </row>
    <row r="53" spans="2:12" s="177" customFormat="1" ht="15.75">
      <c r="B53" s="109" t="str">
        <f>B2</f>
        <v>Total Cost of Displaceable Resources</v>
      </c>
      <c r="C53" s="109"/>
      <c r="D53" s="178"/>
      <c r="E53" s="178"/>
      <c r="F53" s="178"/>
      <c r="G53" s="178"/>
      <c r="H53" s="178"/>
      <c r="I53" s="178"/>
      <c r="J53" s="178"/>
      <c r="K53" s="178"/>
    </row>
    <row r="54" spans="2:12" s="177" customFormat="1" ht="15.75">
      <c r="B54" s="109"/>
      <c r="C54" s="178"/>
      <c r="D54" s="178"/>
      <c r="E54" s="178"/>
      <c r="F54" s="178"/>
      <c r="G54" s="178"/>
      <c r="H54" s="178"/>
      <c r="I54" s="178"/>
      <c r="J54" s="178"/>
      <c r="K54" s="181" t="s">
        <v>118</v>
      </c>
    </row>
    <row r="55" spans="2:12" s="177" customFormat="1" ht="7.5" customHeight="1"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3"/>
    </row>
    <row r="56" spans="2:12" ht="51.75" customHeight="1">
      <c r="B56" s="112" t="s">
        <v>3</v>
      </c>
      <c r="C56" s="113" t="s">
        <v>48</v>
      </c>
      <c r="D56" s="113" t="s">
        <v>49</v>
      </c>
      <c r="E56" s="113" t="s">
        <v>50</v>
      </c>
      <c r="F56" s="113" t="s">
        <v>51</v>
      </c>
      <c r="G56" s="113" t="s">
        <v>52</v>
      </c>
      <c r="H56" s="113" t="s">
        <v>53</v>
      </c>
      <c r="I56" s="127" t="s">
        <v>35</v>
      </c>
      <c r="J56" s="127" t="s">
        <v>84</v>
      </c>
      <c r="K56" s="113" t="s">
        <v>19</v>
      </c>
      <c r="L56" s="111"/>
    </row>
    <row r="57" spans="2:12" s="179" customFormat="1" ht="18.75" customHeight="1">
      <c r="B57" s="114"/>
      <c r="C57" s="115" t="s">
        <v>44</v>
      </c>
      <c r="D57" s="116" t="s">
        <v>45</v>
      </c>
      <c r="E57" s="116" t="s">
        <v>45</v>
      </c>
      <c r="F57" s="116" t="s">
        <v>46</v>
      </c>
      <c r="G57" s="116" t="s">
        <v>45</v>
      </c>
      <c r="H57" s="116" t="s">
        <v>45</v>
      </c>
      <c r="I57" s="116" t="s">
        <v>47</v>
      </c>
      <c r="J57" s="116" t="s">
        <v>46</v>
      </c>
      <c r="K57" s="116" t="s">
        <v>46</v>
      </c>
      <c r="L57" s="186"/>
    </row>
    <row r="58" spans="2:12" s="177" customFormat="1">
      <c r="B58" s="179"/>
      <c r="C58" s="117" t="s">
        <v>23</v>
      </c>
      <c r="D58" s="117" t="s">
        <v>24</v>
      </c>
      <c r="E58" s="117" t="s">
        <v>25</v>
      </c>
      <c r="F58" s="117" t="s">
        <v>26</v>
      </c>
      <c r="G58" s="117" t="s">
        <v>27</v>
      </c>
      <c r="H58" s="117" t="s">
        <v>34</v>
      </c>
      <c r="I58" s="117" t="s">
        <v>41</v>
      </c>
      <c r="J58" s="117" t="s">
        <v>42</v>
      </c>
      <c r="K58" s="117" t="s">
        <v>43</v>
      </c>
    </row>
    <row r="59" spans="2:12" s="177" customFormat="1" ht="6" customHeight="1"/>
    <row r="60" spans="2:12" s="179" customFormat="1" ht="15.75">
      <c r="B60" s="118" t="str">
        <f>C102</f>
        <v>CCCT (Dry "F" 2x1)  - East Side Resource (4500')</v>
      </c>
      <c r="C60" s="186"/>
      <c r="E60" s="186"/>
      <c r="F60" s="186"/>
      <c r="G60" s="186"/>
      <c r="H60" s="186"/>
      <c r="I60" s="185"/>
      <c r="J60" s="185"/>
      <c r="K60" s="185"/>
      <c r="L60" s="186"/>
    </row>
    <row r="61" spans="2:12" s="179" customFormat="1">
      <c r="B61" s="187">
        <v>2010</v>
      </c>
      <c r="C61" s="188">
        <f>H108</f>
        <v>1024</v>
      </c>
      <c r="D61" s="189">
        <f>C61*$C$124</f>
        <v>85.708799999999997</v>
      </c>
      <c r="E61" s="209">
        <f>I108</f>
        <v>8.82</v>
      </c>
      <c r="F61" s="209">
        <f>J113</f>
        <v>7.95</v>
      </c>
      <c r="G61" s="197">
        <f t="shared" ref="G61" si="4">ROUND(F61*(8.76*$G$113)+E61,2)</f>
        <v>43.85</v>
      </c>
      <c r="H61" s="197">
        <f t="shared" ref="H61:H71" si="5">ROUND(D61+G61,2)</f>
        <v>129.56</v>
      </c>
      <c r="I61" s="192"/>
      <c r="J61" s="192"/>
      <c r="K61" s="193"/>
    </row>
    <row r="62" spans="2:12" s="179" customFormat="1">
      <c r="B62" s="187">
        <f t="shared" ref="B62:B86" si="6">B61+1</f>
        <v>2011</v>
      </c>
      <c r="C62" s="191"/>
      <c r="D62" s="189">
        <f>ROUND(D61*(1+$D$132),2)</f>
        <v>87.42</v>
      </c>
      <c r="E62" s="189">
        <f>ROUND(E61*(1+$D$132),2)</f>
        <v>9</v>
      </c>
      <c r="F62" s="189">
        <f>ROUND(F61*(1+$D$132),2)</f>
        <v>8.11</v>
      </c>
      <c r="G62" s="190">
        <f t="shared" ref="G62:G71" si="7">ROUND(F62*(8.76*$G$113)+E62,2)</f>
        <v>44.73</v>
      </c>
      <c r="H62" s="197">
        <f t="shared" si="5"/>
        <v>132.15</v>
      </c>
      <c r="I62" s="192"/>
      <c r="J62" s="192"/>
      <c r="K62" s="193"/>
    </row>
    <row r="63" spans="2:12" s="186" customFormat="1">
      <c r="B63" s="194">
        <f t="shared" si="6"/>
        <v>2012</v>
      </c>
      <c r="C63" s="195"/>
      <c r="D63" s="190">
        <f>ROUND(D62*(1+$D$133),2)</f>
        <v>88.82</v>
      </c>
      <c r="E63" s="190">
        <f>ROUND(E62*(1+$D$133),2)</f>
        <v>9.14</v>
      </c>
      <c r="F63" s="190">
        <f>ROUND(F62*(1+$D$133),2)</f>
        <v>8.24</v>
      </c>
      <c r="G63" s="197">
        <f t="shared" si="7"/>
        <v>45.45</v>
      </c>
      <c r="H63" s="190">
        <f t="shared" si="5"/>
        <v>134.27000000000001</v>
      </c>
      <c r="I63" s="192"/>
      <c r="J63" s="192"/>
      <c r="K63" s="198"/>
    </row>
    <row r="64" spans="2:12" s="186" customFormat="1">
      <c r="B64" s="194">
        <f t="shared" si="6"/>
        <v>2013</v>
      </c>
      <c r="C64" s="195"/>
      <c r="D64" s="190">
        <f>ROUND(D63*(1+$D$134),2)</f>
        <v>90.42</v>
      </c>
      <c r="E64" s="190">
        <f>ROUND(E63*(1+$D$134),2)</f>
        <v>9.3000000000000007</v>
      </c>
      <c r="F64" s="190">
        <f>ROUND(F63*(1+$D$134),2)</f>
        <v>8.39</v>
      </c>
      <c r="G64" s="197">
        <f t="shared" si="7"/>
        <v>46.27</v>
      </c>
      <c r="H64" s="197">
        <f t="shared" si="5"/>
        <v>136.69</v>
      </c>
      <c r="I64" s="192"/>
      <c r="J64" s="192"/>
      <c r="K64" s="198"/>
    </row>
    <row r="65" spans="2:11" s="179" customFormat="1" ht="13.5" thickBot="1">
      <c r="B65" s="283">
        <f t="shared" si="6"/>
        <v>2014</v>
      </c>
      <c r="C65" s="284"/>
      <c r="D65" s="285">
        <f>ROUND(D64*(1+$D$135),2)</f>
        <v>92.32</v>
      </c>
      <c r="E65" s="285">
        <f>ROUND(E64*(1+$D$135),2)</f>
        <v>9.5</v>
      </c>
      <c r="F65" s="285">
        <f>ROUND(F64*(1+$D$135),2)</f>
        <v>8.57</v>
      </c>
      <c r="G65" s="286">
        <f t="shared" si="7"/>
        <v>47.26</v>
      </c>
      <c r="H65" s="286">
        <f t="shared" si="5"/>
        <v>139.58000000000001</v>
      </c>
      <c r="I65" s="286"/>
      <c r="J65" s="286"/>
      <c r="K65" s="286"/>
    </row>
    <row r="66" spans="2:11" s="179" customFormat="1">
      <c r="B66" s="187">
        <f t="shared" si="6"/>
        <v>2015</v>
      </c>
      <c r="C66" s="191"/>
      <c r="D66" s="189">
        <f>ROUND(D65*(1+$D$136),2)</f>
        <v>94.17</v>
      </c>
      <c r="E66" s="189">
        <f>ROUND(E65*(1+$D$136),2)</f>
        <v>9.69</v>
      </c>
      <c r="F66" s="189">
        <f>ROUND(F65*(1+$D$136),2)</f>
        <v>8.74</v>
      </c>
      <c r="G66" s="197">
        <f t="shared" si="7"/>
        <v>48.2</v>
      </c>
      <c r="H66" s="197">
        <f t="shared" ref="H66:H67" si="8">ROUND(D66+G66,2)</f>
        <v>142.37</v>
      </c>
      <c r="I66" s="197">
        <f>VLOOKUP(B66,'Table 9'!$B$10:$C$34,2)</f>
        <v>5.79</v>
      </c>
      <c r="J66" s="197">
        <f t="shared" ref="J66:J86" si="9">ROUND($K$113*I66/1000,2)</f>
        <v>40.82</v>
      </c>
      <c r="K66" s="197">
        <f t="shared" ref="K66:K67" si="10">ROUND(H66*1000/8760/$G$113+J66,2)</f>
        <v>73.13</v>
      </c>
    </row>
    <row r="67" spans="2:11" s="179" customFormat="1">
      <c r="B67" s="187">
        <f t="shared" si="6"/>
        <v>2016</v>
      </c>
      <c r="C67" s="191"/>
      <c r="D67" s="189">
        <f>ROUND(D66*(1+$D$137),2)</f>
        <v>96.05</v>
      </c>
      <c r="E67" s="189">
        <f>ROUND(E66*(1+$D$137),2)</f>
        <v>9.8800000000000008</v>
      </c>
      <c r="F67" s="189">
        <f>ROUND(F66*(1+$D$137),2)</f>
        <v>8.91</v>
      </c>
      <c r="G67" s="197">
        <f t="shared" si="7"/>
        <v>49.14</v>
      </c>
      <c r="H67" s="197">
        <f t="shared" si="8"/>
        <v>145.19</v>
      </c>
      <c r="I67" s="197">
        <f>VLOOKUP(B67,'Table 9'!$B$10:$C$34,2)</f>
        <v>6.11</v>
      </c>
      <c r="J67" s="197">
        <f t="shared" si="9"/>
        <v>43.08</v>
      </c>
      <c r="K67" s="197">
        <f t="shared" si="10"/>
        <v>76.03</v>
      </c>
    </row>
    <row r="68" spans="2:11" s="179" customFormat="1">
      <c r="B68" s="187">
        <f t="shared" si="6"/>
        <v>2017</v>
      </c>
      <c r="C68" s="191"/>
      <c r="D68" s="197">
        <f>ROUND(D67*(1+$D$138),2)</f>
        <v>97.97</v>
      </c>
      <c r="E68" s="197">
        <f>ROUND(E67*(1+$D$138),2)</f>
        <v>10.08</v>
      </c>
      <c r="F68" s="197">
        <f>ROUND(F67*(1+$D$138),2)</f>
        <v>9.09</v>
      </c>
      <c r="G68" s="197">
        <f t="shared" si="7"/>
        <v>50.13</v>
      </c>
      <c r="H68" s="197">
        <f t="shared" si="5"/>
        <v>148.1</v>
      </c>
      <c r="I68" s="197">
        <f>VLOOKUP(B68,'Table 9'!$B$10:$C$34,2)</f>
        <v>6.54</v>
      </c>
      <c r="J68" s="197">
        <f t="shared" si="9"/>
        <v>46.11</v>
      </c>
      <c r="K68" s="197">
        <f t="shared" ref="K68:K71" si="11">ROUND(H68*1000/8760/$G$113+J68,2)</f>
        <v>79.72</v>
      </c>
    </row>
    <row r="69" spans="2:11" s="179" customFormat="1">
      <c r="B69" s="187">
        <f t="shared" si="6"/>
        <v>2018</v>
      </c>
      <c r="C69" s="191"/>
      <c r="D69" s="197">
        <f>ROUND(D68*(1+$D$139),2)</f>
        <v>99.83</v>
      </c>
      <c r="E69" s="197">
        <f>ROUND(E68*(1+$D$139),2)</f>
        <v>10.27</v>
      </c>
      <c r="F69" s="197">
        <f>ROUND(F68*(1+$D$139),2)</f>
        <v>9.26</v>
      </c>
      <c r="G69" s="197">
        <f t="shared" si="7"/>
        <v>51.07</v>
      </c>
      <c r="H69" s="197">
        <f t="shared" si="5"/>
        <v>150.9</v>
      </c>
      <c r="I69" s="197">
        <f>VLOOKUP(B69,'Table 9'!$B$10:$C$34,2)</f>
        <v>6.96</v>
      </c>
      <c r="J69" s="197">
        <f t="shared" si="9"/>
        <v>49.07</v>
      </c>
      <c r="K69" s="197">
        <f t="shared" si="11"/>
        <v>83.32</v>
      </c>
    </row>
    <row r="70" spans="2:11" s="179" customFormat="1">
      <c r="B70" s="187">
        <f t="shared" si="6"/>
        <v>2019</v>
      </c>
      <c r="C70" s="191"/>
      <c r="D70" s="197">
        <f>ROUND(D69*(1+$G$131),2)</f>
        <v>101.63</v>
      </c>
      <c r="E70" s="197">
        <f>ROUND(E69*(1+$G$131),2)</f>
        <v>10.45</v>
      </c>
      <c r="F70" s="197">
        <f>ROUND(F69*(1+$G$131),2)</f>
        <v>9.43</v>
      </c>
      <c r="G70" s="197">
        <f t="shared" si="7"/>
        <v>52</v>
      </c>
      <c r="H70" s="197">
        <f t="shared" si="5"/>
        <v>153.63</v>
      </c>
      <c r="I70" s="197">
        <f>VLOOKUP(B70,'Table 9'!$B$10:$C$34,2)</f>
        <v>7.28</v>
      </c>
      <c r="J70" s="197">
        <f t="shared" si="9"/>
        <v>51.32</v>
      </c>
      <c r="K70" s="197">
        <f t="shared" si="11"/>
        <v>86.19</v>
      </c>
    </row>
    <row r="71" spans="2:11" s="179" customFormat="1">
      <c r="B71" s="187">
        <f t="shared" si="6"/>
        <v>2020</v>
      </c>
      <c r="C71" s="191"/>
      <c r="D71" s="197">
        <f>ROUND(D70*(1+$G$132),2)</f>
        <v>103.46</v>
      </c>
      <c r="E71" s="197">
        <f>ROUND(E70*(1+$G$132),2)</f>
        <v>10.64</v>
      </c>
      <c r="F71" s="197">
        <f>ROUND(F70*(1+$G$132),2)</f>
        <v>9.6</v>
      </c>
      <c r="G71" s="197">
        <f t="shared" si="7"/>
        <v>52.94</v>
      </c>
      <c r="H71" s="197">
        <f t="shared" si="5"/>
        <v>156.4</v>
      </c>
      <c r="I71" s="197">
        <f>VLOOKUP(B71,'Table 9'!$B$10:$C$34,2)</f>
        <v>7.37</v>
      </c>
      <c r="J71" s="197">
        <f t="shared" si="9"/>
        <v>51.96</v>
      </c>
      <c r="K71" s="197">
        <f t="shared" si="11"/>
        <v>87.45</v>
      </c>
    </row>
    <row r="72" spans="2:11" s="179" customFormat="1">
      <c r="B72" s="187">
        <f t="shared" si="6"/>
        <v>2021</v>
      </c>
      <c r="C72" s="191"/>
      <c r="D72" s="197">
        <f>ROUND(D71*(1+$G$133),2)</f>
        <v>105.32</v>
      </c>
      <c r="E72" s="197">
        <f>ROUND(E71*(1+$G$133),2)</f>
        <v>10.83</v>
      </c>
      <c r="F72" s="197">
        <f>ROUND(F71*(1+$G$133),2)</f>
        <v>9.77</v>
      </c>
      <c r="G72" s="197">
        <f t="shared" ref="G72:G86" si="12">ROUND(F72*(8.76*$G$113)+E72,2)</f>
        <v>53.88</v>
      </c>
      <c r="H72" s="197">
        <f t="shared" ref="H72:H86" si="13">ROUND(D72+G72,2)</f>
        <v>159.19999999999999</v>
      </c>
      <c r="I72" s="197">
        <f>VLOOKUP(B72,'Table 9'!$B$10:$C$34,2)</f>
        <v>7.47</v>
      </c>
      <c r="J72" s="197">
        <f t="shared" si="9"/>
        <v>52.66</v>
      </c>
      <c r="K72" s="197">
        <f t="shared" ref="K72:K86" si="14">ROUND(H72*1000/8760/$G$113+J72,2)</f>
        <v>88.79</v>
      </c>
    </row>
    <row r="73" spans="2:11" s="179" customFormat="1">
      <c r="B73" s="187">
        <f t="shared" si="6"/>
        <v>2022</v>
      </c>
      <c r="C73" s="191"/>
      <c r="D73" s="197">
        <f>ROUND(D72*(1+$G$134),2)</f>
        <v>107.22</v>
      </c>
      <c r="E73" s="197">
        <f>ROUND(E72*(1+$G$134),2)</f>
        <v>11.02</v>
      </c>
      <c r="F73" s="197">
        <f>ROUND(F72*(1+$G$134),2)</f>
        <v>9.9499999999999993</v>
      </c>
      <c r="G73" s="197">
        <f t="shared" si="12"/>
        <v>54.86</v>
      </c>
      <c r="H73" s="197">
        <f t="shared" si="13"/>
        <v>162.08000000000001</v>
      </c>
      <c r="I73" s="197">
        <f>VLOOKUP(B73,'Table 9'!$B$10:$C$34,2)</f>
        <v>7.69</v>
      </c>
      <c r="J73" s="197">
        <f t="shared" si="9"/>
        <v>54.21</v>
      </c>
      <c r="K73" s="197">
        <f t="shared" si="14"/>
        <v>90.99</v>
      </c>
    </row>
    <row r="74" spans="2:11" s="179" customFormat="1">
      <c r="B74" s="187">
        <f t="shared" si="6"/>
        <v>2023</v>
      </c>
      <c r="C74" s="191"/>
      <c r="D74" s="197">
        <f>ROUND(D73*(1+$G$135),2)</f>
        <v>109.15</v>
      </c>
      <c r="E74" s="197">
        <f>ROUND(E73*(1+$G$135),2)</f>
        <v>11.22</v>
      </c>
      <c r="F74" s="197">
        <f>ROUND(F73*(1+$G$135),2)</f>
        <v>10.130000000000001</v>
      </c>
      <c r="G74" s="197">
        <f t="shared" si="12"/>
        <v>55.86</v>
      </c>
      <c r="H74" s="197">
        <f t="shared" si="13"/>
        <v>165.01</v>
      </c>
      <c r="I74" s="197">
        <f>VLOOKUP(B74,'Table 9'!$B$10:$C$34,2)</f>
        <v>8.16</v>
      </c>
      <c r="J74" s="197">
        <f t="shared" si="9"/>
        <v>57.53</v>
      </c>
      <c r="K74" s="197">
        <f t="shared" si="14"/>
        <v>94.98</v>
      </c>
    </row>
    <row r="75" spans="2:11" s="179" customFormat="1">
      <c r="B75" s="187">
        <f t="shared" si="6"/>
        <v>2024</v>
      </c>
      <c r="C75" s="191"/>
      <c r="D75" s="197">
        <f>ROUND(D74*(1+$G$136),2)</f>
        <v>111.11</v>
      </c>
      <c r="E75" s="197">
        <f>ROUND(E74*(1+$G$136),2)</f>
        <v>11.42</v>
      </c>
      <c r="F75" s="197">
        <f>ROUND(F74*(1+$G$136),2)</f>
        <v>10.31</v>
      </c>
      <c r="G75" s="197">
        <f t="shared" si="12"/>
        <v>56.85</v>
      </c>
      <c r="H75" s="197">
        <f t="shared" si="13"/>
        <v>167.96</v>
      </c>
      <c r="I75" s="197">
        <f>VLOOKUP(B75,'Table 9'!$B$10:$C$34,2)</f>
        <v>8.68</v>
      </c>
      <c r="J75" s="197">
        <f t="shared" si="9"/>
        <v>61.19</v>
      </c>
      <c r="K75" s="197">
        <f t="shared" si="14"/>
        <v>99.31</v>
      </c>
    </row>
    <row r="76" spans="2:11" s="179" customFormat="1">
      <c r="B76" s="187">
        <f t="shared" si="6"/>
        <v>2025</v>
      </c>
      <c r="C76" s="191"/>
      <c r="D76" s="197">
        <f>ROUND(D75*(1+$G$137),2)</f>
        <v>113.22</v>
      </c>
      <c r="E76" s="197">
        <f>ROUND(E75*(1+$G$137),2)</f>
        <v>11.64</v>
      </c>
      <c r="F76" s="197">
        <f>ROUND(F75*(1+$G$137),2)</f>
        <v>10.51</v>
      </c>
      <c r="G76" s="197">
        <f t="shared" si="12"/>
        <v>57.95</v>
      </c>
      <c r="H76" s="197">
        <f t="shared" si="13"/>
        <v>171.17</v>
      </c>
      <c r="I76" s="197">
        <f>VLOOKUP(B76,'Table 9'!$B$10:$C$34,2)</f>
        <v>8.4499999999999993</v>
      </c>
      <c r="J76" s="197">
        <f t="shared" si="9"/>
        <v>59.57</v>
      </c>
      <c r="K76" s="197">
        <f t="shared" si="14"/>
        <v>98.42</v>
      </c>
    </row>
    <row r="77" spans="2:11" s="179" customFormat="1">
      <c r="B77" s="187">
        <f t="shared" si="6"/>
        <v>2026</v>
      </c>
      <c r="C77" s="191"/>
      <c r="D77" s="197">
        <f>ROUND(D76*(1+$G$138),2)</f>
        <v>115.37</v>
      </c>
      <c r="E77" s="197">
        <f>ROUND(E76*(1+$G$138),2)</f>
        <v>11.86</v>
      </c>
      <c r="F77" s="197">
        <f>ROUND(F76*(1+$G$138),2)</f>
        <v>10.71</v>
      </c>
      <c r="G77" s="197">
        <f t="shared" si="12"/>
        <v>59.05</v>
      </c>
      <c r="H77" s="197">
        <f t="shared" si="13"/>
        <v>174.42</v>
      </c>
      <c r="I77" s="197">
        <f>VLOOKUP(B77,'Table 9'!$B$10:$C$34,2)</f>
        <v>7.65</v>
      </c>
      <c r="J77" s="197">
        <f t="shared" si="9"/>
        <v>53.93</v>
      </c>
      <c r="K77" s="197">
        <f t="shared" si="14"/>
        <v>93.51</v>
      </c>
    </row>
    <row r="78" spans="2:11" s="179" customFormat="1">
      <c r="B78" s="187">
        <f t="shared" si="6"/>
        <v>2027</v>
      </c>
      <c r="C78" s="191"/>
      <c r="D78" s="197">
        <f>ROUND(D77*(1+$G$139),2)</f>
        <v>117.56</v>
      </c>
      <c r="E78" s="197">
        <f>ROUND(E77*(1+$G$139),2)</f>
        <v>12.09</v>
      </c>
      <c r="F78" s="197">
        <f>ROUND(F77*(1+$G$139),2)</f>
        <v>10.91</v>
      </c>
      <c r="G78" s="197">
        <f t="shared" si="12"/>
        <v>60.16</v>
      </c>
      <c r="H78" s="197">
        <f t="shared" si="13"/>
        <v>177.72</v>
      </c>
      <c r="I78" s="197">
        <f>VLOOKUP(B78,'Table 9'!$B$10:$C$34,2)</f>
        <v>7.11</v>
      </c>
      <c r="J78" s="197">
        <f t="shared" si="9"/>
        <v>50.13</v>
      </c>
      <c r="K78" s="197">
        <f t="shared" si="14"/>
        <v>90.46</v>
      </c>
    </row>
    <row r="79" spans="2:11" s="179" customFormat="1">
      <c r="B79" s="187">
        <f t="shared" si="6"/>
        <v>2028</v>
      </c>
      <c r="C79" s="191"/>
      <c r="D79" s="197">
        <f>ROUND(D78*(1+$J$131),2)</f>
        <v>119.91</v>
      </c>
      <c r="E79" s="197">
        <f>ROUND(E78*(1+$J$131),2)</f>
        <v>12.33</v>
      </c>
      <c r="F79" s="197">
        <f>ROUND(F78*(1+$J$131),2)</f>
        <v>11.13</v>
      </c>
      <c r="G79" s="197">
        <f t="shared" si="12"/>
        <v>61.37</v>
      </c>
      <c r="H79" s="197">
        <f t="shared" si="13"/>
        <v>181.28</v>
      </c>
      <c r="I79" s="197">
        <f>VLOOKUP(B79,'Table 9'!$B$10:$C$34,2)</f>
        <v>8.0500000000000007</v>
      </c>
      <c r="J79" s="197">
        <f t="shared" si="9"/>
        <v>56.75</v>
      </c>
      <c r="K79" s="197">
        <f t="shared" si="14"/>
        <v>97.89</v>
      </c>
    </row>
    <row r="80" spans="2:11" s="179" customFormat="1">
      <c r="B80" s="187">
        <f t="shared" si="6"/>
        <v>2029</v>
      </c>
      <c r="C80" s="191"/>
      <c r="D80" s="197">
        <f>ROUND(D79*(1+$J$132),2)</f>
        <v>122.31</v>
      </c>
      <c r="E80" s="197">
        <f>ROUND(E79*(1+$J$132),2)</f>
        <v>12.58</v>
      </c>
      <c r="F80" s="197">
        <f>ROUND(F79*(1+$J$132),2)</f>
        <v>11.35</v>
      </c>
      <c r="G80" s="197">
        <f t="shared" si="12"/>
        <v>62.59</v>
      </c>
      <c r="H80" s="197">
        <f t="shared" si="13"/>
        <v>184.9</v>
      </c>
      <c r="I80" s="197">
        <f>VLOOKUP(B80,'Table 9'!$B$10:$C$34,2)</f>
        <v>8.31</v>
      </c>
      <c r="J80" s="197">
        <f t="shared" si="9"/>
        <v>58.59</v>
      </c>
      <c r="K80" s="197">
        <f t="shared" si="14"/>
        <v>100.55</v>
      </c>
    </row>
    <row r="81" spans="2:15" s="179" customFormat="1">
      <c r="B81" s="187">
        <f t="shared" si="6"/>
        <v>2030</v>
      </c>
      <c r="C81" s="191"/>
      <c r="D81" s="197">
        <f>ROUND(D80*(1+$J$133),2)</f>
        <v>124.63</v>
      </c>
      <c r="E81" s="197">
        <f>ROUND(E80*(1+$J$133),2)</f>
        <v>12.82</v>
      </c>
      <c r="F81" s="197">
        <f>ROUND(F80*(1+$J$133),2)</f>
        <v>11.57</v>
      </c>
      <c r="G81" s="197">
        <f t="shared" si="12"/>
        <v>63.8</v>
      </c>
      <c r="H81" s="197">
        <f t="shared" si="13"/>
        <v>188.43</v>
      </c>
      <c r="I81" s="197">
        <f>VLOOKUP(B81,'Table 9'!$B$10:$C$34,2)</f>
        <v>8.4499999999999993</v>
      </c>
      <c r="J81" s="197">
        <f t="shared" si="9"/>
        <v>59.57</v>
      </c>
      <c r="K81" s="197">
        <f t="shared" si="14"/>
        <v>102.33</v>
      </c>
    </row>
    <row r="82" spans="2:15" s="179" customFormat="1">
      <c r="B82" s="187">
        <f t="shared" si="6"/>
        <v>2031</v>
      </c>
      <c r="C82" s="191"/>
      <c r="D82" s="197">
        <f>ROUND(D81*(1+$J$134),2)</f>
        <v>127</v>
      </c>
      <c r="E82" s="197">
        <f>ROUND(E81*(1+$J$134),2)</f>
        <v>13.06</v>
      </c>
      <c r="F82" s="197">
        <f>ROUND(F81*(1+$J$134),2)</f>
        <v>11.79</v>
      </c>
      <c r="G82" s="197">
        <f t="shared" si="12"/>
        <v>65.010000000000005</v>
      </c>
      <c r="H82" s="197">
        <f t="shared" si="13"/>
        <v>192.01</v>
      </c>
      <c r="I82" s="197">
        <f>VLOOKUP(B82,'Table 9'!$B$10:$C$34,2)</f>
        <v>8.61</v>
      </c>
      <c r="J82" s="197">
        <f t="shared" si="9"/>
        <v>60.7</v>
      </c>
      <c r="K82" s="197">
        <f t="shared" si="14"/>
        <v>104.28</v>
      </c>
    </row>
    <row r="83" spans="2:15" s="179" customFormat="1">
      <c r="B83" s="187">
        <f t="shared" si="6"/>
        <v>2032</v>
      </c>
      <c r="C83" s="191"/>
      <c r="D83" s="197">
        <f>ROUND(D82*(1+$J$135),2)</f>
        <v>129.41</v>
      </c>
      <c r="E83" s="197">
        <f>ROUND(E82*(1+$J$135),2)</f>
        <v>13.31</v>
      </c>
      <c r="F83" s="197">
        <f>ROUND(F82*(1+$J$135),2)</f>
        <v>12.01</v>
      </c>
      <c r="G83" s="197">
        <f t="shared" si="12"/>
        <v>66.23</v>
      </c>
      <c r="H83" s="197">
        <f t="shared" si="13"/>
        <v>195.64</v>
      </c>
      <c r="I83" s="197">
        <f>VLOOKUP(B83,'Table 9'!$B$10:$C$34,2)</f>
        <v>8.7799999999999994</v>
      </c>
      <c r="J83" s="197">
        <f t="shared" si="9"/>
        <v>61.9</v>
      </c>
      <c r="K83" s="197">
        <f t="shared" si="14"/>
        <v>106.3</v>
      </c>
    </row>
    <row r="84" spans="2:15" s="179" customFormat="1">
      <c r="B84" s="187">
        <f t="shared" si="6"/>
        <v>2033</v>
      </c>
      <c r="C84" s="191"/>
      <c r="D84" s="197">
        <f>ROUND(D83*(1+$J$136),2)</f>
        <v>131.87</v>
      </c>
      <c r="E84" s="197">
        <f>ROUND(E83*(1+$J$136),2)</f>
        <v>13.56</v>
      </c>
      <c r="F84" s="197">
        <f>ROUND(F83*(1+$J$136),2)</f>
        <v>12.24</v>
      </c>
      <c r="G84" s="197">
        <f t="shared" si="12"/>
        <v>67.489999999999995</v>
      </c>
      <c r="H84" s="197">
        <f t="shared" si="13"/>
        <v>199.36</v>
      </c>
      <c r="I84" s="197">
        <f>VLOOKUP(B84,'Table 9'!$B$10:$C$34,2)</f>
        <v>8.94</v>
      </c>
      <c r="J84" s="197">
        <f t="shared" si="9"/>
        <v>63.03</v>
      </c>
      <c r="K84" s="197">
        <f t="shared" si="14"/>
        <v>108.27</v>
      </c>
    </row>
    <row r="85" spans="2:15" s="179" customFormat="1">
      <c r="B85" s="187">
        <f t="shared" si="6"/>
        <v>2034</v>
      </c>
      <c r="C85" s="191"/>
      <c r="D85" s="197">
        <f>ROUND(D84*(1+$J$137),2)</f>
        <v>134.38</v>
      </c>
      <c r="E85" s="197">
        <f>ROUND(E84*(1+$J$137),2)</f>
        <v>13.82</v>
      </c>
      <c r="F85" s="197">
        <f>ROUND(F84*(1+$J$137),2)</f>
        <v>12.47</v>
      </c>
      <c r="G85" s="197">
        <f t="shared" si="12"/>
        <v>68.77</v>
      </c>
      <c r="H85" s="197">
        <f t="shared" si="13"/>
        <v>203.15</v>
      </c>
      <c r="I85" s="197">
        <f>VLOOKUP(B85,'Table 9'!$B$10:$C$34,2)</f>
        <v>9.11</v>
      </c>
      <c r="J85" s="197">
        <f t="shared" si="9"/>
        <v>64.23</v>
      </c>
      <c r="K85" s="197">
        <f t="shared" si="14"/>
        <v>110.33</v>
      </c>
    </row>
    <row r="86" spans="2:15" s="179" customFormat="1">
      <c r="B86" s="187">
        <f t="shared" si="6"/>
        <v>2035</v>
      </c>
      <c r="C86" s="191"/>
      <c r="D86" s="197">
        <f>ROUND(D85*(1+$J$138),2)</f>
        <v>136.80000000000001</v>
      </c>
      <c r="E86" s="197">
        <f>ROUND(E85*(1+$J$138),2)</f>
        <v>14.07</v>
      </c>
      <c r="F86" s="197">
        <f>ROUND(F85*(1+$J$138),2)</f>
        <v>12.69</v>
      </c>
      <c r="G86" s="197">
        <f t="shared" si="12"/>
        <v>69.989999999999995</v>
      </c>
      <c r="H86" s="197">
        <f t="shared" si="13"/>
        <v>206.79</v>
      </c>
      <c r="I86" s="197">
        <f>VLOOKUP(B86,'Table 9'!$B$10:$C$34,2)</f>
        <v>9.2799999999999994</v>
      </c>
      <c r="J86" s="197">
        <f t="shared" si="9"/>
        <v>65.42</v>
      </c>
      <c r="K86" s="197">
        <f t="shared" si="14"/>
        <v>112.35</v>
      </c>
    </row>
    <row r="87" spans="2:15" s="179" customFormat="1">
      <c r="M87" s="187"/>
      <c r="O87" s="210"/>
    </row>
    <row r="88" spans="2:15" s="177" customFormat="1" ht="15.75">
      <c r="B88" s="109" t="str">
        <f>$B$52</f>
        <v>Table 8</v>
      </c>
      <c r="C88" s="178"/>
      <c r="D88" s="178"/>
      <c r="E88" s="178"/>
      <c r="F88" s="178"/>
      <c r="G88" s="178"/>
      <c r="H88" s="178"/>
      <c r="I88" s="178"/>
      <c r="J88" s="178"/>
      <c r="K88" s="109"/>
      <c r="M88" s="211"/>
      <c r="N88" s="212"/>
      <c r="O88" s="212"/>
    </row>
    <row r="89" spans="2:15" s="177" customFormat="1" ht="15.75">
      <c r="B89" s="109" t="str">
        <f>B2</f>
        <v>Total Cost of Displaceable Resources</v>
      </c>
      <c r="C89" s="129"/>
      <c r="D89" s="178"/>
      <c r="E89" s="178"/>
      <c r="F89" s="178"/>
      <c r="G89" s="178"/>
      <c r="H89" s="178"/>
      <c r="I89" s="178"/>
      <c r="J89" s="178"/>
      <c r="K89" s="178"/>
      <c r="M89" s="211"/>
      <c r="N89" s="212"/>
      <c r="O89" s="212"/>
    </row>
    <row r="90" spans="2:15" s="177" customFormat="1" ht="15.75">
      <c r="B90" s="109"/>
      <c r="C90" s="178"/>
      <c r="D90" s="178"/>
      <c r="E90" s="178"/>
      <c r="F90" s="178"/>
      <c r="G90" s="178"/>
      <c r="H90" s="178"/>
      <c r="I90" s="178"/>
      <c r="J90" s="178"/>
      <c r="K90" s="181" t="s">
        <v>119</v>
      </c>
      <c r="M90" s="211"/>
      <c r="N90" s="212"/>
      <c r="O90" s="212"/>
    </row>
    <row r="91" spans="2:15" s="177" customFormat="1" ht="5.25" customHeight="1"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3"/>
      <c r="M91" s="211"/>
      <c r="N91" s="212"/>
      <c r="O91" s="212"/>
    </row>
    <row r="92" spans="2:15" ht="14.25">
      <c r="B92" s="129" t="s">
        <v>120</v>
      </c>
      <c r="C92" s="130"/>
      <c r="D92" s="130"/>
      <c r="E92" s="130"/>
      <c r="F92" s="130"/>
      <c r="G92" s="130"/>
      <c r="H92" s="130"/>
      <c r="I92" s="130"/>
      <c r="J92" s="130"/>
      <c r="K92" s="130"/>
      <c r="M92" s="119"/>
      <c r="N92" s="128"/>
      <c r="O92" s="128"/>
    </row>
    <row r="94" spans="2:15">
      <c r="B94" s="268" t="s">
        <v>68</v>
      </c>
      <c r="C94" s="268"/>
      <c r="D94" s="282" t="s">
        <v>162</v>
      </c>
      <c r="E94" s="268"/>
      <c r="F94" s="268"/>
      <c r="G94" s="268"/>
      <c r="H94" s="268"/>
      <c r="I94" s="268"/>
    </row>
    <row r="95" spans="2:15">
      <c r="C95" s="131" t="str">
        <f>D58</f>
        <v>(b)</v>
      </c>
      <c r="D95" s="120" t="str">
        <f>"= "&amp;C58&amp;" x "&amp;C124&amp;E124</f>
        <v>= (a) x 0.0837  Payment Factor</v>
      </c>
    </row>
    <row r="96" spans="2:15">
      <c r="C96" s="131" t="str">
        <f>G58</f>
        <v>(e)</v>
      </c>
      <c r="D96" s="120" t="str">
        <f>"= "&amp;$F$58&amp;" x  (8.76 x "&amp;TEXT(G113,"0.0%")&amp;") + "&amp;$E$58</f>
        <v>= (d) x  (8.76 x 50.3%) + (c)</v>
      </c>
    </row>
    <row r="97" spans="3:11">
      <c r="C97" s="131" t="str">
        <f>H58</f>
        <v>(f)</v>
      </c>
      <c r="D97" s="120" t="str">
        <f>"= "&amp;D58&amp;" + "&amp;G58</f>
        <v>= (b) + (e)</v>
      </c>
    </row>
    <row r="98" spans="3:11">
      <c r="C98" s="131" t="str">
        <f>I58</f>
        <v>(g)</v>
      </c>
      <c r="D98" s="132" t="str">
        <f>'Table 9'!B1&amp;" - "&amp;'Table 9'!B2</f>
        <v>Table 9 - Natural Gas Price - Delivered to Plant</v>
      </c>
    </row>
    <row r="99" spans="3:11">
      <c r="C99" s="131" t="str">
        <f>J58</f>
        <v>(h)</v>
      </c>
      <c r="D99" s="120" t="str">
        <f>"= "&amp;TEXT(K113,"?,0")&amp;" MMBtu/MWH x "&amp;I58</f>
        <v>= 7,050 MMBtu/MWH x (g)</v>
      </c>
    </row>
    <row r="100" spans="3:11">
      <c r="C100" s="131" t="str">
        <f>K58</f>
        <v>(i)</v>
      </c>
      <c r="D100" s="133" t="str">
        <f>"= "&amp;H58&amp;" / (8.76 x 'Capacity Factor' ) + "&amp;J58</f>
        <v>= (f) / (8.76 x 'Capacity Factor' ) + (h)</v>
      </c>
    </row>
    <row r="101" spans="3:11" ht="13.5" thickBot="1"/>
    <row r="102" spans="3:11" ht="13.5" thickBot="1">
      <c r="C102" s="121" t="s">
        <v>153</v>
      </c>
      <c r="D102" s="255"/>
      <c r="E102" s="255"/>
      <c r="F102" s="255"/>
      <c r="G102" s="255"/>
      <c r="H102" s="255"/>
      <c r="I102" s="255"/>
      <c r="J102" s="256"/>
      <c r="K102" s="257"/>
    </row>
    <row r="103" spans="3:11" ht="5.25" customHeight="1"/>
    <row r="104" spans="3:11" ht="5.25" customHeight="1"/>
    <row r="105" spans="3:11">
      <c r="C105" s="134" t="s">
        <v>86</v>
      </c>
      <c r="D105" s="135"/>
      <c r="E105" s="134"/>
      <c r="F105" s="136" t="s">
        <v>80</v>
      </c>
      <c r="G105" s="136" t="s">
        <v>85</v>
      </c>
      <c r="H105" s="136" t="s">
        <v>77</v>
      </c>
      <c r="I105" s="136" t="s">
        <v>78</v>
      </c>
    </row>
    <row r="106" spans="3:11">
      <c r="C106" s="108" t="s">
        <v>155</v>
      </c>
      <c r="F106" s="137">
        <f>C117</f>
        <v>512.02975597057275</v>
      </c>
      <c r="G106" s="67">
        <f>F106/F108</f>
        <v>0.85774942914772856</v>
      </c>
      <c r="H106" s="138">
        <f>C118</f>
        <v>1104.467075257872</v>
      </c>
      <c r="I106" s="139">
        <f>C119</f>
        <v>10.193995329538243</v>
      </c>
    </row>
    <row r="107" spans="3:11" s="177" customFormat="1">
      <c r="C107" s="108" t="s">
        <v>154</v>
      </c>
      <c r="D107" s="108"/>
      <c r="E107" s="108"/>
      <c r="F107" s="140">
        <f>D117</f>
        <v>84.915853750593101</v>
      </c>
      <c r="G107" s="68">
        <f>1-G106</f>
        <v>0.14225057085227144</v>
      </c>
      <c r="H107" s="141">
        <f>D118</f>
        <v>538.38742035331188</v>
      </c>
      <c r="I107" s="142">
        <f>D119</f>
        <v>0.5</v>
      </c>
    </row>
    <row r="108" spans="3:11" s="177" customFormat="1">
      <c r="C108" s="177" t="s">
        <v>87</v>
      </c>
      <c r="F108" s="213">
        <f>F106+F107</f>
        <v>596.94560972116585</v>
      </c>
      <c r="G108" s="214">
        <f>G106+G107</f>
        <v>1</v>
      </c>
      <c r="H108" s="215">
        <f>ROUND(((F106*H106)+(F107*H107))/F108,0)</f>
        <v>1024</v>
      </c>
      <c r="I108" s="216">
        <f>ROUND(((F106*I106)+(F107*I107))/F108,2)</f>
        <v>8.82</v>
      </c>
    </row>
    <row r="109" spans="3:11" s="177" customFormat="1">
      <c r="F109" s="213"/>
      <c r="G109" s="214"/>
      <c r="H109" s="215"/>
      <c r="I109" s="216"/>
    </row>
    <row r="110" spans="3:11">
      <c r="C110" s="134" t="s">
        <v>86</v>
      </c>
      <c r="D110" s="135"/>
      <c r="E110" s="134"/>
      <c r="F110" s="136" t="s">
        <v>80</v>
      </c>
      <c r="G110" s="136" t="s">
        <v>88</v>
      </c>
      <c r="H110" s="136" t="s">
        <v>69</v>
      </c>
      <c r="I110" s="136" t="s">
        <v>85</v>
      </c>
      <c r="J110" s="136" t="s">
        <v>121</v>
      </c>
      <c r="K110" s="136" t="s">
        <v>79</v>
      </c>
    </row>
    <row r="111" spans="3:11">
      <c r="C111" s="143" t="str">
        <f>C106</f>
        <v>CCCT (Dry "F" 2x1)</v>
      </c>
      <c r="D111" s="143"/>
      <c r="E111" s="143"/>
      <c r="F111" s="108">
        <f>C117</f>
        <v>512.02975597057275</v>
      </c>
      <c r="G111" s="67">
        <f>C125</f>
        <v>0.56000000000000005</v>
      </c>
      <c r="H111" s="108">
        <f>G111*F111</f>
        <v>286.73666334352077</v>
      </c>
      <c r="I111" s="67">
        <f>H111/H113</f>
        <v>0.95476028291305592</v>
      </c>
      <c r="J111" s="271">
        <f>C120</f>
        <v>8.02</v>
      </c>
      <c r="K111" s="253">
        <f>C123</f>
        <v>6963</v>
      </c>
    </row>
    <row r="112" spans="3:11" s="177" customFormat="1">
      <c r="C112" s="143" t="str">
        <f>C107</f>
        <v>CCCT Duct Firing (Dry "F" 2x1)</v>
      </c>
      <c r="D112" s="143"/>
      <c r="E112" s="143"/>
      <c r="F112" s="144">
        <f>D117</f>
        <v>84.915853750593101</v>
      </c>
      <c r="G112" s="68">
        <f>D125</f>
        <v>0.16</v>
      </c>
      <c r="H112" s="144">
        <f>G112*F112</f>
        <v>13.586536600094897</v>
      </c>
      <c r="I112" s="68">
        <f>1-I111</f>
        <v>4.5239717086944076E-2</v>
      </c>
      <c r="J112" s="145">
        <f>D120</f>
        <v>6.54</v>
      </c>
      <c r="K112" s="254">
        <f>D123</f>
        <v>8934</v>
      </c>
    </row>
    <row r="113" spans="3:11" s="177" customFormat="1">
      <c r="C113" s="177" t="s">
        <v>89</v>
      </c>
      <c r="F113" s="177">
        <f>F111+F112</f>
        <v>596.94560972116585</v>
      </c>
      <c r="G113" s="217">
        <f>ROUND(H113/F113,3)</f>
        <v>0.503</v>
      </c>
      <c r="H113" s="177">
        <f>SUM(H111:H112)</f>
        <v>300.32319994361569</v>
      </c>
      <c r="I113" s="214">
        <f>I111+I112</f>
        <v>1</v>
      </c>
      <c r="J113" s="216">
        <f>ROUND(($I111*J111)+($I112*J112),2)</f>
        <v>7.95</v>
      </c>
      <c r="K113" s="213">
        <f>ROUND(($I111*K111)+($I112*K112),-1)</f>
        <v>7050</v>
      </c>
    </row>
    <row r="114" spans="3:11" s="177" customFormat="1">
      <c r="G114" s="217"/>
      <c r="I114" s="214"/>
      <c r="J114" s="216"/>
      <c r="K114" s="146" t="s">
        <v>122</v>
      </c>
    </row>
    <row r="116" spans="3:11">
      <c r="C116" s="265" t="s">
        <v>123</v>
      </c>
      <c r="D116" s="265" t="s">
        <v>124</v>
      </c>
      <c r="E116" s="147" t="str">
        <f>D94</f>
        <v>Plant Costs 2011 IRP Update - [Table 6.1 &amp; 6.3]</v>
      </c>
      <c r="F116" s="266"/>
      <c r="G116" s="266"/>
      <c r="H116" s="266"/>
      <c r="I116" s="266"/>
      <c r="J116" s="266"/>
      <c r="K116" s="267"/>
    </row>
    <row r="117" spans="3:11">
      <c r="C117" s="268">
        <v>512.02975597057275</v>
      </c>
      <c r="D117" s="268">
        <v>84.915853750593101</v>
      </c>
      <c r="E117" s="268" t="s">
        <v>113</v>
      </c>
      <c r="F117" s="268"/>
      <c r="G117" s="268"/>
      <c r="H117" s="269"/>
      <c r="I117" s="268"/>
      <c r="J117" s="268"/>
      <c r="K117" s="268"/>
    </row>
    <row r="118" spans="3:11">
      <c r="C118" s="270">
        <v>1104.467075257872</v>
      </c>
      <c r="D118" s="270">
        <v>538.38742035331188</v>
      </c>
      <c r="E118" s="268" t="s">
        <v>156</v>
      </c>
      <c r="F118" s="268"/>
      <c r="G118" s="268"/>
      <c r="H118" s="268"/>
      <c r="I118" s="268"/>
      <c r="J118" s="268"/>
      <c r="K118" s="268"/>
    </row>
    <row r="119" spans="3:11">
      <c r="C119" s="271">
        <v>10.193995329538243</v>
      </c>
      <c r="D119" s="271">
        <v>0.5</v>
      </c>
      <c r="E119" s="268" t="s">
        <v>115</v>
      </c>
      <c r="F119" s="268"/>
      <c r="G119" s="268"/>
      <c r="H119" s="268"/>
      <c r="I119" s="268"/>
      <c r="J119" s="268"/>
      <c r="K119" s="268"/>
    </row>
    <row r="120" spans="3:11">
      <c r="C120" s="271">
        <f>C121+C122</f>
        <v>8.02</v>
      </c>
      <c r="D120" s="271">
        <f>D121+D122</f>
        <v>6.54</v>
      </c>
      <c r="E120" s="260" t="s">
        <v>157</v>
      </c>
      <c r="F120" s="268"/>
      <c r="G120" s="268"/>
      <c r="H120" s="268"/>
      <c r="I120" s="268"/>
      <c r="J120" s="268"/>
      <c r="K120" s="268"/>
    </row>
    <row r="121" spans="3:11">
      <c r="C121" s="271">
        <v>3.35</v>
      </c>
      <c r="D121" s="271">
        <v>0.55000000000000004</v>
      </c>
      <c r="E121" s="268" t="s">
        <v>158</v>
      </c>
      <c r="F121" s="268"/>
      <c r="G121" s="268"/>
      <c r="H121" s="268"/>
      <c r="I121" s="268"/>
      <c r="J121" s="268"/>
      <c r="K121" s="268"/>
    </row>
    <row r="122" spans="3:11">
      <c r="C122" s="271">
        <v>4.67</v>
      </c>
      <c r="D122" s="271">
        <v>5.99</v>
      </c>
      <c r="E122" s="260" t="s">
        <v>159</v>
      </c>
      <c r="F122" s="268"/>
      <c r="G122" s="268"/>
      <c r="H122" s="268"/>
      <c r="I122" s="268"/>
      <c r="J122" s="268"/>
      <c r="K122" s="268"/>
    </row>
    <row r="123" spans="3:11">
      <c r="C123" s="272">
        <v>6963</v>
      </c>
      <c r="D123" s="272">
        <v>8934</v>
      </c>
      <c r="E123" s="268" t="s">
        <v>160</v>
      </c>
      <c r="F123" s="268"/>
      <c r="G123" s="268"/>
      <c r="H123" s="268"/>
      <c r="I123" s="268"/>
      <c r="J123" s="268"/>
      <c r="K123" s="268"/>
    </row>
    <row r="124" spans="3:11">
      <c r="C124" s="273">
        <v>8.3699999999999997E-2</v>
      </c>
      <c r="D124" s="273">
        <f>C124</f>
        <v>8.3699999999999997E-2</v>
      </c>
      <c r="E124" s="268" t="s">
        <v>116</v>
      </c>
      <c r="F124" s="268"/>
      <c r="G124" s="268"/>
      <c r="H124" s="268"/>
      <c r="I124" s="268"/>
      <c r="J124" s="268"/>
      <c r="K124" s="268"/>
    </row>
    <row r="125" spans="3:11">
      <c r="C125" s="274">
        <v>0.56000000000000005</v>
      </c>
      <c r="D125" s="274">
        <v>0.16</v>
      </c>
      <c r="E125" s="268" t="s">
        <v>117</v>
      </c>
      <c r="F125" s="268"/>
      <c r="G125" s="268"/>
      <c r="H125" s="268"/>
      <c r="I125" s="268"/>
      <c r="J125" s="268"/>
      <c r="K125" s="268"/>
    </row>
    <row r="126" spans="3:11">
      <c r="C126" s="268"/>
      <c r="D126" s="275">
        <f>ROUND(H113/F113,3)</f>
        <v>0.503</v>
      </c>
      <c r="E126" s="268" t="s">
        <v>161</v>
      </c>
      <c r="F126" s="268"/>
      <c r="G126" s="268"/>
      <c r="H126" s="268"/>
      <c r="I126" s="268"/>
      <c r="J126" s="268"/>
      <c r="K126" s="268"/>
    </row>
    <row r="127" spans="3:11">
      <c r="C127" s="268"/>
      <c r="D127" s="276">
        <f>MIN(1,ROUND(D126/0.57,3))</f>
        <v>0.88200000000000001</v>
      </c>
      <c r="E127" s="277" t="str">
        <f>"  Capacity Factor - On-peak     "&amp;TEXT(D126,"0.0%")&amp;" / 57% (percent of hours on-peak) "</f>
        <v xml:space="preserve">  Capacity Factor - On-peak     50.3% / 57% (percent of hours on-peak) </v>
      </c>
      <c r="F127" s="268"/>
      <c r="G127" s="268"/>
      <c r="H127" s="268"/>
      <c r="I127" s="268"/>
      <c r="J127" s="268"/>
      <c r="K127" s="268"/>
    </row>
    <row r="128" spans="3:11">
      <c r="C128" s="126"/>
      <c r="D128" s="126"/>
    </row>
    <row r="129" spans="3:15" ht="13.5" thickBot="1"/>
    <row r="130" spans="3:15" ht="13.5" thickBot="1">
      <c r="C130" s="278" t="s">
        <v>166</v>
      </c>
      <c r="D130" s="255"/>
      <c r="E130" s="255"/>
      <c r="F130" s="255"/>
      <c r="G130" s="255"/>
      <c r="H130" s="255"/>
      <c r="I130" s="255"/>
      <c r="J130" s="256"/>
      <c r="K130" s="279"/>
      <c r="N130" s="108" t="s">
        <v>151</v>
      </c>
    </row>
    <row r="131" spans="3:15">
      <c r="C131" s="280">
        <v>2010</v>
      </c>
      <c r="D131" s="275">
        <v>1.2999999999999999E-2</v>
      </c>
      <c r="E131" s="268"/>
      <c r="F131" s="280">
        <f>C139+1</f>
        <v>2019</v>
      </c>
      <c r="G131" s="275">
        <v>1.7999999999999999E-2</v>
      </c>
      <c r="H131" s="268"/>
      <c r="I131" s="280">
        <f>F139+1</f>
        <v>2028</v>
      </c>
      <c r="J131" s="275">
        <v>0.02</v>
      </c>
      <c r="K131" s="268"/>
      <c r="N131" s="218">
        <v>2009</v>
      </c>
      <c r="O131" s="219">
        <v>4.0000000000000001E-3</v>
      </c>
    </row>
    <row r="132" spans="3:15">
      <c r="C132" s="280">
        <f>C131+1</f>
        <v>2011</v>
      </c>
      <c r="D132" s="275">
        <v>0.02</v>
      </c>
      <c r="E132" s="268"/>
      <c r="F132" s="280">
        <f t="shared" ref="F132:F139" si="15">F131+1</f>
        <v>2020</v>
      </c>
      <c r="G132" s="275">
        <v>1.7999999999999999E-2</v>
      </c>
      <c r="H132" s="268"/>
      <c r="I132" s="280">
        <f t="shared" ref="I132:I139" si="16">I131+1</f>
        <v>2029</v>
      </c>
      <c r="J132" s="275">
        <v>0.02</v>
      </c>
      <c r="K132" s="268"/>
      <c r="N132" s="218">
        <f t="shared" ref="N132:N147" si="17">N131+1</f>
        <v>2010</v>
      </c>
      <c r="O132" s="219">
        <v>1.2999999999999999E-2</v>
      </c>
    </row>
    <row r="133" spans="3:15">
      <c r="C133" s="280">
        <f t="shared" ref="C133:C139" si="18">C132+1</f>
        <v>2012</v>
      </c>
      <c r="D133" s="275">
        <v>1.6E-2</v>
      </c>
      <c r="E133" s="268"/>
      <c r="F133" s="280">
        <f t="shared" si="15"/>
        <v>2021</v>
      </c>
      <c r="G133" s="275">
        <v>1.7999999999999999E-2</v>
      </c>
      <c r="H133" s="268"/>
      <c r="I133" s="280">
        <f t="shared" si="16"/>
        <v>2030</v>
      </c>
      <c r="J133" s="275">
        <v>1.9E-2</v>
      </c>
      <c r="K133" s="268"/>
      <c r="N133" s="218">
        <f t="shared" si="17"/>
        <v>2011</v>
      </c>
      <c r="O133" s="219">
        <v>1.7000000000000001E-2</v>
      </c>
    </row>
    <row r="134" spans="3:15">
      <c r="C134" s="280">
        <f t="shared" si="18"/>
        <v>2013</v>
      </c>
      <c r="D134" s="275">
        <v>1.7999999999999999E-2</v>
      </c>
      <c r="E134" s="268"/>
      <c r="F134" s="280">
        <f t="shared" si="15"/>
        <v>2022</v>
      </c>
      <c r="G134" s="275">
        <v>1.7999999999999999E-2</v>
      </c>
      <c r="H134" s="268"/>
      <c r="I134" s="280">
        <f t="shared" si="16"/>
        <v>2031</v>
      </c>
      <c r="J134" s="275">
        <v>1.9E-2</v>
      </c>
      <c r="K134" s="268"/>
      <c r="N134" s="218">
        <f t="shared" si="17"/>
        <v>2012</v>
      </c>
      <c r="O134" s="219">
        <v>0.02</v>
      </c>
    </row>
    <row r="135" spans="3:15">
      <c r="C135" s="280">
        <f t="shared" si="18"/>
        <v>2014</v>
      </c>
      <c r="D135" s="275">
        <v>2.1000000000000001E-2</v>
      </c>
      <c r="E135" s="268"/>
      <c r="F135" s="280">
        <f t="shared" si="15"/>
        <v>2023</v>
      </c>
      <c r="G135" s="275">
        <v>1.7999999999999999E-2</v>
      </c>
      <c r="H135" s="268"/>
      <c r="I135" s="280">
        <f t="shared" si="16"/>
        <v>2032</v>
      </c>
      <c r="J135" s="275">
        <v>1.9E-2</v>
      </c>
      <c r="K135" s="268"/>
      <c r="N135" s="218">
        <f t="shared" si="17"/>
        <v>2013</v>
      </c>
      <c r="O135" s="219">
        <v>0.02</v>
      </c>
    </row>
    <row r="136" spans="3:15">
      <c r="C136" s="280">
        <f t="shared" si="18"/>
        <v>2015</v>
      </c>
      <c r="D136" s="275">
        <v>0.02</v>
      </c>
      <c r="E136" s="268"/>
      <c r="F136" s="280">
        <f t="shared" si="15"/>
        <v>2024</v>
      </c>
      <c r="G136" s="275">
        <v>1.7999999999999999E-2</v>
      </c>
      <c r="H136" s="268"/>
      <c r="I136" s="280">
        <f t="shared" si="16"/>
        <v>2033</v>
      </c>
      <c r="J136" s="275">
        <v>1.9E-2</v>
      </c>
      <c r="K136" s="268"/>
      <c r="N136" s="218">
        <f t="shared" si="17"/>
        <v>2014</v>
      </c>
      <c r="O136" s="219">
        <v>1.9E-2</v>
      </c>
    </row>
    <row r="137" spans="3:15" s="111" customFormat="1">
      <c r="C137" s="280">
        <f t="shared" si="18"/>
        <v>2016</v>
      </c>
      <c r="D137" s="275">
        <v>0.02</v>
      </c>
      <c r="E137" s="281"/>
      <c r="F137" s="280">
        <f t="shared" si="15"/>
        <v>2025</v>
      </c>
      <c r="G137" s="275">
        <v>1.9E-2</v>
      </c>
      <c r="H137" s="281"/>
      <c r="I137" s="280">
        <f t="shared" si="16"/>
        <v>2034</v>
      </c>
      <c r="J137" s="275">
        <v>1.9E-2</v>
      </c>
      <c r="K137" s="281"/>
      <c r="N137" s="218">
        <f t="shared" si="17"/>
        <v>2015</v>
      </c>
      <c r="O137" s="219">
        <v>1.9E-2</v>
      </c>
    </row>
    <row r="138" spans="3:15" s="111" customFormat="1">
      <c r="C138" s="280">
        <f t="shared" si="18"/>
        <v>2017</v>
      </c>
      <c r="D138" s="275">
        <v>0.02</v>
      </c>
      <c r="E138" s="281"/>
      <c r="F138" s="280">
        <f t="shared" si="15"/>
        <v>2026</v>
      </c>
      <c r="G138" s="275">
        <v>1.9E-2</v>
      </c>
      <c r="H138" s="281"/>
      <c r="I138" s="280">
        <f t="shared" si="16"/>
        <v>2035</v>
      </c>
      <c r="J138" s="275">
        <v>1.7999999999999999E-2</v>
      </c>
      <c r="K138" s="281"/>
      <c r="N138" s="218">
        <f t="shared" si="17"/>
        <v>2016</v>
      </c>
      <c r="O138" s="219">
        <v>1.9E-2</v>
      </c>
    </row>
    <row r="139" spans="3:15" s="111" customFormat="1">
      <c r="C139" s="280">
        <f t="shared" si="18"/>
        <v>2018</v>
      </c>
      <c r="D139" s="275">
        <v>1.9E-2</v>
      </c>
      <c r="E139" s="281"/>
      <c r="F139" s="280">
        <f t="shared" si="15"/>
        <v>2027</v>
      </c>
      <c r="G139" s="275">
        <v>1.9E-2</v>
      </c>
      <c r="H139" s="281"/>
      <c r="I139" s="280">
        <f t="shared" si="16"/>
        <v>2036</v>
      </c>
      <c r="J139" s="275">
        <v>1.9E-2</v>
      </c>
      <c r="K139" s="281"/>
      <c r="N139" s="218">
        <f t="shared" si="17"/>
        <v>2017</v>
      </c>
      <c r="O139" s="219">
        <v>1.9E-2</v>
      </c>
    </row>
    <row r="140" spans="3:15" s="111" customFormat="1">
      <c r="C140" s="149"/>
      <c r="D140" s="148"/>
      <c r="N140" s="218">
        <f t="shared" si="17"/>
        <v>2018</v>
      </c>
      <c r="O140" s="219">
        <v>1.9E-2</v>
      </c>
    </row>
    <row r="141" spans="3:15" s="111" customFormat="1">
      <c r="C141" s="149"/>
      <c r="D141" s="148"/>
      <c r="N141" s="218">
        <f t="shared" si="17"/>
        <v>2019</v>
      </c>
      <c r="O141" s="219">
        <v>1.7999999999999999E-2</v>
      </c>
    </row>
    <row r="142" spans="3:15">
      <c r="C142" s="149"/>
      <c r="D142" s="148"/>
      <c r="N142" s="218">
        <f t="shared" si="17"/>
        <v>2020</v>
      </c>
      <c r="O142" s="219">
        <v>1.7000000000000001E-2</v>
      </c>
    </row>
    <row r="143" spans="3:15">
      <c r="C143" s="149"/>
      <c r="D143" s="148"/>
      <c r="N143" s="218">
        <f t="shared" si="17"/>
        <v>2021</v>
      </c>
      <c r="O143" s="219">
        <v>1.6E-2</v>
      </c>
    </row>
    <row r="144" spans="3:15">
      <c r="C144" s="149"/>
      <c r="D144" s="148"/>
      <c r="N144" s="218">
        <f t="shared" si="17"/>
        <v>2022</v>
      </c>
      <c r="O144" s="219">
        <v>1.6E-2</v>
      </c>
    </row>
    <row r="145" spans="3:15">
      <c r="C145" s="149"/>
      <c r="D145" s="148"/>
      <c r="N145" s="218">
        <f t="shared" si="17"/>
        <v>2023</v>
      </c>
      <c r="O145" s="219">
        <v>1.6E-2</v>
      </c>
    </row>
    <row r="146" spans="3:15">
      <c r="C146" s="149"/>
      <c r="D146" s="148"/>
      <c r="N146" s="218">
        <f t="shared" si="17"/>
        <v>2024</v>
      </c>
      <c r="O146" s="219">
        <v>1.7000000000000001E-2</v>
      </c>
    </row>
    <row r="147" spans="3:15">
      <c r="C147" s="149"/>
      <c r="D147" s="148"/>
      <c r="N147" s="218">
        <f t="shared" si="17"/>
        <v>2025</v>
      </c>
      <c r="O147" s="219">
        <v>1.7000000000000001E-2</v>
      </c>
    </row>
  </sheetData>
  <phoneticPr fontId="6" type="noConversion"/>
  <printOptions horizontalCentered="1"/>
  <pageMargins left="0.25" right="0.25" top="0.75" bottom="0.75" header="0.3" footer="0.3"/>
  <pageSetup fitToHeight="2" orientation="portrait" r:id="rId1"/>
  <headerFooter alignWithMargins="0">
    <oddFooter>&amp;L&amp;8NPC Group - &amp;F   ( &amp;A )&amp;C &amp;R &amp;8&amp;D  &amp;T</oddFooter>
  </headerFooter>
  <rowBreaks count="2" manualBreakCount="2">
    <brk id="51" min="1" max="10" man="1"/>
    <brk id="87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B1:C41"/>
  <sheetViews>
    <sheetView zoomScaleNormal="100" workbookViewId="0">
      <pane ySplit="8" topLeftCell="A9" activePane="bottomLeft" state="frozen"/>
      <selection activeCell="B8" sqref="B8"/>
      <selection pane="bottomLeft" activeCell="C31" sqref="C31"/>
    </sheetView>
  </sheetViews>
  <sheetFormatPr defaultRowHeight="12.75"/>
  <cols>
    <col min="1" max="1" width="2" style="179" customWidth="1"/>
    <col min="2" max="3" width="31.5" style="179" customWidth="1"/>
    <col min="4" max="4" width="2.1640625" style="179" customWidth="1"/>
    <col min="5" max="16384" width="9.33203125" style="179"/>
  </cols>
  <sheetData>
    <row r="1" spans="2:3" s="177" customFormat="1" ht="15.75">
      <c r="B1" s="109" t="s">
        <v>125</v>
      </c>
      <c r="C1" s="129"/>
    </row>
    <row r="2" spans="2:3" s="177" customFormat="1" ht="15.75">
      <c r="B2" s="109" t="s">
        <v>139</v>
      </c>
      <c r="C2" s="129"/>
    </row>
    <row r="3" spans="2:3" s="177" customFormat="1" ht="15.75">
      <c r="B3" s="109" t="s">
        <v>47</v>
      </c>
      <c r="C3" s="178"/>
    </row>
    <row r="4" spans="2:3" s="177" customFormat="1" ht="15.75">
      <c r="B4" s="109"/>
      <c r="C4" s="178"/>
    </row>
    <row r="5" spans="2:3" s="108" customFormat="1">
      <c r="B5" s="112"/>
      <c r="C5" s="112" t="s">
        <v>126</v>
      </c>
    </row>
    <row r="6" spans="2:3" s="108" customFormat="1">
      <c r="B6" s="150" t="s">
        <v>3</v>
      </c>
      <c r="C6" s="150" t="s">
        <v>138</v>
      </c>
    </row>
    <row r="7" spans="2:3" s="108" customFormat="1">
      <c r="B7" s="151"/>
      <c r="C7" s="152" t="s">
        <v>35</v>
      </c>
    </row>
    <row r="8" spans="2:3" s="108" customFormat="1">
      <c r="C8" s="153" t="s">
        <v>23</v>
      </c>
    </row>
    <row r="9" spans="2:3" s="108" customFormat="1">
      <c r="C9" s="154"/>
    </row>
    <row r="10" spans="2:3" s="108" customFormat="1">
      <c r="B10" s="155">
        <v>2011</v>
      </c>
      <c r="C10" s="156">
        <v>4.22</v>
      </c>
    </row>
    <row r="11" spans="2:3" s="108" customFormat="1">
      <c r="B11" s="155">
        <f>B10+1</f>
        <v>2012</v>
      </c>
      <c r="C11" s="156">
        <v>4.76</v>
      </c>
    </row>
    <row r="12" spans="2:3" s="108" customFormat="1">
      <c r="B12" s="155">
        <f t="shared" ref="B12:B34" si="0">B11+1</f>
        <v>2013</v>
      </c>
      <c r="C12" s="156">
        <v>5.1100000000000003</v>
      </c>
    </row>
    <row r="13" spans="2:3" s="108" customFormat="1">
      <c r="B13" s="155">
        <f t="shared" si="0"/>
        <v>2014</v>
      </c>
      <c r="C13" s="156">
        <v>5.44</v>
      </c>
    </row>
    <row r="14" spans="2:3" s="108" customFormat="1">
      <c r="B14" s="155">
        <f t="shared" si="0"/>
        <v>2015</v>
      </c>
      <c r="C14" s="156">
        <v>5.79</v>
      </c>
    </row>
    <row r="15" spans="2:3" s="108" customFormat="1">
      <c r="B15" s="155">
        <f t="shared" si="0"/>
        <v>2016</v>
      </c>
      <c r="C15" s="156">
        <v>6.11</v>
      </c>
    </row>
    <row r="16" spans="2:3" s="108" customFormat="1">
      <c r="B16" s="155">
        <f t="shared" si="0"/>
        <v>2017</v>
      </c>
      <c r="C16" s="156">
        <v>6.54</v>
      </c>
    </row>
    <row r="17" spans="2:3" s="108" customFormat="1">
      <c r="B17" s="155">
        <f t="shared" si="0"/>
        <v>2018</v>
      </c>
      <c r="C17" s="156">
        <v>6.96</v>
      </c>
    </row>
    <row r="18" spans="2:3" s="108" customFormat="1">
      <c r="B18" s="155">
        <f t="shared" si="0"/>
        <v>2019</v>
      </c>
      <c r="C18" s="156">
        <v>7.28</v>
      </c>
    </row>
    <row r="19" spans="2:3" s="108" customFormat="1">
      <c r="B19" s="155">
        <f t="shared" si="0"/>
        <v>2020</v>
      </c>
      <c r="C19" s="156">
        <v>7.37</v>
      </c>
    </row>
    <row r="20" spans="2:3" s="108" customFormat="1">
      <c r="B20" s="155">
        <f t="shared" si="0"/>
        <v>2021</v>
      </c>
      <c r="C20" s="156">
        <v>7.47</v>
      </c>
    </row>
    <row r="21" spans="2:3" s="108" customFormat="1">
      <c r="B21" s="155">
        <f t="shared" si="0"/>
        <v>2022</v>
      </c>
      <c r="C21" s="156">
        <v>7.69</v>
      </c>
    </row>
    <row r="22" spans="2:3" s="108" customFormat="1">
      <c r="B22" s="155">
        <f t="shared" si="0"/>
        <v>2023</v>
      </c>
      <c r="C22" s="156">
        <v>8.16</v>
      </c>
    </row>
    <row r="23" spans="2:3" s="108" customFormat="1">
      <c r="B23" s="155">
        <f t="shared" si="0"/>
        <v>2024</v>
      </c>
      <c r="C23" s="156">
        <v>8.68</v>
      </c>
    </row>
    <row r="24" spans="2:3" s="108" customFormat="1">
      <c r="B24" s="155">
        <f t="shared" si="0"/>
        <v>2025</v>
      </c>
      <c r="C24" s="156">
        <v>8.4499999999999993</v>
      </c>
    </row>
    <row r="25" spans="2:3" s="108" customFormat="1">
      <c r="B25" s="155">
        <f t="shared" si="0"/>
        <v>2026</v>
      </c>
      <c r="C25" s="156">
        <v>7.65</v>
      </c>
    </row>
    <row r="26" spans="2:3" s="108" customFormat="1">
      <c r="B26" s="155">
        <f t="shared" si="0"/>
        <v>2027</v>
      </c>
      <c r="C26" s="156">
        <v>7.11</v>
      </c>
    </row>
    <row r="27" spans="2:3" s="108" customFormat="1">
      <c r="B27" s="155">
        <f t="shared" si="0"/>
        <v>2028</v>
      </c>
      <c r="C27" s="156">
        <v>8.0500000000000007</v>
      </c>
    </row>
    <row r="28" spans="2:3" s="108" customFormat="1">
      <c r="B28" s="155">
        <f t="shared" si="0"/>
        <v>2029</v>
      </c>
      <c r="C28" s="156">
        <v>8.31</v>
      </c>
    </row>
    <row r="29" spans="2:3" s="108" customFormat="1">
      <c r="B29" s="155">
        <f t="shared" si="0"/>
        <v>2030</v>
      </c>
      <c r="C29" s="156">
        <v>8.4499999999999993</v>
      </c>
    </row>
    <row r="30" spans="2:3" s="108" customFormat="1">
      <c r="B30" s="155">
        <f t="shared" si="0"/>
        <v>2031</v>
      </c>
      <c r="C30" s="156">
        <v>8.61</v>
      </c>
    </row>
    <row r="31" spans="2:3" s="108" customFormat="1">
      <c r="B31" s="155">
        <f t="shared" si="0"/>
        <v>2032</v>
      </c>
      <c r="C31" s="156">
        <v>8.7799999999999994</v>
      </c>
    </row>
    <row r="32" spans="2:3" s="108" customFormat="1">
      <c r="B32" s="155">
        <f t="shared" si="0"/>
        <v>2033</v>
      </c>
      <c r="C32" s="156">
        <v>8.94</v>
      </c>
    </row>
    <row r="33" spans="2:3" s="108" customFormat="1">
      <c r="B33" s="155">
        <f t="shared" si="0"/>
        <v>2034</v>
      </c>
      <c r="C33" s="156">
        <v>9.11</v>
      </c>
    </row>
    <row r="34" spans="2:3" s="108" customFormat="1">
      <c r="B34" s="155">
        <f t="shared" si="0"/>
        <v>2035</v>
      </c>
      <c r="C34" s="156">
        <v>9.2799999999999994</v>
      </c>
    </row>
    <row r="35" spans="2:3" s="108" customFormat="1"/>
    <row r="36" spans="2:3">
      <c r="B36" s="157" t="s">
        <v>127</v>
      </c>
    </row>
    <row r="37" spans="2:3">
      <c r="B37" s="260" t="s">
        <v>165</v>
      </c>
    </row>
    <row r="40" spans="2:3">
      <c r="B40" s="180"/>
    </row>
    <row r="41" spans="2:3">
      <c r="B41" s="180"/>
    </row>
  </sheetData>
  <phoneticPr fontId="6" type="noConversion"/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55"/>
  <sheetViews>
    <sheetView tabSelected="1" zoomScaleNormal="100" workbookViewId="0">
      <pane ySplit="8" topLeftCell="A9" activePane="bottomLeft" state="frozen"/>
      <selection activeCell="B8" sqref="B8"/>
      <selection pane="bottomLeft" activeCell="I21" sqref="I21"/>
    </sheetView>
  </sheetViews>
  <sheetFormatPr defaultColWidth="8.83203125" defaultRowHeight="12.75"/>
  <cols>
    <col min="1" max="1" width="2.1640625" style="108" customWidth="1"/>
    <col min="2" max="2" width="22" style="108" customWidth="1"/>
    <col min="3" max="3" width="15.5" style="108" bestFit="1" customWidth="1"/>
    <col min="4" max="4" width="12.5" style="108" bestFit="1" customWidth="1"/>
    <col min="5" max="5" width="15.5" style="108" bestFit="1" customWidth="1"/>
    <col min="6" max="6" width="10" style="108" customWidth="1"/>
    <col min="7" max="7" width="2.1640625" style="108" customWidth="1"/>
    <col min="8" max="8" width="10" style="108" customWidth="1"/>
    <col min="9" max="16384" width="8.83203125" style="108"/>
  </cols>
  <sheetData>
    <row r="1" spans="2:6" ht="15.75">
      <c r="B1" s="109" t="s">
        <v>144</v>
      </c>
      <c r="C1" s="129"/>
      <c r="D1" s="129"/>
      <c r="E1" s="129"/>
      <c r="F1" s="129"/>
    </row>
    <row r="2" spans="2:6" ht="15.75">
      <c r="B2" s="109" t="s">
        <v>150</v>
      </c>
      <c r="C2" s="129"/>
      <c r="D2" s="129"/>
      <c r="E2" s="129"/>
      <c r="F2" s="129"/>
    </row>
    <row r="3" spans="2:6" ht="15.75">
      <c r="B3" s="109" t="s">
        <v>46</v>
      </c>
      <c r="C3" s="258"/>
      <c r="D3" s="258"/>
      <c r="E3" s="258"/>
      <c r="F3" s="258"/>
    </row>
    <row r="4" spans="2:6" ht="15.75">
      <c r="B4" s="109"/>
      <c r="C4" s="258"/>
      <c r="D4" s="258"/>
      <c r="E4" s="258"/>
      <c r="F4" s="258"/>
    </row>
    <row r="5" spans="2:6">
      <c r="B5" s="112"/>
      <c r="C5" s="134" t="s">
        <v>145</v>
      </c>
      <c r="D5" s="134"/>
      <c r="E5" s="134"/>
      <c r="F5" s="134"/>
    </row>
    <row r="6" spans="2:6">
      <c r="B6" s="150" t="s">
        <v>3</v>
      </c>
      <c r="C6" s="134" t="s">
        <v>146</v>
      </c>
      <c r="D6" s="134"/>
      <c r="E6" s="134" t="s">
        <v>147</v>
      </c>
      <c r="F6" s="134"/>
    </row>
    <row r="7" spans="2:6">
      <c r="B7" s="151"/>
      <c r="C7" s="134" t="s">
        <v>148</v>
      </c>
      <c r="D7" s="134" t="s">
        <v>149</v>
      </c>
      <c r="E7" s="134" t="s">
        <v>148</v>
      </c>
      <c r="F7" s="134" t="s">
        <v>149</v>
      </c>
    </row>
    <row r="8" spans="2:6">
      <c r="C8" s="117" t="s">
        <v>23</v>
      </c>
      <c r="D8" s="117" t="s">
        <v>24</v>
      </c>
      <c r="E8" s="117" t="s">
        <v>25</v>
      </c>
      <c r="F8" s="117" t="s">
        <v>26</v>
      </c>
    </row>
    <row r="9" spans="2:6">
      <c r="C9" s="154"/>
      <c r="D9" s="154"/>
      <c r="E9" s="154"/>
      <c r="F9" s="154"/>
    </row>
    <row r="10" spans="2:6">
      <c r="B10" s="155">
        <v>2011</v>
      </c>
      <c r="C10" s="156">
        <v>28.98</v>
      </c>
      <c r="D10" s="156">
        <v>37.71</v>
      </c>
      <c r="E10" s="156">
        <v>19.36</v>
      </c>
      <c r="F10" s="156">
        <v>23.52</v>
      </c>
    </row>
    <row r="11" spans="2:6">
      <c r="B11" s="155">
        <f>B10+1</f>
        <v>2012</v>
      </c>
      <c r="C11" s="156">
        <v>39.11</v>
      </c>
      <c r="D11" s="156">
        <v>44.38</v>
      </c>
      <c r="E11" s="156">
        <v>29.75</v>
      </c>
      <c r="F11" s="156">
        <v>30.25</v>
      </c>
    </row>
    <row r="12" spans="2:6">
      <c r="B12" s="155">
        <f t="shared" ref="B12:B34" si="0">B11+1</f>
        <v>2013</v>
      </c>
      <c r="C12" s="156">
        <v>44.61</v>
      </c>
      <c r="D12" s="156">
        <v>49.19</v>
      </c>
      <c r="E12" s="156">
        <v>32.880000000000003</v>
      </c>
      <c r="F12" s="156">
        <v>33.44</v>
      </c>
    </row>
    <row r="13" spans="2:6">
      <c r="B13" s="155">
        <f t="shared" si="0"/>
        <v>2014</v>
      </c>
      <c r="C13" s="156">
        <v>49.11</v>
      </c>
      <c r="D13" s="156">
        <v>52.94</v>
      </c>
      <c r="E13" s="156">
        <v>35.130000000000003</v>
      </c>
      <c r="F13" s="156">
        <v>35.44</v>
      </c>
    </row>
    <row r="14" spans="2:6">
      <c r="B14" s="155">
        <f t="shared" si="0"/>
        <v>2015</v>
      </c>
      <c r="C14" s="156">
        <v>53.36</v>
      </c>
      <c r="D14" s="156">
        <v>56.69</v>
      </c>
      <c r="E14" s="156">
        <v>37.630000000000003</v>
      </c>
      <c r="F14" s="156">
        <v>37.94</v>
      </c>
    </row>
    <row r="15" spans="2:6">
      <c r="B15" s="155">
        <f t="shared" si="0"/>
        <v>2016</v>
      </c>
      <c r="C15" s="156">
        <v>57.11</v>
      </c>
      <c r="D15" s="156">
        <v>60.44</v>
      </c>
      <c r="E15" s="156">
        <v>40.130000000000003</v>
      </c>
      <c r="F15" s="156">
        <v>40.44</v>
      </c>
    </row>
    <row r="16" spans="2:6">
      <c r="B16" s="155">
        <f t="shared" si="0"/>
        <v>2017</v>
      </c>
      <c r="C16" s="156">
        <v>65.25</v>
      </c>
      <c r="D16" s="156">
        <v>67.27</v>
      </c>
      <c r="E16" s="156">
        <v>48.35</v>
      </c>
      <c r="F16" s="156">
        <v>49.58</v>
      </c>
    </row>
    <row r="17" spans="2:6">
      <c r="B17" s="155">
        <f t="shared" si="0"/>
        <v>2018</v>
      </c>
      <c r="C17" s="156">
        <v>74.13</v>
      </c>
      <c r="D17" s="156">
        <v>75.13</v>
      </c>
      <c r="E17" s="156">
        <v>59</v>
      </c>
      <c r="F17" s="156">
        <v>61.9</v>
      </c>
    </row>
    <row r="18" spans="2:6">
      <c r="B18" s="155">
        <f t="shared" si="0"/>
        <v>2019</v>
      </c>
      <c r="C18" s="156">
        <v>77.64</v>
      </c>
      <c r="D18" s="156">
        <v>79.37</v>
      </c>
      <c r="E18" s="156">
        <v>64.38</v>
      </c>
      <c r="F18" s="156">
        <v>67.86</v>
      </c>
    </row>
    <row r="19" spans="2:6">
      <c r="B19" s="155">
        <f t="shared" si="0"/>
        <v>2020</v>
      </c>
      <c r="C19" s="156">
        <v>79.39</v>
      </c>
      <c r="D19" s="156">
        <v>81.48</v>
      </c>
      <c r="E19" s="156">
        <v>65.430000000000007</v>
      </c>
      <c r="F19" s="156">
        <v>69.86</v>
      </c>
    </row>
    <row r="20" spans="2:6">
      <c r="B20" s="155">
        <f t="shared" si="0"/>
        <v>2021</v>
      </c>
      <c r="C20" s="156">
        <v>83.04</v>
      </c>
      <c r="D20" s="156">
        <v>84.49</v>
      </c>
      <c r="E20" s="156">
        <v>67.81</v>
      </c>
      <c r="F20" s="156">
        <v>71.989999999999995</v>
      </c>
    </row>
    <row r="21" spans="2:6">
      <c r="B21" s="155">
        <f t="shared" si="0"/>
        <v>2022</v>
      </c>
      <c r="C21" s="156">
        <v>85.9</v>
      </c>
      <c r="D21" s="156">
        <v>87.77</v>
      </c>
      <c r="E21" s="156">
        <v>70.900000000000006</v>
      </c>
      <c r="F21" s="156">
        <v>74.989999999999995</v>
      </c>
    </row>
    <row r="22" spans="2:6">
      <c r="B22" s="155">
        <f t="shared" si="0"/>
        <v>2023</v>
      </c>
      <c r="C22" s="156">
        <v>90.92</v>
      </c>
      <c r="D22" s="156">
        <v>92.27</v>
      </c>
      <c r="E22" s="156">
        <v>75.23</v>
      </c>
      <c r="F22" s="156">
        <v>78.84</v>
      </c>
    </row>
    <row r="23" spans="2:6">
      <c r="B23" s="155">
        <f t="shared" si="0"/>
        <v>2024</v>
      </c>
      <c r="C23" s="156">
        <v>96.9</v>
      </c>
      <c r="D23" s="156">
        <v>97.89</v>
      </c>
      <c r="E23" s="156">
        <v>79.569999999999993</v>
      </c>
      <c r="F23" s="156">
        <v>83.45</v>
      </c>
    </row>
    <row r="24" spans="2:6">
      <c r="B24" s="155">
        <f t="shared" si="0"/>
        <v>2025</v>
      </c>
      <c r="C24" s="156">
        <v>96.46</v>
      </c>
      <c r="D24" s="156">
        <v>97.81</v>
      </c>
      <c r="E24" s="156">
        <v>80.38</v>
      </c>
      <c r="F24" s="156">
        <v>84.25</v>
      </c>
    </row>
    <row r="25" spans="2:6">
      <c r="B25" s="155">
        <f t="shared" si="0"/>
        <v>2026</v>
      </c>
      <c r="C25" s="156">
        <v>91.69</v>
      </c>
      <c r="D25" s="156">
        <v>94.57</v>
      </c>
      <c r="E25" s="156">
        <v>76.3</v>
      </c>
      <c r="F25" s="156">
        <v>81.17</v>
      </c>
    </row>
    <row r="26" spans="2:6">
      <c r="B26" s="155">
        <f t="shared" si="0"/>
        <v>2027</v>
      </c>
      <c r="C26" s="156">
        <v>89.77</v>
      </c>
      <c r="D26" s="156">
        <v>93.65</v>
      </c>
      <c r="E26" s="156">
        <v>74.08</v>
      </c>
      <c r="F26" s="156">
        <v>80.650000000000006</v>
      </c>
    </row>
    <row r="27" spans="2:6">
      <c r="B27" s="155">
        <f t="shared" si="0"/>
        <v>2028</v>
      </c>
      <c r="C27" s="156">
        <v>95.36</v>
      </c>
      <c r="D27" s="156">
        <v>98.92</v>
      </c>
      <c r="E27" s="156">
        <v>78.98</v>
      </c>
      <c r="F27" s="156">
        <v>85.03</v>
      </c>
    </row>
    <row r="28" spans="2:6">
      <c r="B28" s="155">
        <f t="shared" si="0"/>
        <v>2029</v>
      </c>
      <c r="C28" s="156">
        <v>99.23</v>
      </c>
      <c r="D28" s="156">
        <v>103.14</v>
      </c>
      <c r="E28" s="156">
        <v>82.66</v>
      </c>
      <c r="F28" s="156">
        <v>89.33</v>
      </c>
    </row>
    <row r="29" spans="2:6">
      <c r="B29" s="155">
        <f t="shared" si="0"/>
        <v>2030</v>
      </c>
      <c r="C29" s="156">
        <v>102.34</v>
      </c>
      <c r="D29" s="156">
        <v>107.41</v>
      </c>
      <c r="E29" s="156">
        <v>86.36</v>
      </c>
      <c r="F29" s="156">
        <v>93.84</v>
      </c>
    </row>
    <row r="30" spans="2:6">
      <c r="B30" s="155">
        <f t="shared" si="0"/>
        <v>2031</v>
      </c>
      <c r="C30" s="156">
        <v>105.16</v>
      </c>
      <c r="D30" s="156">
        <v>110.47</v>
      </c>
      <c r="E30" s="156">
        <v>88.68</v>
      </c>
      <c r="F30" s="156">
        <v>96.42</v>
      </c>
    </row>
    <row r="31" spans="2:6">
      <c r="B31" s="155">
        <f t="shared" si="0"/>
        <v>2032</v>
      </c>
      <c r="C31" s="156">
        <v>107.25</v>
      </c>
      <c r="D31" s="156">
        <v>113.57</v>
      </c>
      <c r="E31" s="156">
        <v>90.64</v>
      </c>
      <c r="F31" s="156">
        <v>98.49</v>
      </c>
    </row>
    <row r="32" spans="2:6">
      <c r="B32" s="155">
        <f t="shared" si="0"/>
        <v>2033</v>
      </c>
      <c r="C32" s="156">
        <v>109.92</v>
      </c>
      <c r="D32" s="156">
        <v>116.72</v>
      </c>
      <c r="E32" s="156">
        <v>92.88</v>
      </c>
      <c r="F32" s="156">
        <v>101.28</v>
      </c>
    </row>
    <row r="33" spans="2:6">
      <c r="B33" s="155">
        <f t="shared" si="0"/>
        <v>2034</v>
      </c>
      <c r="C33" s="156">
        <v>112.45</v>
      </c>
      <c r="D33" s="156">
        <v>121.29</v>
      </c>
      <c r="E33" s="156">
        <v>95.48</v>
      </c>
      <c r="F33" s="156">
        <v>105.37</v>
      </c>
    </row>
    <row r="34" spans="2:6">
      <c r="B34" s="155">
        <f t="shared" si="0"/>
        <v>2035</v>
      </c>
      <c r="C34" s="156">
        <v>114.31</v>
      </c>
      <c r="D34" s="156">
        <v>124.27</v>
      </c>
      <c r="E34" s="156">
        <v>97.27</v>
      </c>
      <c r="F34" s="156">
        <v>108.14</v>
      </c>
    </row>
    <row r="36" spans="2:6">
      <c r="B36" s="157" t="s">
        <v>127</v>
      </c>
    </row>
    <row r="37" spans="2:6">
      <c r="B37" s="260" t="s">
        <v>165</v>
      </c>
    </row>
    <row r="40" spans="2:6">
      <c r="B40" s="259"/>
    </row>
    <row r="41" spans="2:6">
      <c r="B41" s="259"/>
    </row>
    <row r="55" ht="24.75" customHeight="1"/>
  </sheetData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Table 1</vt:lpstr>
      <vt:lpstr>Table 2</vt:lpstr>
      <vt:lpstr>Tables 3 to 6</vt:lpstr>
      <vt:lpstr>Table 7</vt:lpstr>
      <vt:lpstr>Table 8</vt:lpstr>
      <vt:lpstr>Table 9</vt:lpstr>
      <vt:lpstr>Table 10</vt:lpstr>
      <vt:lpstr>'Table 1'!Print_Area</vt:lpstr>
      <vt:lpstr>'Table 10'!Print_Area</vt:lpstr>
      <vt:lpstr>'Table 2'!Print_Area</vt:lpstr>
      <vt:lpstr>'Table 7'!Print_Area</vt:lpstr>
      <vt:lpstr>'Table 8'!Print_Area</vt:lpstr>
      <vt:lpstr>'Table 9'!Print_Area</vt:lpstr>
      <vt:lpstr>'Tables 3 to 6'!Print_Area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 </cp:lastModifiedBy>
  <cp:lastPrinted>2011-06-20T23:33:14Z</cp:lastPrinted>
  <dcterms:created xsi:type="dcterms:W3CDTF">2001-03-19T15:45:46Z</dcterms:created>
  <dcterms:modified xsi:type="dcterms:W3CDTF">2011-06-30T16:25:54Z</dcterms:modified>
</cp:coreProperties>
</file>